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6380" windowHeight="8190" activeTab="1"/>
  </bookViews>
  <sheets>
    <sheet name="Inställningar" sheetId="1" r:id="rId1"/>
    <sheet name="Lottning" sheetId="2" r:id="rId2"/>
    <sheet name="Spelordning" sheetId="3" state="hidden" r:id="rId3"/>
    <sheet name="Matchnummer" sheetId="4" state="hidden" r:id="rId4"/>
    <sheet name="Grupper" sheetId="5" state="hidden" r:id="rId5"/>
    <sheet name="Originalschema" sheetId="6" state="hidden" r:id="rId6"/>
    <sheet name="Schema" sheetId="7" r:id="rId7"/>
    <sheet name="Tabell" sheetId="8" r:id="rId8"/>
    <sheet name="Tabell alla" sheetId="9" r:id="rId9"/>
    <sheet name="Vakant" sheetId="10" state="hidden" r:id="rId10"/>
  </sheets>
  <definedNames>
    <definedName name="Excel_BuiltIn_Print_Area_9">'Tabell alla'!#REF!</definedName>
    <definedName name="_xlnm.Print_Area" localSheetId="5">'Originalschema'!$A$1:$K$46</definedName>
    <definedName name="_xlnm.Print_Area" localSheetId="6">'Schema'!$A$1:$K$47</definedName>
    <definedName name="_xlnm.Print_Area" localSheetId="7">'Tabell'!$A$13:$L$23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6" authorId="0">
      <text>
        <r>
          <rPr>
            <b/>
            <sz val="12"/>
            <color indexed="8"/>
            <rFont val="Tahoma"/>
            <family val="2"/>
          </rPr>
          <t>Skriv in ordet JA eller NEJ</t>
        </r>
      </text>
    </comment>
    <comment ref="A13" authorId="0">
      <text>
        <r>
          <rPr>
            <b/>
            <sz val="9"/>
            <color indexed="8"/>
            <rFont val="Tahoma"/>
            <family val="2"/>
          </rPr>
          <t>Fyll i det lag som vunnit det inbördes mötet eller blivit framlottat till en slutspelsplats.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L1" authorId="0">
      <text>
        <r>
          <rPr>
            <b/>
            <sz val="11"/>
            <color indexed="8"/>
            <rFont val="Tahoma"/>
            <family val="2"/>
          </rPr>
          <t>Tryck Ctrl n
för att få aktuell tabell</t>
        </r>
      </text>
    </comment>
    <comment ref="L4" authorId="0">
      <text>
        <r>
          <rPr>
            <b/>
            <sz val="11"/>
            <color indexed="8"/>
            <rFont val="Tahoma"/>
            <family val="2"/>
          </rPr>
          <t>Tryck ctrl i för att få aktuell tabell då alla möter alla</t>
        </r>
      </text>
    </comment>
  </commentList>
</comments>
</file>

<file path=xl/sharedStrings.xml><?xml version="1.0" encoding="utf-8"?>
<sst xmlns="http://schemas.openxmlformats.org/spreadsheetml/2006/main" count="355" uniqueCount="88">
  <si>
    <t>Matchtid (Skriv in 00 kolon 10)</t>
  </si>
  <si>
    <t>Matchtid slutspel(Skriv in 00 kolon 10)</t>
  </si>
  <si>
    <t>Tid mellan matcher (Skriv in 00 kolon 01)</t>
  </si>
  <si>
    <t>Extratid om två matcher på rad</t>
  </si>
  <si>
    <t>Poängräkning</t>
  </si>
  <si>
    <t>Alla möter alla</t>
  </si>
  <si>
    <t>Utse cupens lirare</t>
  </si>
  <si>
    <t>Matchstart (Skriv in 08 kolon 30)</t>
  </si>
  <si>
    <t>Om det krävs lottning för att avgöra slutspelsplatser fylls det i här:</t>
  </si>
  <si>
    <t>Oavgjord vinnare grupp A</t>
  </si>
  <si>
    <t>ETTA A OAVGJORD</t>
  </si>
  <si>
    <t>Oavgjord vinnare grupp B</t>
  </si>
  <si>
    <t>ETTA B OAVGJORD</t>
  </si>
  <si>
    <t>Oavgjord tvåa grupp A</t>
  </si>
  <si>
    <t>TVÅA A OAVGJORD</t>
  </si>
  <si>
    <t>Oavgjord tvåa grupp B</t>
  </si>
  <si>
    <t>TVÅA B OAVGJORD</t>
  </si>
  <si>
    <t>Oavgjord segrare alla möter alla</t>
  </si>
  <si>
    <t>VINNARE OAVGJORD</t>
  </si>
  <si>
    <t>Oavgjord tvåa alla möter alla</t>
  </si>
  <si>
    <t>TVÅA OAVGJORD</t>
  </si>
  <si>
    <t>Oavgjord trea alla möter alla</t>
  </si>
  <si>
    <t>TREA OAVGJORD</t>
  </si>
  <si>
    <t>Oavgjord fyra alla möter alla</t>
  </si>
  <si>
    <t>FYRA OAVGJORD</t>
  </si>
  <si>
    <r>
      <t xml:space="preserve">Lottat som
</t>
    </r>
    <r>
      <rPr>
        <sz val="10"/>
        <rFont val="Arial"/>
        <family val="2"/>
      </rPr>
      <t>(Normalt används A1 - A5 samt B1 - B5. Då alla möter alla används A1 - A7.)</t>
    </r>
  </si>
  <si>
    <t>Lag</t>
  </si>
  <si>
    <t>A1</t>
  </si>
  <si>
    <t>A2</t>
  </si>
  <si>
    <t>A3</t>
  </si>
  <si>
    <t>A4</t>
  </si>
  <si>
    <t>A5</t>
  </si>
  <si>
    <t>A6</t>
  </si>
  <si>
    <t>A7</t>
  </si>
  <si>
    <t>B1</t>
  </si>
  <si>
    <t>B2</t>
  </si>
  <si>
    <t>B3</t>
  </si>
  <si>
    <t>B4</t>
  </si>
  <si>
    <t>B5</t>
  </si>
  <si>
    <t>Alla möter alla 6 lag</t>
  </si>
  <si>
    <t>A7 i alla för att få ut vakant på schemat.</t>
  </si>
  <si>
    <t>Semifinal 1</t>
  </si>
  <si>
    <t>Semifinal 2</t>
  </si>
  <si>
    <t>3:e pris</t>
  </si>
  <si>
    <t>Final</t>
  </si>
  <si>
    <t>A</t>
  </si>
  <si>
    <t>B</t>
  </si>
  <si>
    <t>Vinst</t>
  </si>
  <si>
    <t>Förlust</t>
  </si>
  <si>
    <t>Oavgjort</t>
  </si>
  <si>
    <t>Match</t>
  </si>
  <si>
    <t>Grupp</t>
  </si>
  <si>
    <t>Starttid</t>
  </si>
  <si>
    <t>Sluttid</t>
  </si>
  <si>
    <t>Resultat</t>
  </si>
  <si>
    <t>Spelad</t>
  </si>
  <si>
    <t>-</t>
  </si>
  <si>
    <t>Tryck Ctrl m för att få aktuell tabell med spel i två grupper.</t>
  </si>
  <si>
    <t>Tryck ctrl t för att få aktuell tabell då alla möter alla</t>
  </si>
  <si>
    <t>Lag 2 oavgjort</t>
  </si>
  <si>
    <t>alla möter alla</t>
  </si>
  <si>
    <t>Två grupper</t>
  </si>
  <si>
    <t>Vunna</t>
  </si>
  <si>
    <t>Oavgjorda</t>
  </si>
  <si>
    <t>Förlorade</t>
  </si>
  <si>
    <t>Antal spelade</t>
  </si>
  <si>
    <t>Gjorda mål</t>
  </si>
  <si>
    <t>Insläppta mål</t>
  </si>
  <si>
    <t>Målskillnad</t>
  </si>
  <si>
    <t>Poäng</t>
  </si>
  <si>
    <t>GRUPP A</t>
  </si>
  <si>
    <t>GRUPP B</t>
  </si>
  <si>
    <t>Råå IF</t>
  </si>
  <si>
    <t>Kyrkheddinge IF</t>
  </si>
  <si>
    <t>Dösjöbro IF</t>
  </si>
  <si>
    <t>Vallåkra IF</t>
  </si>
  <si>
    <t>Kågeröds Boif</t>
  </si>
  <si>
    <t>IK Wormo</t>
  </si>
  <si>
    <t>Nej</t>
  </si>
  <si>
    <t>Svalövs BK 2</t>
  </si>
  <si>
    <t>Dösjöbro IF 1</t>
  </si>
  <si>
    <t>Häljarps IF 2</t>
  </si>
  <si>
    <t>Åstorps FF 1</t>
  </si>
  <si>
    <t>Häljarps IF 1</t>
  </si>
  <si>
    <t>Dösjöbro IF 2</t>
  </si>
  <si>
    <t>Åstorps FF 2</t>
  </si>
  <si>
    <t>Billesholms GIF</t>
  </si>
  <si>
    <t>Svalövs BK 1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</si>
</sst>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hh:mm;@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8"/>
      <name val="Arial"/>
      <family val="2"/>
    </font>
    <font>
      <b/>
      <sz val="18"/>
      <color indexed="57"/>
      <name val="Arial"/>
      <family val="2"/>
    </font>
    <font>
      <b/>
      <sz val="12"/>
      <color indexed="8"/>
      <name val="Tahoma"/>
      <family val="2"/>
    </font>
    <font>
      <b/>
      <sz val="18"/>
      <name val="Arial"/>
      <family val="2"/>
    </font>
    <font>
      <b/>
      <sz val="9"/>
      <color indexed="8"/>
      <name val="Tahoma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b/>
      <sz val="11"/>
      <color indexed="8"/>
      <name val="Tahoma"/>
      <family val="2"/>
    </font>
    <font>
      <sz val="12"/>
      <name val="Arial"/>
      <family val="2"/>
    </font>
    <font>
      <b/>
      <u val="single"/>
      <sz val="20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2" applyNumberFormat="0" applyAlignment="0" applyProtection="0"/>
    <xf numFmtId="0" fontId="8" fillId="23" borderId="3" applyNumberFormat="0" applyAlignment="0" applyProtection="0"/>
    <xf numFmtId="0" fontId="9" fillId="0" borderId="4" applyNumberFormat="0" applyFill="0" applyAlignment="0" applyProtection="0"/>
    <xf numFmtId="0" fontId="10" fillId="24" borderId="0" applyNumberFormat="0" applyBorder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6" fillId="17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26" fillId="0" borderId="10" xfId="0" applyFont="1" applyBorder="1" applyAlignment="1" applyProtection="1">
      <alignment horizontal="center" vertical="center" textRotation="90"/>
      <protection locked="0"/>
    </xf>
    <xf numFmtId="0" fontId="26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8" fillId="0" borderId="0" xfId="0" applyFont="1" applyAlignment="1">
      <alignment horizontal="center"/>
    </xf>
    <xf numFmtId="20" fontId="19" fillId="0" borderId="0" xfId="0" applyNumberFormat="1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23" fillId="0" borderId="11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1" xfId="0" applyFont="1" applyBorder="1" applyAlignment="1" applyProtection="1">
      <alignment horizontal="center" vertical="center" wrapText="1"/>
      <protection/>
    </xf>
    <xf numFmtId="0" fontId="23" fillId="0" borderId="12" xfId="0" applyFont="1" applyBorder="1" applyAlignment="1" applyProtection="1">
      <alignment vertical="top"/>
      <protection/>
    </xf>
    <xf numFmtId="0" fontId="23" fillId="0" borderId="11" xfId="0" applyFont="1" applyBorder="1" applyAlignment="1" applyProtection="1">
      <alignment vertical="center"/>
      <protection/>
    </xf>
    <xf numFmtId="0" fontId="23" fillId="0" borderId="11" xfId="0" applyFont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" fontId="0" fillId="4" borderId="0" xfId="0" applyNumberFormat="1" applyFont="1" applyFill="1" applyAlignment="1" applyProtection="1">
      <alignment/>
      <protection/>
    </xf>
    <xf numFmtId="1" fontId="0" fillId="8" borderId="0" xfId="0" applyNumberFormat="1" applyFont="1" applyFill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1" fontId="0" fillId="7" borderId="0" xfId="0" applyNumberFormat="1" applyFont="1" applyFill="1" applyAlignment="1" applyProtection="1">
      <alignment/>
      <protection/>
    </xf>
    <xf numFmtId="1" fontId="0" fillId="24" borderId="0" xfId="0" applyNumberFormat="1" applyFont="1" applyFill="1" applyAlignment="1" applyProtection="1">
      <alignment/>
      <protection/>
    </xf>
    <xf numFmtId="1" fontId="24" fillId="14" borderId="0" xfId="0" applyNumberFormat="1" applyFont="1" applyFill="1" applyAlignment="1" applyProtection="1">
      <alignment/>
      <protection/>
    </xf>
    <xf numFmtId="49" fontId="0" fillId="0" borderId="13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/>
    </xf>
    <xf numFmtId="0" fontId="2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7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26" fillId="17" borderId="0" xfId="0" applyNumberFormat="1" applyFont="1" applyFill="1" applyAlignment="1" applyProtection="1">
      <alignment horizontal="left"/>
      <protection/>
    </xf>
    <xf numFmtId="0" fontId="26" fillId="17" borderId="0" xfId="0" applyNumberFormat="1" applyFont="1" applyFill="1" applyAlignment="1" applyProtection="1">
      <alignment horizontal="center"/>
      <protection/>
    </xf>
    <xf numFmtId="164" fontId="0" fillId="17" borderId="0" xfId="0" applyNumberFormat="1" applyFill="1" applyAlignment="1" applyProtection="1">
      <alignment horizontal="center"/>
      <protection/>
    </xf>
    <xf numFmtId="0" fontId="23" fillId="17" borderId="0" xfId="0" applyFont="1" applyFill="1" applyAlignment="1" applyProtection="1">
      <alignment horizontal="center"/>
      <protection/>
    </xf>
    <xf numFmtId="0" fontId="0" fillId="17" borderId="0" xfId="0" applyFill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6" fillId="0" borderId="0" xfId="0" applyNumberFormat="1" applyFont="1" applyAlignment="1" applyProtection="1">
      <alignment horizontal="left"/>
      <protection/>
    </xf>
    <xf numFmtId="0" fontId="26" fillId="0" borderId="0" xfId="0" applyNumberFormat="1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/>
    </xf>
    <xf numFmtId="0" fontId="31" fillId="0" borderId="0" xfId="0" applyNumberFormat="1" applyFont="1" applyAlignment="1" applyProtection="1">
      <alignment horizontal="left"/>
      <protection/>
    </xf>
    <xf numFmtId="0" fontId="32" fillId="0" borderId="0" xfId="0" applyNumberFormat="1" applyFont="1" applyAlignment="1" applyProtection="1">
      <alignment horizontal="center"/>
      <protection/>
    </xf>
    <xf numFmtId="0" fontId="28" fillId="0" borderId="0" xfId="0" applyNumberFormat="1" applyFont="1" applyAlignment="1" applyProtection="1">
      <alignment horizontal="left"/>
      <protection/>
    </xf>
    <xf numFmtId="0" fontId="21" fillId="0" borderId="0" xfId="0" applyNumberFormat="1" applyFont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28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1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/>
    </xf>
    <xf numFmtId="0" fontId="26" fillId="0" borderId="15" xfId="0" applyNumberFormat="1" applyFont="1" applyBorder="1" applyAlignment="1" applyProtection="1">
      <alignment horizontal="left"/>
      <protection/>
    </xf>
    <xf numFmtId="0" fontId="0" fillId="0" borderId="16" xfId="0" applyNumberFormat="1" applyFont="1" applyBorder="1" applyAlignment="1" applyProtection="1">
      <alignment horizontal="left"/>
      <protection/>
    </xf>
    <xf numFmtId="3" fontId="0" fillId="0" borderId="17" xfId="0" applyNumberFormat="1" applyFont="1" applyBorder="1" applyAlignment="1" applyProtection="1">
      <alignment horizontal="center"/>
      <protection locked="0"/>
    </xf>
    <xf numFmtId="3" fontId="0" fillId="0" borderId="18" xfId="0" applyNumberFormat="1" applyFont="1" applyBorder="1" applyAlignment="1" applyProtection="1">
      <alignment horizontal="center"/>
      <protection/>
    </xf>
    <xf numFmtId="3" fontId="0" fillId="0" borderId="15" xfId="0" applyNumberFormat="1" applyFont="1" applyBorder="1" applyAlignment="1" applyProtection="1">
      <alignment horizontal="center"/>
      <protection/>
    </xf>
    <xf numFmtId="3" fontId="0" fillId="0" borderId="17" xfId="0" applyNumberFormat="1" applyFont="1" applyBorder="1" applyAlignment="1" applyProtection="1">
      <alignment horizontal="center"/>
      <protection/>
    </xf>
    <xf numFmtId="3" fontId="0" fillId="0" borderId="16" xfId="0" applyNumberFormat="1" applyFont="1" applyBorder="1" applyAlignment="1" applyProtection="1">
      <alignment horizontal="center"/>
      <protection/>
    </xf>
    <xf numFmtId="0" fontId="26" fillId="0" borderId="19" xfId="0" applyNumberFormat="1" applyFont="1" applyBorder="1" applyAlignment="1" applyProtection="1">
      <alignment horizontal="left"/>
      <protection/>
    </xf>
    <xf numFmtId="0" fontId="0" fillId="0" borderId="20" xfId="0" applyNumberFormat="1" applyFont="1" applyBorder="1" applyAlignment="1" applyProtection="1">
      <alignment horizontal="left"/>
      <protection/>
    </xf>
    <xf numFmtId="3" fontId="0" fillId="0" borderId="21" xfId="0" applyNumberFormat="1" applyFont="1" applyBorder="1" applyAlignment="1" applyProtection="1">
      <alignment horizontal="center"/>
      <protection locked="0"/>
    </xf>
    <xf numFmtId="3" fontId="0" fillId="0" borderId="22" xfId="0" applyNumberFormat="1" applyFont="1" applyBorder="1" applyAlignment="1" applyProtection="1">
      <alignment horizontal="center"/>
      <protection/>
    </xf>
    <xf numFmtId="3" fontId="0" fillId="0" borderId="19" xfId="0" applyNumberFormat="1" applyFont="1" applyBorder="1" applyAlignment="1" applyProtection="1">
      <alignment horizontal="center"/>
      <protection/>
    </xf>
    <xf numFmtId="3" fontId="0" fillId="0" borderId="21" xfId="0" applyNumberFormat="1" applyFont="1" applyBorder="1" applyAlignment="1" applyProtection="1">
      <alignment horizontal="center"/>
      <protection/>
    </xf>
    <xf numFmtId="3" fontId="0" fillId="0" borderId="20" xfId="0" applyNumberFormat="1" applyFont="1" applyBorder="1" applyAlignment="1" applyProtection="1">
      <alignment horizontal="center"/>
      <protection/>
    </xf>
    <xf numFmtId="0" fontId="26" fillId="0" borderId="23" xfId="0" applyNumberFormat="1" applyFont="1" applyBorder="1" applyAlignment="1" applyProtection="1">
      <alignment horizontal="left"/>
      <protection/>
    </xf>
    <xf numFmtId="0" fontId="0" fillId="0" borderId="24" xfId="0" applyNumberFormat="1" applyFont="1" applyBorder="1" applyAlignment="1" applyProtection="1">
      <alignment horizontal="left"/>
      <protection/>
    </xf>
    <xf numFmtId="3" fontId="0" fillId="0" borderId="25" xfId="0" applyNumberFormat="1" applyFont="1" applyBorder="1" applyAlignment="1" applyProtection="1">
      <alignment horizontal="center"/>
      <protection locked="0"/>
    </xf>
    <xf numFmtId="3" fontId="0" fillId="0" borderId="26" xfId="0" applyNumberFormat="1" applyFont="1" applyBorder="1" applyAlignment="1" applyProtection="1">
      <alignment horizontal="center"/>
      <protection/>
    </xf>
    <xf numFmtId="3" fontId="0" fillId="0" borderId="23" xfId="0" applyNumberFormat="1" applyFont="1" applyBorder="1" applyAlignment="1" applyProtection="1">
      <alignment horizontal="center"/>
      <protection/>
    </xf>
    <xf numFmtId="3" fontId="0" fillId="0" borderId="25" xfId="0" applyNumberFormat="1" applyFont="1" applyBorder="1" applyAlignment="1" applyProtection="1">
      <alignment horizontal="center"/>
      <protection/>
    </xf>
    <xf numFmtId="3" fontId="0" fillId="0" borderId="24" xfId="0" applyNumberFormat="1" applyFont="1" applyBorder="1" applyAlignment="1" applyProtection="1">
      <alignment horizontal="center"/>
      <protection/>
    </xf>
    <xf numFmtId="0" fontId="26" fillId="0" borderId="27" xfId="0" applyNumberFormat="1" applyFont="1" applyBorder="1" applyAlignment="1" applyProtection="1">
      <alignment horizontal="left"/>
      <protection/>
    </xf>
    <xf numFmtId="0" fontId="0" fillId="0" borderId="28" xfId="0" applyNumberFormat="1" applyFont="1" applyBorder="1" applyAlignment="1" applyProtection="1">
      <alignment horizontal="left"/>
      <protection/>
    </xf>
    <xf numFmtId="3" fontId="0" fillId="0" borderId="29" xfId="0" applyNumberFormat="1" applyFont="1" applyBorder="1" applyAlignment="1" applyProtection="1">
      <alignment horizontal="center"/>
      <protection locked="0"/>
    </xf>
    <xf numFmtId="3" fontId="0" fillId="0" borderId="30" xfId="0" applyNumberFormat="1" applyFont="1" applyBorder="1" applyAlignment="1" applyProtection="1">
      <alignment horizontal="center"/>
      <protection/>
    </xf>
    <xf numFmtId="3" fontId="0" fillId="0" borderId="27" xfId="0" applyNumberFormat="1" applyFont="1" applyBorder="1" applyAlignment="1" applyProtection="1">
      <alignment horizontal="center"/>
      <protection/>
    </xf>
    <xf numFmtId="3" fontId="0" fillId="0" borderId="29" xfId="0" applyNumberFormat="1" applyFont="1" applyBorder="1" applyAlignment="1" applyProtection="1">
      <alignment horizontal="center"/>
      <protection/>
    </xf>
    <xf numFmtId="3" fontId="0" fillId="0" borderId="28" xfId="0" applyNumberFormat="1" applyFont="1" applyBorder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26" fillId="0" borderId="15" xfId="0" applyNumberFormat="1" applyFont="1" applyBorder="1" applyAlignment="1" applyProtection="1">
      <alignment horizontal="left"/>
      <protection locked="0"/>
    </xf>
    <xf numFmtId="0" fontId="0" fillId="0" borderId="16" xfId="0" applyNumberFormat="1" applyFont="1" applyBorder="1" applyAlignment="1" applyProtection="1">
      <alignment horizontal="left"/>
      <protection locked="0"/>
    </xf>
    <xf numFmtId="3" fontId="0" fillId="0" borderId="18" xfId="0" applyNumberFormat="1" applyFont="1" applyBorder="1" applyAlignment="1" applyProtection="1">
      <alignment horizontal="center"/>
      <protection locked="0"/>
    </xf>
    <xf numFmtId="3" fontId="0" fillId="0" borderId="15" xfId="0" applyNumberFormat="1" applyFont="1" applyBorder="1" applyAlignment="1" applyProtection="1">
      <alignment horizontal="center"/>
      <protection locked="0"/>
    </xf>
    <xf numFmtId="3" fontId="0" fillId="0" borderId="16" xfId="0" applyNumberFormat="1" applyFont="1" applyBorder="1" applyAlignment="1" applyProtection="1">
      <alignment horizontal="center"/>
      <protection locked="0"/>
    </xf>
    <xf numFmtId="0" fontId="26" fillId="0" borderId="19" xfId="0" applyNumberFormat="1" applyFont="1" applyBorder="1" applyAlignment="1" applyProtection="1">
      <alignment horizontal="left"/>
      <protection locked="0"/>
    </xf>
    <xf numFmtId="0" fontId="0" fillId="0" borderId="20" xfId="0" applyNumberFormat="1" applyFont="1" applyBorder="1" applyAlignment="1" applyProtection="1">
      <alignment horizontal="left"/>
      <protection locked="0"/>
    </xf>
    <xf numFmtId="3" fontId="0" fillId="0" borderId="22" xfId="0" applyNumberFormat="1" applyFont="1" applyBorder="1" applyAlignment="1" applyProtection="1">
      <alignment horizontal="center"/>
      <protection locked="0"/>
    </xf>
    <xf numFmtId="3" fontId="0" fillId="0" borderId="19" xfId="0" applyNumberFormat="1" applyFont="1" applyBorder="1" applyAlignment="1" applyProtection="1">
      <alignment horizontal="center"/>
      <protection locked="0"/>
    </xf>
    <xf numFmtId="3" fontId="0" fillId="0" borderId="20" xfId="0" applyNumberFormat="1" applyFont="1" applyBorder="1" applyAlignment="1" applyProtection="1">
      <alignment horizontal="center"/>
      <protection locked="0"/>
    </xf>
    <xf numFmtId="0" fontId="26" fillId="0" borderId="23" xfId="0" applyNumberFormat="1" applyFont="1" applyBorder="1" applyAlignment="1" applyProtection="1">
      <alignment horizontal="left"/>
      <protection locked="0"/>
    </xf>
    <xf numFmtId="0" fontId="0" fillId="0" borderId="24" xfId="0" applyNumberFormat="1" applyFont="1" applyBorder="1" applyAlignment="1" applyProtection="1">
      <alignment horizontal="left"/>
      <protection locked="0"/>
    </xf>
    <xf numFmtId="3" fontId="0" fillId="0" borderId="26" xfId="0" applyNumberFormat="1" applyFont="1" applyBorder="1" applyAlignment="1" applyProtection="1">
      <alignment horizontal="center"/>
      <protection locked="0"/>
    </xf>
    <xf numFmtId="3" fontId="0" fillId="0" borderId="23" xfId="0" applyNumberFormat="1" applyFont="1" applyBorder="1" applyAlignment="1" applyProtection="1">
      <alignment horizontal="center"/>
      <protection locked="0"/>
    </xf>
    <xf numFmtId="3" fontId="0" fillId="0" borderId="24" xfId="0" applyNumberFormat="1" applyFont="1" applyBorder="1" applyAlignment="1" applyProtection="1">
      <alignment horizontal="center"/>
      <protection locked="0"/>
    </xf>
    <xf numFmtId="0" fontId="26" fillId="0" borderId="27" xfId="0" applyNumberFormat="1" applyFont="1" applyBorder="1" applyAlignment="1" applyProtection="1">
      <alignment horizontal="left"/>
      <protection locked="0"/>
    </xf>
    <xf numFmtId="0" fontId="0" fillId="0" borderId="28" xfId="0" applyNumberFormat="1" applyFont="1" applyBorder="1" applyAlignment="1" applyProtection="1">
      <alignment horizontal="left"/>
      <protection locked="0"/>
    </xf>
    <xf numFmtId="3" fontId="0" fillId="0" borderId="30" xfId="0" applyNumberFormat="1" applyFont="1" applyBorder="1" applyAlignment="1" applyProtection="1">
      <alignment horizontal="center"/>
      <protection locked="0"/>
    </xf>
    <xf numFmtId="3" fontId="0" fillId="0" borderId="27" xfId="0" applyNumberFormat="1" applyFont="1" applyBorder="1" applyAlignment="1" applyProtection="1">
      <alignment horizontal="center"/>
      <protection locked="0"/>
    </xf>
    <xf numFmtId="3" fontId="0" fillId="0" borderId="28" xfId="0" applyNumberFormat="1" applyFont="1" applyBorder="1" applyAlignment="1" applyProtection="1">
      <alignment horizontal="center"/>
      <protection locked="0"/>
    </xf>
    <xf numFmtId="0" fontId="0" fillId="0" borderId="31" xfId="0" applyNumberFormat="1" applyFont="1" applyBorder="1" applyAlignment="1" applyProtection="1">
      <alignment horizontal="left"/>
      <protection/>
    </xf>
    <xf numFmtId="0" fontId="0" fillId="0" borderId="31" xfId="0" applyNumberFormat="1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center"/>
      <protection/>
    </xf>
    <xf numFmtId="20" fontId="21" fillId="0" borderId="0" xfId="0" applyNumberFormat="1" applyFont="1" applyBorder="1" applyAlignment="1">
      <alignment horizontal="left" wrapText="1"/>
    </xf>
    <xf numFmtId="0" fontId="26" fillId="0" borderId="0" xfId="0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/>
      <protection locked="0"/>
    </xf>
    <xf numFmtId="0" fontId="26" fillId="25" borderId="0" xfId="0" applyFont="1" applyFill="1" applyBorder="1" applyAlignment="1" applyProtection="1">
      <alignment horizontal="center" vertical="top" wrapText="1"/>
      <protection/>
    </xf>
    <xf numFmtId="0" fontId="26" fillId="26" borderId="0" xfId="0" applyFont="1" applyFill="1" applyBorder="1" applyAlignment="1" applyProtection="1">
      <alignment horizontal="center" wrapText="1"/>
      <protection/>
    </xf>
    <xf numFmtId="0" fontId="26" fillId="0" borderId="10" xfId="0" applyFont="1" applyBorder="1" applyAlignment="1" applyProtection="1">
      <alignment horizontal="center" vertical="center" textRotation="90"/>
      <protection locked="0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Dåligt" xfId="37"/>
    <cellStyle name="Färg1" xfId="38"/>
    <cellStyle name="Färg2" xfId="39"/>
    <cellStyle name="Färg3" xfId="40"/>
    <cellStyle name="Färg4" xfId="41"/>
    <cellStyle name="Färg5" xfId="42"/>
    <cellStyle name="Färg6" xfId="43"/>
    <cellStyle name="Förklarande text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1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15">
    <dxf>
      <fill>
        <patternFill patternType="solid">
          <fgColor indexed="49"/>
          <bgColor indexed="11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ill>
        <patternFill patternType="solid">
          <fgColor indexed="49"/>
          <bgColor indexed="11"/>
        </patternFill>
      </fill>
    </dxf>
    <dxf>
      <font>
        <b val="0"/>
        <color indexed="9"/>
      </font>
    </dxf>
    <dxf/>
    <dxf/>
    <dxf>
      <fill>
        <patternFill patternType="solid">
          <fgColor indexed="26"/>
          <bgColor indexed="43"/>
        </patternFill>
      </fill>
    </dxf>
    <dxf>
      <fill>
        <patternFill patternType="solid">
          <fgColor indexed="24"/>
          <bgColor indexed="46"/>
        </patternFill>
      </fill>
    </dxf>
    <dxf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A1:B17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B7" sqref="B7"/>
    </sheetView>
  </sheetViews>
  <sheetFormatPr defaultColWidth="0" defaultRowHeight="12.75" zeroHeight="1"/>
  <cols>
    <col min="1" max="1" width="35.421875" style="3" customWidth="1"/>
    <col min="2" max="2" width="38.140625" style="4" customWidth="1"/>
    <col min="3" max="16384" width="0" style="0" hidden="1" customWidth="1"/>
  </cols>
  <sheetData>
    <row r="1" spans="1:2" ht="23.25">
      <c r="A1" s="3" t="s">
        <v>0</v>
      </c>
      <c r="B1" s="5">
        <v>0.009027777777777779</v>
      </c>
    </row>
    <row r="2" spans="1:2" ht="23.25">
      <c r="A2" s="3" t="s">
        <v>1</v>
      </c>
      <c r="B2" s="5">
        <v>0.009027777777777779</v>
      </c>
    </row>
    <row r="3" spans="1:2" ht="23.25">
      <c r="A3" s="3" t="s">
        <v>2</v>
      </c>
      <c r="B3" s="5">
        <v>0.0006944444444444445</v>
      </c>
    </row>
    <row r="4" spans="1:2" ht="23.25">
      <c r="A4" s="3" t="s">
        <v>3</v>
      </c>
      <c r="B4" s="5">
        <v>0.003472222222222222</v>
      </c>
    </row>
    <row r="5" spans="1:2" ht="23.25">
      <c r="A5" s="3" t="s">
        <v>4</v>
      </c>
      <c r="B5" s="6" t="s">
        <v>78</v>
      </c>
    </row>
    <row r="6" spans="1:2" ht="23.25">
      <c r="A6" s="3" t="s">
        <v>5</v>
      </c>
      <c r="B6" s="6" t="s">
        <v>78</v>
      </c>
    </row>
    <row r="7" spans="1:2" ht="23.25">
      <c r="A7" s="3" t="s">
        <v>6</v>
      </c>
      <c r="B7" s="6" t="s">
        <v>78</v>
      </c>
    </row>
    <row r="8" spans="1:2" ht="23.25">
      <c r="A8" s="3" t="s">
        <v>7</v>
      </c>
      <c r="B8" s="5">
        <v>0.3333333333333333</v>
      </c>
    </row>
    <row r="9" spans="1:2" ht="45" customHeight="1">
      <c r="A9" s="120" t="s">
        <v>8</v>
      </c>
      <c r="B9" s="120"/>
    </row>
    <row r="10" spans="1:2" ht="23.25">
      <c r="A10" s="7" t="s">
        <v>9</v>
      </c>
      <c r="B10" s="6" t="s">
        <v>10</v>
      </c>
    </row>
    <row r="11" spans="1:2" ht="23.25">
      <c r="A11" s="7" t="s">
        <v>11</v>
      </c>
      <c r="B11" s="6" t="s">
        <v>12</v>
      </c>
    </row>
    <row r="12" spans="1:2" ht="23.25">
      <c r="A12" s="7" t="s">
        <v>13</v>
      </c>
      <c r="B12" s="6" t="s">
        <v>14</v>
      </c>
    </row>
    <row r="13" spans="1:2" ht="23.25">
      <c r="A13" s="7" t="s">
        <v>15</v>
      </c>
      <c r="B13" s="6" t="s">
        <v>16</v>
      </c>
    </row>
    <row r="14" spans="1:2" ht="23.25">
      <c r="A14" s="7" t="s">
        <v>17</v>
      </c>
      <c r="B14" s="6" t="s">
        <v>18</v>
      </c>
    </row>
    <row r="15" spans="1:2" ht="23.25">
      <c r="A15" s="7" t="s">
        <v>19</v>
      </c>
      <c r="B15" s="6" t="s">
        <v>20</v>
      </c>
    </row>
    <row r="16" spans="1:2" ht="23.25">
      <c r="A16" s="7" t="s">
        <v>21</v>
      </c>
      <c r="B16" s="6" t="s">
        <v>22</v>
      </c>
    </row>
    <row r="17" spans="1:2" ht="23.25">
      <c r="A17" s="7" t="s">
        <v>23</v>
      </c>
      <c r="B17" s="6" t="s">
        <v>24</v>
      </c>
    </row>
  </sheetData>
  <sheetProtection sheet="1" objects="1" scenarios="1"/>
  <mergeCells count="1">
    <mergeCell ref="A9:B9"/>
  </mergeCells>
  <printOptions/>
  <pageMargins left="0.75" right="0.75" top="1" bottom="1" header="0.5118055555555555" footer="0.5118055555555555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5"/>
  <dimension ref="A1:BC72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0" defaultRowHeight="12.75"/>
  <cols>
    <col min="1" max="1" width="11.28125" style="28" customWidth="1"/>
    <col min="2" max="2" width="10.140625" style="30" customWidth="1"/>
    <col min="3" max="3" width="2.140625" style="31" customWidth="1"/>
    <col min="4" max="4" width="10.140625" style="30" customWidth="1"/>
    <col min="5" max="5" width="20.8515625" style="30" customWidth="1"/>
    <col min="6" max="6" width="2.140625" style="30" customWidth="1"/>
    <col min="7" max="7" width="13.7109375" style="30" customWidth="1"/>
    <col min="8" max="8" width="0" style="30" hidden="1" customWidth="1"/>
    <col min="9" max="9" width="14.421875" style="30" customWidth="1"/>
    <col min="10" max="10" width="0" style="30" hidden="1" customWidth="1"/>
    <col min="11" max="11" width="9.28125" style="30" customWidth="1"/>
    <col min="12" max="12" width="14.140625" style="48" customWidth="1"/>
    <col min="13" max="13" width="15.00390625" style="48" customWidth="1"/>
    <col min="14" max="14" width="14.28125" style="48" customWidth="1"/>
    <col min="15" max="15" width="11.8515625" style="48" customWidth="1"/>
    <col min="16" max="16" width="15.28125" style="48" customWidth="1"/>
    <col min="17" max="17" width="8.57421875" style="48" customWidth="1"/>
    <col min="18" max="18" width="15.421875" style="48" customWidth="1"/>
    <col min="19" max="19" width="11.140625" style="48" customWidth="1"/>
    <col min="20" max="20" width="14.421875" style="48" customWidth="1"/>
    <col min="21" max="21" width="6.8515625" style="48" customWidth="1"/>
    <col min="22" max="22" width="14.140625" style="48" customWidth="1"/>
    <col min="23" max="23" width="15.00390625" style="48" customWidth="1"/>
    <col min="24" max="24" width="14.28125" style="48" customWidth="1"/>
    <col min="25" max="25" width="11.8515625" style="48" customWidth="1"/>
    <col min="26" max="26" width="15.28125" style="48" customWidth="1"/>
    <col min="27" max="27" width="8.57421875" style="48" customWidth="1"/>
    <col min="28" max="28" width="15.421875" style="48" customWidth="1"/>
    <col min="29" max="29" width="11.140625" style="48" customWidth="1"/>
    <col min="30" max="30" width="14.421875" style="48" customWidth="1"/>
    <col min="31" max="41" width="10.140625" style="48" customWidth="1"/>
    <col min="42" max="55" width="10.140625" style="3" customWidth="1"/>
    <col min="56" max="16384" width="0" style="3" hidden="1" customWidth="1"/>
  </cols>
  <sheetData>
    <row r="1" spans="1:41" s="30" customFormat="1" ht="18">
      <c r="A1" s="35">
        <f>IF(Originalschema!L1&gt;0,Originalschema!L1,"")</f>
      </c>
      <c r="C1" s="31"/>
      <c r="E1" s="36" t="str">
        <f>IF(Originalschema!F1&gt;0,Originalschema!F1,"")</f>
        <v>GRUPP A</v>
      </c>
      <c r="F1" s="36">
        <f>IF(Originalschema!G1&gt;0,Originalschema!G1,"")</f>
      </c>
      <c r="G1" s="36" t="str">
        <f>IF(Originalschema!H1&gt;0,Originalschema!H1,"")</f>
        <v>GRUPP B</v>
      </c>
      <c r="H1" s="30">
        <f>IF(Originalschema!I1&gt;0,Originalschema!I1,"")</f>
      </c>
      <c r="I1" s="30">
        <f>IF(Originalschema!J1&gt;0,Originalschema!J1,"")</f>
      </c>
      <c r="J1" s="30">
        <f>IF(Originalschema!K1&gt;0,Originalschema!K1,"")</f>
      </c>
      <c r="K1" s="30">
        <f>IF(Originalschema!L1&gt;0,Originalschema!L1,"")</f>
      </c>
      <c r="L1" s="62">
        <f>IF(Originalschema!M1&gt;0,Originalschema!M1,"")</f>
      </c>
      <c r="M1" s="119"/>
      <c r="N1" s="119"/>
      <c r="O1" s="119"/>
      <c r="P1" s="119"/>
      <c r="Q1" s="119"/>
      <c r="R1" s="119"/>
      <c r="S1" s="119"/>
      <c r="T1" s="119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</row>
    <row r="2" spans="1:12" ht="18">
      <c r="A2" s="28">
        <f>IF(Originalschema!A2&gt;0,Originalschema!A2,"")</f>
      </c>
      <c r="E2" s="31" t="str">
        <f>IF(Originalschema!F2&gt;0,Originalschema!F2,"")</f>
        <v>Svalövs BK 2</v>
      </c>
      <c r="F2" s="40">
        <f>IF(Originalschema!G2&gt;0,Originalschema!G2,"")</f>
      </c>
      <c r="G2" s="31" t="str">
        <f>IF(Originalschema!H2&gt;0,Originalschema!H2,"")</f>
        <v>Häljarps IF 1</v>
      </c>
      <c r="H2" s="40">
        <f>IF(Originalschema!I2&gt;0,Originalschema!I2,"")</f>
      </c>
      <c r="I2" s="30">
        <f>IF(Originalschema!J2&gt;0,Originalschema!J2,"")</f>
      </c>
      <c r="J2" s="30">
        <f>IF(Originalschema!K2&gt;0,Originalschema!K2,"")</f>
      </c>
      <c r="K2" s="30">
        <f>IF(Originalschema!L2&gt;0,Originalschema!L2,"")</f>
      </c>
      <c r="L2" s="48">
        <f>IF(Originalschema!M2&gt;0,Originalschema!M2,"")</f>
      </c>
    </row>
    <row r="3" spans="1:12" ht="18">
      <c r="A3" s="28">
        <f>IF(Originalschema!A3&gt;0,Originalschema!A3,"")</f>
      </c>
      <c r="E3" s="31" t="str">
        <f>IF(Originalschema!F3&gt;0,Originalschema!F3,"")</f>
        <v>Dösjöbro IF 1</v>
      </c>
      <c r="F3" s="40">
        <f>IF(Originalschema!G3&gt;0,Originalschema!G3,"")</f>
      </c>
      <c r="G3" s="31" t="str">
        <f>IF(Originalschema!H3&gt;0,Originalschema!H3,"")</f>
        <v>Dösjöbro IF 2</v>
      </c>
      <c r="H3" s="40">
        <f>IF(Originalschema!I3&gt;0,Originalschema!I3,"")</f>
      </c>
      <c r="I3" s="30">
        <f>IF(Originalschema!J3&gt;0,Originalschema!J3,"")</f>
      </c>
      <c r="J3" s="30">
        <f>IF(Originalschema!K3&gt;0,Originalschema!K3,"")</f>
      </c>
      <c r="K3" s="30">
        <f>IF(Originalschema!L3&gt;0,Originalschema!L3,"")</f>
      </c>
      <c r="L3" s="48">
        <f>IF(Originalschema!M3&gt;0,Originalschema!M3,"")</f>
      </c>
    </row>
    <row r="4" spans="1:12" ht="18">
      <c r="A4" s="28">
        <f>IF(Originalschema!L4&gt;0,Originalschema!L4,"")</f>
      </c>
      <c r="E4" s="31" t="str">
        <f>IF(Originalschema!F4&gt;0,Originalschema!F4,"")</f>
        <v>IK Wormo</v>
      </c>
      <c r="F4" s="40">
        <f>IF(Originalschema!G4&gt;0,Originalschema!G4,"")</f>
      </c>
      <c r="G4" s="31" t="str">
        <f>IF(Originalschema!H4&gt;0,Originalschema!H4,"")</f>
        <v>Åstorps FF 2</v>
      </c>
      <c r="H4" s="40">
        <f>IF(Originalschema!I4&gt;0,Originalschema!I4,"")</f>
      </c>
      <c r="I4" s="30">
        <f>IF(Originalschema!J4&gt;0,Originalschema!J4,"")</f>
      </c>
      <c r="J4" s="30">
        <f>IF(Originalschema!K4&gt;0,Originalschema!K4,"")</f>
      </c>
      <c r="K4" s="30">
        <f>IF(Originalschema!L4&gt;0,Originalschema!L4,"")</f>
      </c>
      <c r="L4" s="48">
        <f>IF(Originalschema!M4&gt;0,Originalschema!M4,"")</f>
      </c>
    </row>
    <row r="5" spans="1:12" ht="18">
      <c r="A5" s="28">
        <f>IF(Originalschema!A5&gt;0,Originalschema!A5,"")</f>
      </c>
      <c r="E5" s="31" t="str">
        <f>IF(Originalschema!F5&gt;0,Originalschema!F5,"")</f>
        <v>Häljarps IF 2</v>
      </c>
      <c r="F5" s="40">
        <f>IF(Originalschema!G5&gt;0,Originalschema!G5,"")</f>
      </c>
      <c r="G5" s="31" t="str">
        <f>IF(Originalschema!H5&gt;0,Originalschema!H5,"")</f>
        <v>Billesholms GIF</v>
      </c>
      <c r="H5" s="40">
        <f>IF(Originalschema!I5&gt;0,Originalschema!I5,"")</f>
      </c>
      <c r="I5" s="30">
        <f>IF(Originalschema!J5&gt;0,Originalschema!J5,"")</f>
      </c>
      <c r="J5" s="30">
        <f>IF(Originalschema!K5&gt;0,Originalschema!K5,"")</f>
      </c>
      <c r="K5" s="30">
        <f>IF(Originalschema!L5&gt;0,Originalschema!L5,"")</f>
      </c>
      <c r="L5" s="48">
        <f>IF(Originalschema!M5&gt;0,Originalschema!M5,"")</f>
      </c>
    </row>
    <row r="6" spans="1:12" ht="18">
      <c r="A6" s="28">
        <f>IF(Originalschema!A6&gt;0,Originalschema!A6,"")</f>
      </c>
      <c r="E6" s="31" t="str">
        <f>IF(Originalschema!F6&gt;0,Originalschema!F6,"")</f>
        <v>Åstorps FF 1</v>
      </c>
      <c r="F6" s="40">
        <f>IF(Originalschema!G6&gt;0,Originalschema!G6,"")</f>
      </c>
      <c r="G6" s="31" t="str">
        <f>IF(Originalschema!H6&gt;0,Originalschema!H6,"")</f>
        <v>Svalövs BK 1</v>
      </c>
      <c r="H6" s="40">
        <f>IF(Originalschema!I6&gt;0,Originalschema!I6,"")</f>
      </c>
      <c r="I6" s="30">
        <f>IF(Originalschema!J6&gt;0,Originalschema!J6,"")</f>
      </c>
      <c r="J6" s="30">
        <f>IF(Originalschema!K6&gt;0,Originalschema!K6,"")</f>
      </c>
      <c r="K6" s="30">
        <f>IF(Originalschema!L6&gt;0,Originalschema!L6,"")</f>
      </c>
      <c r="L6" s="48">
        <f>IF(Originalschema!M6&gt;0,Originalschema!M6,"")</f>
      </c>
    </row>
    <row r="7" spans="1:12" ht="18">
      <c r="A7" s="28">
        <f>IF(Originalschema!A7&gt;0,Originalschema!A7,"")</f>
      </c>
      <c r="E7" s="31">
        <f>IF(Originalschema!F7&gt;0,Originalschema!F7,"")</f>
      </c>
      <c r="F7" s="30">
        <f>IF(Originalschema!G7&gt;0,Originalschema!G7,"")</f>
      </c>
      <c r="G7" s="30">
        <f>IF(Originalschema!H7&gt;0,Originalschema!H7,"")</f>
      </c>
      <c r="H7" s="30">
        <f>IF(Originalschema!I7&gt;0,Originalschema!I7,"")</f>
      </c>
      <c r="I7" s="30">
        <f>IF(Originalschema!J7&gt;0,Originalschema!J7,"")</f>
      </c>
      <c r="J7" s="30">
        <f>IF(Originalschema!K7&gt;0,Originalschema!K7,"")</f>
      </c>
      <c r="K7" s="30">
        <f>IF(Originalschema!L7&gt;0,Originalschema!L7,"")</f>
      </c>
      <c r="L7" s="48">
        <f>IF(Originalschema!M7&gt;0,Originalschema!M7,"")</f>
      </c>
    </row>
    <row r="8" spans="1:30" ht="18">
      <c r="A8" s="28">
        <f>IF(Originalschema!A8&gt;0,Originalschema!A8,"")</f>
      </c>
      <c r="E8" s="31">
        <f>IF(Originalschema!F8&gt;0,Originalschema!F8,"")</f>
      </c>
      <c r="F8" s="30">
        <f>IF(Originalschema!G8&gt;0,Originalschema!G8,"")</f>
      </c>
      <c r="G8" s="30">
        <f>IF(Originalschema!H8&gt;0,Originalschema!H8,"")</f>
      </c>
      <c r="H8" s="30">
        <f>IF(Originalschema!I8&gt;0,Originalschema!I8,"")</f>
      </c>
      <c r="I8" s="30">
        <f>IF(Originalschema!J8&gt;0,Originalschema!J8,"")</f>
      </c>
      <c r="J8" s="30">
        <f>IF(Originalschema!K8&gt;0,Originalschema!K8,"")</f>
      </c>
      <c r="K8" s="30">
        <f>IF(Originalschema!L8&gt;0,Originalschema!L8,"")</f>
      </c>
      <c r="L8" s="48" t="str">
        <f>IF(Originalschema!M8&gt;0,Originalschema!M8,"")</f>
        <v>Vinst</v>
      </c>
      <c r="M8" s="48" t="str">
        <f>IF(Originalschema!N8&gt;0,Originalschema!N8,"")</f>
        <v>Vinst</v>
      </c>
      <c r="N8" s="48" t="str">
        <f>IF(Originalschema!O8&gt;0,Originalschema!O8,"")</f>
        <v>Vinst</v>
      </c>
      <c r="O8" s="48" t="str">
        <f>IF(Originalschema!P8&gt;0,Originalschema!P8,"")</f>
        <v>Vinst</v>
      </c>
      <c r="P8" s="48" t="str">
        <f>IF(Originalschema!Q8&gt;0,Originalschema!Q8,"")</f>
        <v>Vinst</v>
      </c>
      <c r="Q8" s="48" t="str">
        <f>IF(Originalschema!T8&gt;0,Originalschema!T8,"")</f>
        <v>Vinst</v>
      </c>
      <c r="R8" s="48" t="str">
        <f>IF(Originalschema!U8&gt;0,Originalschema!U8,"")</f>
        <v>Vinst</v>
      </c>
      <c r="S8" s="48" t="str">
        <f>IF(Originalschema!V8&gt;0,Originalschema!V8,"")</f>
        <v>Vinst</v>
      </c>
      <c r="T8" s="48" t="str">
        <f>IF(Originalschema!W8&gt;0,Originalschema!W8,"")</f>
        <v>Vinst</v>
      </c>
      <c r="U8" s="48" t="str">
        <f>IF(Originalschema!X8&gt;0,Originalschema!X8,"")</f>
        <v>Vinst</v>
      </c>
      <c r="V8" s="48" t="str">
        <f>IF(Originalschema!Y8&gt;0,Originalschema!Y8,"")</f>
        <v>Förlust</v>
      </c>
      <c r="W8" s="48" t="str">
        <f>IF(Originalschema!Z8&gt;0,Originalschema!Z8,"")</f>
        <v>Förlust</v>
      </c>
      <c r="X8" s="48" t="str">
        <f>IF(Originalschema!AA8&gt;0,Originalschema!AA8,"")</f>
        <v>Förlust</v>
      </c>
      <c r="Y8" s="48" t="str">
        <f>IF(Originalschema!AB8&gt;0,Originalschema!AB8,"")</f>
        <v>Förlust</v>
      </c>
      <c r="Z8" s="48" t="str">
        <f>IF(Originalschema!AC8&gt;0,Originalschema!AC8,"")</f>
        <v>Förlust</v>
      </c>
      <c r="AA8" s="48" t="str">
        <f>IF(Originalschema!AF8&gt;0,Originalschema!AF8,"")</f>
        <v>Förlust</v>
      </c>
      <c r="AB8" s="48" t="str">
        <f>IF(Originalschema!AG8&gt;0,Originalschema!AG8,"")</f>
        <v>Förlust</v>
      </c>
      <c r="AC8" s="48" t="str">
        <f>IF(Originalschema!AH8&gt;0,Originalschema!AH8,"")</f>
        <v>Förlust</v>
      </c>
      <c r="AD8" s="48" t="str">
        <f>IF(Originalschema!AI8&gt;0,Originalschema!AI8,"")</f>
        <v>Förlust</v>
      </c>
    </row>
    <row r="9" spans="1:41" s="29" customFormat="1" ht="18">
      <c r="A9" s="28" t="str">
        <f>IF(Originalschema!A9&gt;0,Originalschema!A9,"")</f>
        <v>Match</v>
      </c>
      <c r="C9" s="36"/>
      <c r="E9" s="29">
        <f>IF(Originalschema!F9&gt;0,Originalschema!F9,"")</f>
      </c>
      <c r="F9" s="29">
        <f>IF(Originalschema!G9&gt;0,Originalschema!G9,"")</f>
      </c>
      <c r="G9" s="29">
        <f>IF(Originalschema!H9&gt;0,Originalschema!H9,"")</f>
      </c>
      <c r="H9" s="121" t="str">
        <f>IF(Originalschema!I9&gt;0,Originalschema!I9,"")</f>
        <v>Resultat</v>
      </c>
      <c r="I9" s="121" t="e">
        <f>IF(#REF!&gt;0,#REF!,"")</f>
        <v>#REF!</v>
      </c>
      <c r="J9" s="121" t="e">
        <f>IF(#REF!&gt;0,#REF!,"")</f>
        <v>#REF!</v>
      </c>
      <c r="K9" s="2" t="str">
        <f>IF(Originalschema!L9&gt;0,Originalschema!L9,"")</f>
        <v>Spelad</v>
      </c>
      <c r="L9" s="2" t="str">
        <f>IF(Originalschema!M9&gt;0,Originalschema!M9,"")</f>
        <v>Svalövs BK 2</v>
      </c>
      <c r="M9" s="2" t="str">
        <f>IF(Originalschema!N9&gt;0,Originalschema!N9,"")</f>
        <v>Dösjöbro IF 1</v>
      </c>
      <c r="N9" s="2" t="str">
        <f>IF(Originalschema!O9&gt;0,Originalschema!O9,"")</f>
        <v>IK Wormo</v>
      </c>
      <c r="O9" s="2" t="str">
        <f>IF(Originalschema!P9&gt;0,Originalschema!P9,"")</f>
        <v>Häljarps IF 2</v>
      </c>
      <c r="P9" s="2" t="str">
        <f>IF(Originalschema!Q9&gt;0,Originalschema!Q9,"")</f>
        <v>Åstorps FF 1</v>
      </c>
      <c r="Q9" s="2" t="str">
        <f>IF(Originalschema!T9&gt;0,Originalschema!T9,"")</f>
        <v>Häljarps IF 1</v>
      </c>
      <c r="R9" s="2" t="str">
        <f>IF(Originalschema!U9&gt;0,Originalschema!U9,"")</f>
        <v>Dösjöbro IF 2</v>
      </c>
      <c r="S9" s="2" t="str">
        <f>IF(Originalschema!V9&gt;0,Originalschema!V9,"")</f>
        <v>Åstorps FF 2</v>
      </c>
      <c r="T9" s="2" t="str">
        <f>IF(Originalschema!W9&gt;0,Originalschema!W9,"")</f>
        <v>Billesholms GIF</v>
      </c>
      <c r="U9" s="2" t="str">
        <f>IF(Originalschema!X9&gt;0,Originalschema!X9,"")</f>
        <v>Svalövs BK 1</v>
      </c>
      <c r="V9" s="2" t="str">
        <f>IF(Originalschema!Y9&gt;0,Originalschema!Y9,"")</f>
        <v>Svalövs BK 2</v>
      </c>
      <c r="W9" s="2" t="str">
        <f>IF(Originalschema!Z9&gt;0,Originalschema!Z9,"")</f>
        <v>Dösjöbro IF 1</v>
      </c>
      <c r="X9" s="2" t="str">
        <f>IF(Originalschema!AA9&gt;0,Originalschema!AA9,"")</f>
        <v>IK Wormo</v>
      </c>
      <c r="Y9" s="2" t="str">
        <f>IF(Originalschema!AB9&gt;0,Originalschema!AB9,"")</f>
        <v>Häljarps IF 2</v>
      </c>
      <c r="Z9" s="2" t="str">
        <f>IF(Originalschema!AC9&gt;0,Originalschema!AC9,"")</f>
        <v>Åstorps FF 1</v>
      </c>
      <c r="AA9" s="2" t="str">
        <f>IF(Originalschema!AF9&gt;0,Originalschema!AF9,"")</f>
        <v>Häljarps IF 1</v>
      </c>
      <c r="AB9" s="2" t="str">
        <f>IF(Originalschema!AG9&gt;0,Originalschema!AG9,"")</f>
        <v>Dösjöbro IF 2</v>
      </c>
      <c r="AC9" s="2" t="str">
        <f>IF(Originalschema!AH9&gt;0,Originalschema!AH9,"")</f>
        <v>Åstorps FF 2</v>
      </c>
      <c r="AD9" s="2" t="str">
        <f>IF(Originalschema!AI9&gt;0,Originalschema!AI9,"")</f>
        <v>Billesholms GIF</v>
      </c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55" ht="18">
      <c r="A10" s="49">
        <f>IF((OR(Originalschema!F11="vakant",Originalschema!H11="vakant")),Originalschema!A12,Originalschema!A11)</f>
        <v>1</v>
      </c>
      <c r="B10" s="51"/>
      <c r="D10" s="51"/>
      <c r="E10" s="30" t="str">
        <f>IF(OR(Originalschema!F11="vakant",Originalschema!H11="vakant"),Originalschema!F12,Originalschema!F11)</f>
        <v>Svalövs BK 2</v>
      </c>
      <c r="F10" s="31" t="str">
        <f>+IF(Originalschema!G11&gt;0,Originalschema!G11,"")</f>
        <v>-</v>
      </c>
      <c r="G10" s="30" t="str">
        <f>IF(OR(Originalschema!H11="vakant",Originalschema!F11="vakant"),Originalschema!H12,Originalschema!H11)</f>
        <v>Dösjöbro IF 1</v>
      </c>
      <c r="H10" s="31">
        <f>+IF(Originalschema!I11&gt;0,Originalschema!I11,"")</f>
      </c>
      <c r="I10" s="31" t="str">
        <f>+IF(Originalschema!J11&gt;0,Originalschema!J11,"")</f>
        <v>-</v>
      </c>
      <c r="J10" s="31">
        <f>+IF(Originalschema!K11&gt;0,Originalschema!K11,"")</f>
      </c>
      <c r="K10" s="31">
        <f>+IF(Originalschema!L11&gt;0,Originalschema!L11,"")</f>
      </c>
      <c r="L10" s="48">
        <f>IF(Originalschema!M11&gt;0,Originalschema!M11,"")</f>
      </c>
      <c r="M10" s="48">
        <f>IF(Originalschema!N11&gt;0,Originalschema!N11,"")</f>
      </c>
      <c r="N10" s="48">
        <f>IF(Originalschema!O11&gt;0,Originalschema!O11,"")</f>
      </c>
      <c r="O10" s="48">
        <f>IF(Originalschema!P11&gt;0,Originalschema!P11,"")</f>
      </c>
      <c r="P10" s="48">
        <f>IF(Originalschema!Q11&gt;0,Originalschema!Q11,"")</f>
      </c>
      <c r="Q10" s="48">
        <f>IF(Originalschema!T11&gt;0,Originalschema!T11,"")</f>
      </c>
      <c r="R10" s="48">
        <f>IF(Originalschema!U11&gt;0,Originalschema!U11,"")</f>
      </c>
      <c r="S10" s="48">
        <f>IF(Originalschema!V11&gt;0,Originalschema!V11,"")</f>
      </c>
      <c r="T10" s="48">
        <f>IF(Originalschema!W11&gt;0,Originalschema!W11,"")</f>
      </c>
      <c r="U10" s="48">
        <f>IF(Originalschema!X11&gt;0,Originalschema!X11,"")</f>
      </c>
      <c r="V10" s="48">
        <f>IF(Originalschema!Y11&gt;0,Originalschema!Y11,"")</f>
      </c>
      <c r="W10" s="48">
        <f>IF(Originalschema!Z11&gt;0,Originalschema!Z11,"")</f>
      </c>
      <c r="X10" s="48">
        <f>IF(Originalschema!AA11&gt;0,Originalschema!AA11,"")</f>
      </c>
      <c r="Y10" s="48">
        <f>IF(Originalschema!AB11&gt;0,Originalschema!AB11,"")</f>
      </c>
      <c r="Z10" s="48">
        <f>IF(Originalschema!AC11&gt;0,Originalschema!AC11,"")</f>
      </c>
      <c r="AA10" s="48">
        <f>IF(Originalschema!AF11&gt;0,Originalschema!AF11,"")</f>
      </c>
      <c r="AB10" s="48">
        <f>IF(Originalschema!AG11&gt;0,Originalschema!AG11,"")</f>
      </c>
      <c r="AC10" s="48">
        <f>IF(Originalschema!AH11&gt;0,Originalschema!AH11,"")</f>
      </c>
      <c r="AD10" s="48">
        <f>IF(Originalschema!AI11&gt;0,Originalschema!AI11,"")</f>
      </c>
      <c r="AE10" s="48">
        <f>+IF(A10=A9,A11,A10)</f>
        <v>1</v>
      </c>
      <c r="AF10" s="48">
        <f aca="true" t="shared" si="0" ref="AF10:AX10">+IF(AE10=AE9,AE11,AE10)</f>
        <v>1</v>
      </c>
      <c r="AG10" s="48">
        <f t="shared" si="0"/>
        <v>1</v>
      </c>
      <c r="AH10" s="48">
        <f t="shared" si="0"/>
        <v>1</v>
      </c>
      <c r="AI10" s="48">
        <f t="shared" si="0"/>
        <v>1</v>
      </c>
      <c r="AJ10" s="48">
        <f t="shared" si="0"/>
        <v>1</v>
      </c>
      <c r="AK10" s="48">
        <f t="shared" si="0"/>
        <v>1</v>
      </c>
      <c r="AL10" s="48">
        <f t="shared" si="0"/>
        <v>1</v>
      </c>
      <c r="AM10" s="48">
        <f t="shared" si="0"/>
        <v>1</v>
      </c>
      <c r="AN10" s="48">
        <f t="shared" si="0"/>
        <v>1</v>
      </c>
      <c r="AO10" s="48">
        <f t="shared" si="0"/>
        <v>1</v>
      </c>
      <c r="AP10" s="48">
        <f t="shared" si="0"/>
        <v>1</v>
      </c>
      <c r="AQ10" s="48">
        <f t="shared" si="0"/>
        <v>1</v>
      </c>
      <c r="AR10" s="48">
        <f t="shared" si="0"/>
        <v>1</v>
      </c>
      <c r="AS10" s="48">
        <f t="shared" si="0"/>
        <v>1</v>
      </c>
      <c r="AT10" s="48">
        <f t="shared" si="0"/>
        <v>1</v>
      </c>
      <c r="AU10" s="48">
        <f t="shared" si="0"/>
        <v>1</v>
      </c>
      <c r="AV10" s="48">
        <f t="shared" si="0"/>
        <v>1</v>
      </c>
      <c r="AW10" s="48">
        <f t="shared" si="0"/>
        <v>1</v>
      </c>
      <c r="AX10" s="48">
        <f t="shared" si="0"/>
        <v>1</v>
      </c>
      <c r="AY10" s="48">
        <f>+IF(AX10=AX9,AX11,AX10)</f>
        <v>1</v>
      </c>
      <c r="AZ10" s="48">
        <f>+IF(AY10=AY9,AY11,AY10)</f>
        <v>1</v>
      </c>
      <c r="BA10" s="48">
        <f>+IF(AZ10=AZ9,AZ11,AZ10)</f>
        <v>1</v>
      </c>
      <c r="BB10" s="48">
        <f>+IF(BA10=BA9,BA11,BA10)</f>
        <v>1</v>
      </c>
      <c r="BC10" s="48">
        <f>+IF(BB10=BB9,BB11,BB10)</f>
        <v>1</v>
      </c>
    </row>
    <row r="11" spans="1:55" ht="18">
      <c r="A11" s="49">
        <f>IF((OR(Originalschema!F12="vakant",Originalschema!H12="vakant")),Originalschema!A13,Originalschema!A12)</f>
        <v>2</v>
      </c>
      <c r="B11" s="51"/>
      <c r="D11" s="51"/>
      <c r="E11" s="30" t="str">
        <f>IF(OR(Originalschema!F12="vakant",Originalschema!H12="vakant"),Originalschema!F13,Originalschema!F12)</f>
        <v>IK Wormo</v>
      </c>
      <c r="F11" s="31" t="str">
        <f>+IF(Originalschema!G12&gt;0,Originalschema!G12,"")</f>
        <v>-</v>
      </c>
      <c r="G11" s="30" t="str">
        <f>IF(OR(Originalschema!H12="vakant",Originalschema!F12="vakant"),Originalschema!H13,Originalschema!H12)</f>
        <v>Häljarps IF 2</v>
      </c>
      <c r="H11" s="31">
        <f>+IF(Originalschema!I12&gt;0,Originalschema!I12,"")</f>
      </c>
      <c r="I11" s="31" t="str">
        <f>+IF(Originalschema!J12&gt;0,Originalschema!J12,"")</f>
        <v>-</v>
      </c>
      <c r="J11" s="31">
        <f>+IF(Originalschema!K12&gt;0,Originalschema!K12,"")</f>
      </c>
      <c r="K11" s="31">
        <f>+IF(Originalschema!L12&gt;0,Originalschema!L12,"")</f>
      </c>
      <c r="L11" s="48">
        <f>IF(Originalschema!M12&gt;0,Originalschema!M12,"")</f>
      </c>
      <c r="M11" s="48">
        <f>IF(Originalschema!N12&gt;0,Originalschema!N12,"")</f>
      </c>
      <c r="N11" s="48">
        <f>IF(Originalschema!O12&gt;0,Originalschema!O12,"")</f>
      </c>
      <c r="O11" s="48">
        <f>IF(Originalschema!P12&gt;0,Originalschema!P12,"")</f>
      </c>
      <c r="P11" s="48">
        <f>IF(Originalschema!Q12&gt;0,Originalschema!Q12,"")</f>
      </c>
      <c r="Q11" s="48">
        <f>IF(Originalschema!T12&gt;0,Originalschema!T12,"")</f>
      </c>
      <c r="R11" s="48">
        <f>IF(Originalschema!U12&gt;0,Originalschema!U12,"")</f>
      </c>
      <c r="S11" s="48">
        <f>IF(Originalschema!V12&gt;0,Originalschema!V12,"")</f>
      </c>
      <c r="T11" s="48">
        <f>IF(Originalschema!W12&gt;0,Originalschema!W12,"")</f>
      </c>
      <c r="U11" s="48">
        <f>IF(Originalschema!X12&gt;0,Originalschema!X12,"")</f>
      </c>
      <c r="V11" s="48">
        <f>IF(Originalschema!Y12&gt;0,Originalschema!Y12,"")</f>
      </c>
      <c r="W11" s="48">
        <f>IF(Originalschema!Z12&gt;0,Originalschema!Z12,"")</f>
      </c>
      <c r="X11" s="48">
        <f>IF(Originalschema!AA12&gt;0,Originalschema!AA12,"")</f>
      </c>
      <c r="Y11" s="48">
        <f>IF(Originalschema!AB12&gt;0,Originalschema!AB12,"")</f>
      </c>
      <c r="Z11" s="48">
        <f>IF(Originalschema!AC12&gt;0,Originalschema!AC12,"")</f>
      </c>
      <c r="AA11" s="48">
        <f>IF(Originalschema!AF12&gt;0,Originalschema!AF12,"")</f>
      </c>
      <c r="AB11" s="48">
        <f>IF(Originalschema!AG12&gt;0,Originalschema!AG12,"")</f>
      </c>
      <c r="AC11" s="48">
        <f>IF(Originalschema!AH12&gt;0,Originalschema!AH12,"")</f>
      </c>
      <c r="AD11" s="48">
        <f>IF(Originalschema!AI12&gt;0,Originalschema!AI12,"")</f>
      </c>
      <c r="AE11" s="48">
        <f aca="true" t="shared" si="1" ref="AE11:AE30">+IF(A11=A10,A12,A11)</f>
        <v>2</v>
      </c>
      <c r="AF11" s="48">
        <f aca="true" t="shared" si="2" ref="AF11:AF30">+IF(AE11=AE10,AE12,AE11)</f>
        <v>2</v>
      </c>
      <c r="AG11" s="48">
        <f aca="true" t="shared" si="3" ref="AG11:AG30">+IF(AF11=AF10,AF12,AF11)</f>
        <v>2</v>
      </c>
      <c r="AH11" s="48">
        <f aca="true" t="shared" si="4" ref="AH11:AH30">+IF(AG11=AG10,AG12,AG11)</f>
        <v>2</v>
      </c>
      <c r="AI11" s="48">
        <f aca="true" t="shared" si="5" ref="AI11:AI30">+IF(AH11=AH10,AH12,AH11)</f>
        <v>2</v>
      </c>
      <c r="AJ11" s="48">
        <f aca="true" t="shared" si="6" ref="AJ11:AJ30">+IF(AI11=AI10,AI12,AI11)</f>
        <v>2</v>
      </c>
      <c r="AK11" s="48">
        <f aca="true" t="shared" si="7" ref="AK11:AK30">+IF(AJ11=AJ10,AJ12,AJ11)</f>
        <v>2</v>
      </c>
      <c r="AL11" s="48">
        <f aca="true" t="shared" si="8" ref="AL11:AL30">+IF(AK11=AK10,AK12,AK11)</f>
        <v>2</v>
      </c>
      <c r="AM11" s="48">
        <f aca="true" t="shared" si="9" ref="AM11:AM30">+IF(AL11=AL10,AL12,AL11)</f>
        <v>2</v>
      </c>
      <c r="AN11" s="48">
        <f aca="true" t="shared" si="10" ref="AN11:AN30">+IF(AM11=AM10,AM12,AM11)</f>
        <v>2</v>
      </c>
      <c r="AO11" s="48">
        <f aca="true" t="shared" si="11" ref="AO11:AO30">+IF(AN11=AN10,AN12,AN11)</f>
        <v>2</v>
      </c>
      <c r="AP11" s="48">
        <f aca="true" t="shared" si="12" ref="AP11:AP30">+IF(AO11=AO10,AO12,AO11)</f>
        <v>2</v>
      </c>
      <c r="AQ11" s="48">
        <f aca="true" t="shared" si="13" ref="AQ11:AQ30">+IF(AP11=AP10,AP12,AP11)</f>
        <v>2</v>
      </c>
      <c r="AR11" s="48">
        <f aca="true" t="shared" si="14" ref="AR11:AR30">+IF(AQ11=AQ10,AQ12,AQ11)</f>
        <v>2</v>
      </c>
      <c r="AS11" s="48">
        <f aca="true" t="shared" si="15" ref="AS11:AS30">+IF(AR11=AR10,AR12,AR11)</f>
        <v>2</v>
      </c>
      <c r="AT11" s="48">
        <f aca="true" t="shared" si="16" ref="AT11:AT30">+IF(AS11=AS10,AS12,AS11)</f>
        <v>2</v>
      </c>
      <c r="AU11" s="48">
        <f aca="true" t="shared" si="17" ref="AU11:AU30">+IF(AT11=AT10,AT12,AT11)</f>
        <v>2</v>
      </c>
      <c r="AV11" s="48">
        <f aca="true" t="shared" si="18" ref="AV11:AV30">+IF(AU11=AU10,AU12,AU11)</f>
        <v>2</v>
      </c>
      <c r="AW11" s="48">
        <f aca="true" t="shared" si="19" ref="AW11:AW30">+IF(AV11=AV10,AV12,AV11)</f>
        <v>2</v>
      </c>
      <c r="AX11" s="48">
        <f aca="true" t="shared" si="20" ref="AX11:AX30">+IF(AW11=AW10,AW12,AW11)</f>
        <v>2</v>
      </c>
      <c r="AY11" s="48">
        <f aca="true" t="shared" si="21" ref="AY11:AY30">+IF(AX11=AX10,AX12,AX11)</f>
        <v>2</v>
      </c>
      <c r="AZ11" s="48">
        <f aca="true" t="shared" si="22" ref="AZ11:AZ30">+IF(AY11=AY10,AY12,AY11)</f>
        <v>2</v>
      </c>
      <c r="BA11" s="48">
        <f aca="true" t="shared" si="23" ref="BA11:BA30">+IF(AZ11=AZ10,AZ12,AZ11)</f>
        <v>2</v>
      </c>
      <c r="BB11" s="48">
        <f aca="true" t="shared" si="24" ref="BB11:BB30">+IF(BA11=BA10,BA12,BA11)</f>
        <v>2</v>
      </c>
      <c r="BC11" s="48">
        <f aca="true" t="shared" si="25" ref="BC11:BC30">+IF(BB11=BB10,BB12,BB11)</f>
        <v>2</v>
      </c>
    </row>
    <row r="12" spans="1:55" ht="18">
      <c r="A12" s="49">
        <f>IF((OR(Originalschema!F13="vakant",Originalschema!H13="vakant")),Originalschema!A14,Originalschema!A13)</f>
        <v>3</v>
      </c>
      <c r="B12" s="51"/>
      <c r="D12" s="51"/>
      <c r="E12" s="30" t="str">
        <f>IF(OR(Originalschema!F13="vakant",Originalschema!H13="vakant"),Originalschema!F14,Originalschema!F13)</f>
        <v>Häljarps IF 1</v>
      </c>
      <c r="F12" s="31" t="str">
        <f>+IF(Originalschema!G13&gt;0,Originalschema!G13,"")</f>
        <v>-</v>
      </c>
      <c r="G12" s="30" t="str">
        <f>IF(OR(Originalschema!H13="vakant",Originalschema!F13="vakant"),Originalschema!H14,Originalschema!H13)</f>
        <v>Dösjöbro IF 2</v>
      </c>
      <c r="H12" s="31">
        <f>+IF(Originalschema!I13&gt;0,Originalschema!I13,"")</f>
      </c>
      <c r="I12" s="31" t="str">
        <f>+IF(Originalschema!J13&gt;0,Originalschema!J13,"")</f>
        <v>-</v>
      </c>
      <c r="J12" s="31">
        <f>+IF(Originalschema!K13&gt;0,Originalschema!K13,"")</f>
      </c>
      <c r="K12" s="31">
        <f>+IF(Originalschema!L13&gt;0,Originalschema!L13,"")</f>
      </c>
      <c r="L12" s="48">
        <f>IF(Originalschema!M13&gt;0,Originalschema!M13,"")</f>
      </c>
      <c r="M12" s="48">
        <f>IF(Originalschema!N13&gt;0,Originalschema!N13,"")</f>
      </c>
      <c r="N12" s="48">
        <f>IF(Originalschema!O13&gt;0,Originalschema!O13,"")</f>
      </c>
      <c r="O12" s="48">
        <f>IF(Originalschema!P13&gt;0,Originalschema!P13,"")</f>
      </c>
      <c r="P12" s="48">
        <f>IF(Originalschema!Q13&gt;0,Originalschema!Q13,"")</f>
      </c>
      <c r="Q12" s="48">
        <f>IF(Originalschema!T13&gt;0,Originalschema!T13,"")</f>
      </c>
      <c r="R12" s="48">
        <f>IF(Originalschema!U13&gt;0,Originalschema!U13,"")</f>
      </c>
      <c r="S12" s="48">
        <f>IF(Originalschema!V13&gt;0,Originalschema!V13,"")</f>
      </c>
      <c r="T12" s="48">
        <f>IF(Originalschema!W13&gt;0,Originalschema!W13,"")</f>
      </c>
      <c r="U12" s="48">
        <f>IF(Originalschema!X13&gt;0,Originalschema!X13,"")</f>
      </c>
      <c r="V12" s="48">
        <f>IF(Originalschema!Y13&gt;0,Originalschema!Y13,"")</f>
      </c>
      <c r="W12" s="48">
        <f>IF(Originalschema!Z13&gt;0,Originalschema!Z13,"")</f>
      </c>
      <c r="X12" s="48">
        <f>IF(Originalschema!AA13&gt;0,Originalschema!AA13,"")</f>
      </c>
      <c r="Y12" s="48">
        <f>IF(Originalschema!AB13&gt;0,Originalschema!AB13,"")</f>
      </c>
      <c r="Z12" s="48">
        <f>IF(Originalschema!AC13&gt;0,Originalschema!AC13,"")</f>
      </c>
      <c r="AA12" s="48">
        <f>IF(Originalschema!AF13&gt;0,Originalschema!AF13,"")</f>
      </c>
      <c r="AB12" s="48">
        <f>IF(Originalschema!AG13&gt;0,Originalschema!AG13,"")</f>
      </c>
      <c r="AC12" s="48">
        <f>IF(Originalschema!AH13&gt;0,Originalschema!AH13,"")</f>
      </c>
      <c r="AD12" s="48">
        <f>IF(Originalschema!AI13&gt;0,Originalschema!AI13,"")</f>
      </c>
      <c r="AE12" s="48">
        <f t="shared" si="1"/>
        <v>3</v>
      </c>
      <c r="AF12" s="48">
        <f t="shared" si="2"/>
        <v>3</v>
      </c>
      <c r="AG12" s="48">
        <f t="shared" si="3"/>
        <v>3</v>
      </c>
      <c r="AH12" s="48">
        <f t="shared" si="4"/>
        <v>3</v>
      </c>
      <c r="AI12" s="48">
        <f t="shared" si="5"/>
        <v>3</v>
      </c>
      <c r="AJ12" s="48">
        <f t="shared" si="6"/>
        <v>3</v>
      </c>
      <c r="AK12" s="48">
        <f t="shared" si="7"/>
        <v>3</v>
      </c>
      <c r="AL12" s="48">
        <f t="shared" si="8"/>
        <v>3</v>
      </c>
      <c r="AM12" s="48">
        <f t="shared" si="9"/>
        <v>3</v>
      </c>
      <c r="AN12" s="48">
        <f t="shared" si="10"/>
        <v>3</v>
      </c>
      <c r="AO12" s="48">
        <f t="shared" si="11"/>
        <v>3</v>
      </c>
      <c r="AP12" s="48">
        <f t="shared" si="12"/>
        <v>3</v>
      </c>
      <c r="AQ12" s="48">
        <f t="shared" si="13"/>
        <v>3</v>
      </c>
      <c r="AR12" s="48">
        <f t="shared" si="14"/>
        <v>3</v>
      </c>
      <c r="AS12" s="48">
        <f t="shared" si="15"/>
        <v>3</v>
      </c>
      <c r="AT12" s="48">
        <f t="shared" si="16"/>
        <v>3</v>
      </c>
      <c r="AU12" s="48">
        <f t="shared" si="17"/>
        <v>3</v>
      </c>
      <c r="AV12" s="48">
        <f t="shared" si="18"/>
        <v>3</v>
      </c>
      <c r="AW12" s="48">
        <f t="shared" si="19"/>
        <v>3</v>
      </c>
      <c r="AX12" s="48">
        <f t="shared" si="20"/>
        <v>3</v>
      </c>
      <c r="AY12" s="48">
        <f t="shared" si="21"/>
        <v>3</v>
      </c>
      <c r="AZ12" s="48">
        <f t="shared" si="22"/>
        <v>3</v>
      </c>
      <c r="BA12" s="48">
        <f t="shared" si="23"/>
        <v>3</v>
      </c>
      <c r="BB12" s="48">
        <f t="shared" si="24"/>
        <v>3</v>
      </c>
      <c r="BC12" s="48">
        <f t="shared" si="25"/>
        <v>3</v>
      </c>
    </row>
    <row r="13" spans="1:55" ht="18">
      <c r="A13" s="49">
        <f>IF((OR(Originalschema!F14="vakant",Originalschema!H14="vakant")),Originalschema!A15,Originalschema!A14)</f>
        <v>4</v>
      </c>
      <c r="B13" s="51"/>
      <c r="D13" s="51"/>
      <c r="E13" s="30" t="str">
        <f>IF(OR(Originalschema!F14="vakant",Originalschema!H14="vakant"),Originalschema!F15,Originalschema!F14)</f>
        <v>Åstorps FF 2</v>
      </c>
      <c r="F13" s="31" t="str">
        <f>+IF(Originalschema!G14&gt;0,Originalschema!G14,"")</f>
        <v>-</v>
      </c>
      <c r="G13" s="30" t="str">
        <f>IF(OR(Originalschema!H14="vakant",Originalschema!F14="vakant"),Originalschema!H15,Originalschema!H14)</f>
        <v>Billesholms GIF</v>
      </c>
      <c r="H13" s="31">
        <f>+IF(Originalschema!I14&gt;0,Originalschema!I14,"")</f>
      </c>
      <c r="I13" s="31" t="str">
        <f>+IF(Originalschema!J14&gt;0,Originalschema!J14,"")</f>
        <v>-</v>
      </c>
      <c r="J13" s="31">
        <f>+IF(Originalschema!K14&gt;0,Originalschema!K14,"")</f>
      </c>
      <c r="K13" s="31">
        <f>+IF(Originalschema!L14&gt;0,Originalschema!L14,"")</f>
      </c>
      <c r="L13" s="48">
        <f>IF(Originalschema!M14&gt;0,Originalschema!M14,"")</f>
      </c>
      <c r="M13" s="48">
        <f>IF(Originalschema!N14&gt;0,Originalschema!N14,"")</f>
      </c>
      <c r="N13" s="48">
        <f>IF(Originalschema!O14&gt;0,Originalschema!O14,"")</f>
      </c>
      <c r="O13" s="48">
        <f>IF(Originalschema!P14&gt;0,Originalschema!P14,"")</f>
      </c>
      <c r="P13" s="48">
        <f>IF(Originalschema!Q14&gt;0,Originalschema!Q14,"")</f>
      </c>
      <c r="Q13" s="48">
        <f>IF(Originalschema!T14&gt;0,Originalschema!T14,"")</f>
      </c>
      <c r="R13" s="48">
        <f>IF(Originalschema!U14&gt;0,Originalschema!U14,"")</f>
      </c>
      <c r="S13" s="48">
        <f>IF(Originalschema!V14&gt;0,Originalschema!V14,"")</f>
      </c>
      <c r="T13" s="48">
        <f>IF(Originalschema!W14&gt;0,Originalschema!W14,"")</f>
      </c>
      <c r="U13" s="48">
        <f>IF(Originalschema!X14&gt;0,Originalschema!X14,"")</f>
      </c>
      <c r="V13" s="48">
        <f>IF(Originalschema!Y14&gt;0,Originalschema!Y14,"")</f>
      </c>
      <c r="W13" s="48">
        <f>IF(Originalschema!Z14&gt;0,Originalschema!Z14,"")</f>
      </c>
      <c r="X13" s="48">
        <f>IF(Originalschema!AA14&gt;0,Originalschema!AA14,"")</f>
      </c>
      <c r="Y13" s="48">
        <f>IF(Originalschema!AB14&gt;0,Originalschema!AB14,"")</f>
      </c>
      <c r="Z13" s="48">
        <f>IF(Originalschema!AC14&gt;0,Originalschema!AC14,"")</f>
      </c>
      <c r="AA13" s="48">
        <f>IF(Originalschema!AF14&gt;0,Originalschema!AF14,"")</f>
      </c>
      <c r="AB13" s="48">
        <f>IF(Originalschema!AG14&gt;0,Originalschema!AG14,"")</f>
      </c>
      <c r="AC13" s="48">
        <f>IF(Originalschema!AH14&gt;0,Originalschema!AH14,"")</f>
      </c>
      <c r="AD13" s="48">
        <f>IF(Originalschema!AI14&gt;0,Originalschema!AI14,"")</f>
      </c>
      <c r="AE13" s="48">
        <f t="shared" si="1"/>
        <v>4</v>
      </c>
      <c r="AF13" s="48">
        <f t="shared" si="2"/>
        <v>4</v>
      </c>
      <c r="AG13" s="48">
        <f t="shared" si="3"/>
        <v>4</v>
      </c>
      <c r="AH13" s="48">
        <f t="shared" si="4"/>
        <v>4</v>
      </c>
      <c r="AI13" s="48">
        <f t="shared" si="5"/>
        <v>4</v>
      </c>
      <c r="AJ13" s="48">
        <f t="shared" si="6"/>
        <v>4</v>
      </c>
      <c r="AK13" s="48">
        <f t="shared" si="7"/>
        <v>4</v>
      </c>
      <c r="AL13" s="48">
        <f t="shared" si="8"/>
        <v>4</v>
      </c>
      <c r="AM13" s="48">
        <f t="shared" si="9"/>
        <v>4</v>
      </c>
      <c r="AN13" s="48">
        <f t="shared" si="10"/>
        <v>4</v>
      </c>
      <c r="AO13" s="48">
        <f t="shared" si="11"/>
        <v>4</v>
      </c>
      <c r="AP13" s="48">
        <f t="shared" si="12"/>
        <v>4</v>
      </c>
      <c r="AQ13" s="48">
        <f t="shared" si="13"/>
        <v>4</v>
      </c>
      <c r="AR13" s="48">
        <f t="shared" si="14"/>
        <v>4</v>
      </c>
      <c r="AS13" s="48">
        <f t="shared" si="15"/>
        <v>4</v>
      </c>
      <c r="AT13" s="48">
        <f t="shared" si="16"/>
        <v>4</v>
      </c>
      <c r="AU13" s="48">
        <f t="shared" si="17"/>
        <v>4</v>
      </c>
      <c r="AV13" s="48">
        <f t="shared" si="18"/>
        <v>4</v>
      </c>
      <c r="AW13" s="48">
        <f t="shared" si="19"/>
        <v>4</v>
      </c>
      <c r="AX13" s="48">
        <f t="shared" si="20"/>
        <v>4</v>
      </c>
      <c r="AY13" s="48">
        <f t="shared" si="21"/>
        <v>4</v>
      </c>
      <c r="AZ13" s="48">
        <f t="shared" si="22"/>
        <v>4</v>
      </c>
      <c r="BA13" s="48">
        <f t="shared" si="23"/>
        <v>4</v>
      </c>
      <c r="BB13" s="48">
        <f t="shared" si="24"/>
        <v>4</v>
      </c>
      <c r="BC13" s="48">
        <f t="shared" si="25"/>
        <v>4</v>
      </c>
    </row>
    <row r="14" spans="1:55" ht="18">
      <c r="A14" s="49">
        <f>IF((OR(Originalschema!F15="vakant",Originalschema!H15="vakant")),Originalschema!A16,Originalschema!A15)</f>
        <v>0</v>
      </c>
      <c r="B14" s="51"/>
      <c r="D14" s="51"/>
      <c r="E14" s="30">
        <f>IF(OR(Originalschema!F15="vakant",Originalschema!H15="vakant"),Originalschema!F16,Originalschema!F15)</f>
        <v>0</v>
      </c>
      <c r="F14" s="31">
        <f>+IF(Originalschema!G15&gt;0,Originalschema!G15,"")</f>
      </c>
      <c r="G14" s="30">
        <f>IF(OR(Originalschema!H15="vakant",Originalschema!F15="vakant"),Originalschema!H16,Originalschema!H15)</f>
        <v>0</v>
      </c>
      <c r="H14" s="31">
        <f>+IF(Originalschema!I15&gt;0,Originalschema!I15,"")</f>
      </c>
      <c r="I14" s="31">
        <f>+IF(Originalschema!J15&gt;0,Originalschema!J15,"")</f>
      </c>
      <c r="J14" s="31">
        <f>+IF(Originalschema!K15&gt;0,Originalschema!K15,"")</f>
      </c>
      <c r="K14" s="31">
        <f>+IF(Originalschema!L15&gt;0,Originalschema!L15,"")</f>
      </c>
      <c r="L14" s="48">
        <f>IF(Originalschema!M15&gt;0,Originalschema!M15,"")</f>
      </c>
      <c r="M14" s="48">
        <f>IF(Originalschema!N15&gt;0,Originalschema!N15,"")</f>
      </c>
      <c r="N14" s="48">
        <f>IF(Originalschema!O15&gt;0,Originalschema!O15,"")</f>
      </c>
      <c r="O14" s="48">
        <f>IF(Originalschema!P15&gt;0,Originalschema!P15,"")</f>
      </c>
      <c r="P14" s="48">
        <f>IF(Originalschema!Q15&gt;0,Originalschema!Q15,"")</f>
      </c>
      <c r="Q14" s="48">
        <f>IF(Originalschema!T15&gt;0,Originalschema!T15,"")</f>
      </c>
      <c r="R14" s="48">
        <f>IF(Originalschema!U15&gt;0,Originalschema!U15,"")</f>
      </c>
      <c r="S14" s="48">
        <f>IF(Originalschema!V15&gt;0,Originalschema!V15,"")</f>
      </c>
      <c r="T14" s="48">
        <f>IF(Originalschema!W15&gt;0,Originalschema!W15,"")</f>
      </c>
      <c r="U14" s="48">
        <f>IF(Originalschema!X15&gt;0,Originalschema!X15,"")</f>
      </c>
      <c r="V14" s="48">
        <f>IF(Originalschema!Y15&gt;0,Originalschema!Y15,"")</f>
      </c>
      <c r="W14" s="48">
        <f>IF(Originalschema!Z15&gt;0,Originalschema!Z15,"")</f>
      </c>
      <c r="X14" s="48">
        <f>IF(Originalschema!AA15&gt;0,Originalschema!AA15,"")</f>
      </c>
      <c r="Y14" s="48">
        <f>IF(Originalschema!AB15&gt;0,Originalschema!AB15,"")</f>
      </c>
      <c r="Z14" s="48">
        <f>IF(Originalschema!AC15&gt;0,Originalschema!AC15,"")</f>
      </c>
      <c r="AA14" s="48">
        <f>IF(Originalschema!AF15&gt;0,Originalschema!AF15,"")</f>
      </c>
      <c r="AB14" s="48">
        <f>IF(Originalschema!AG15&gt;0,Originalschema!AG15,"")</f>
      </c>
      <c r="AC14" s="48">
        <f>IF(Originalschema!AH15&gt;0,Originalschema!AH15,"")</f>
      </c>
      <c r="AD14" s="48">
        <f>IF(Originalschema!AI15&gt;0,Originalschema!AI15,"")</f>
      </c>
      <c r="AE14" s="48">
        <f t="shared" si="1"/>
        <v>0</v>
      </c>
      <c r="AF14" s="48">
        <f t="shared" si="2"/>
        <v>0</v>
      </c>
      <c r="AG14" s="48">
        <f t="shared" si="3"/>
        <v>0</v>
      </c>
      <c r="AH14" s="48">
        <f t="shared" si="4"/>
        <v>0</v>
      </c>
      <c r="AI14" s="48">
        <f t="shared" si="5"/>
        <v>0</v>
      </c>
      <c r="AJ14" s="48">
        <f t="shared" si="6"/>
        <v>0</v>
      </c>
      <c r="AK14" s="48">
        <f t="shared" si="7"/>
        <v>0</v>
      </c>
      <c r="AL14" s="48">
        <f t="shared" si="8"/>
        <v>0</v>
      </c>
      <c r="AM14" s="48">
        <f t="shared" si="9"/>
        <v>0</v>
      </c>
      <c r="AN14" s="48">
        <f t="shared" si="10"/>
        <v>0</v>
      </c>
      <c r="AO14" s="48">
        <f t="shared" si="11"/>
        <v>0</v>
      </c>
      <c r="AP14" s="48">
        <f t="shared" si="12"/>
        <v>0</v>
      </c>
      <c r="AQ14" s="48">
        <f t="shared" si="13"/>
        <v>0</v>
      </c>
      <c r="AR14" s="48">
        <f t="shared" si="14"/>
        <v>0</v>
      </c>
      <c r="AS14" s="48">
        <f t="shared" si="15"/>
        <v>0</v>
      </c>
      <c r="AT14" s="48">
        <f t="shared" si="16"/>
        <v>0</v>
      </c>
      <c r="AU14" s="48">
        <f t="shared" si="17"/>
        <v>0</v>
      </c>
      <c r="AV14" s="48">
        <f t="shared" si="18"/>
        <v>0</v>
      </c>
      <c r="AW14" s="48">
        <f t="shared" si="19"/>
        <v>0</v>
      </c>
      <c r="AX14" s="48">
        <f t="shared" si="20"/>
        <v>0</v>
      </c>
      <c r="AY14" s="48">
        <f t="shared" si="21"/>
        <v>0</v>
      </c>
      <c r="AZ14" s="48">
        <f t="shared" si="22"/>
        <v>0</v>
      </c>
      <c r="BA14" s="48">
        <f t="shared" si="23"/>
        <v>0</v>
      </c>
      <c r="BB14" s="48">
        <f t="shared" si="24"/>
        <v>0</v>
      </c>
      <c r="BC14" s="48">
        <f t="shared" si="25"/>
        <v>0</v>
      </c>
    </row>
    <row r="15" spans="1:55" ht="18">
      <c r="A15" s="49">
        <f>IF((OR(Originalschema!F16="vakant",Originalschema!H16="vakant")),Originalschema!A17,Originalschema!A16)</f>
        <v>5</v>
      </c>
      <c r="B15" s="51"/>
      <c r="D15" s="51"/>
      <c r="E15" s="30" t="str">
        <f>IF(OR(Originalschema!F16="vakant",Originalschema!H16="vakant"),Originalschema!F17,Originalschema!F16)</f>
        <v>Åstorps FF 1</v>
      </c>
      <c r="F15" s="31" t="str">
        <f>+IF(Originalschema!G16&gt;0,Originalschema!G16,"")</f>
        <v>-</v>
      </c>
      <c r="G15" s="30" t="str">
        <f>IF(OR(Originalschema!H16="vakant",Originalschema!F16="vakant"),Originalschema!H17,Originalschema!H16)</f>
        <v>Svalövs BK 2</v>
      </c>
      <c r="H15" s="31">
        <f>+IF(Originalschema!I16&gt;0,Originalschema!I16,"")</f>
      </c>
      <c r="I15" s="31" t="str">
        <f>+IF(Originalschema!J16&gt;0,Originalschema!J16,"")</f>
        <v>-</v>
      </c>
      <c r="J15" s="31">
        <f>+IF(Originalschema!K16&gt;0,Originalschema!K16,"")</f>
      </c>
      <c r="K15" s="31">
        <f>+IF(Originalschema!L16&gt;0,Originalschema!L16,"")</f>
      </c>
      <c r="L15" s="48">
        <f>IF(Originalschema!M16&gt;0,Originalschema!M16,"")</f>
      </c>
      <c r="M15" s="48">
        <f>IF(Originalschema!N16&gt;0,Originalschema!N16,"")</f>
      </c>
      <c r="N15" s="48">
        <f>IF(Originalschema!O16&gt;0,Originalschema!O16,"")</f>
      </c>
      <c r="O15" s="48">
        <f>IF(Originalschema!P16&gt;0,Originalschema!P16,"")</f>
      </c>
      <c r="P15" s="48">
        <f>IF(Originalschema!Q16&gt;0,Originalschema!Q16,"")</f>
      </c>
      <c r="Q15" s="48">
        <f>IF(Originalschema!T16&gt;0,Originalschema!T16,"")</f>
      </c>
      <c r="R15" s="48">
        <f>IF(Originalschema!U16&gt;0,Originalschema!U16,"")</f>
      </c>
      <c r="S15" s="48">
        <f>IF(Originalschema!V16&gt;0,Originalschema!V16,"")</f>
      </c>
      <c r="T15" s="48">
        <f>IF(Originalschema!W16&gt;0,Originalschema!W16,"")</f>
      </c>
      <c r="U15" s="48">
        <f>IF(Originalschema!X16&gt;0,Originalschema!X16,"")</f>
      </c>
      <c r="V15" s="48">
        <f>IF(Originalschema!Y16&gt;0,Originalschema!Y16,"")</f>
      </c>
      <c r="W15" s="48">
        <f>IF(Originalschema!Z16&gt;0,Originalschema!Z16,"")</f>
      </c>
      <c r="X15" s="48">
        <f>IF(Originalschema!AA16&gt;0,Originalschema!AA16,"")</f>
      </c>
      <c r="Y15" s="48">
        <f>IF(Originalschema!AB16&gt;0,Originalschema!AB16,"")</f>
      </c>
      <c r="Z15" s="48">
        <f>IF(Originalschema!AC16&gt;0,Originalschema!AC16,"")</f>
      </c>
      <c r="AA15" s="48">
        <f>IF(Originalschema!AF16&gt;0,Originalschema!AF16,"")</f>
      </c>
      <c r="AB15" s="48">
        <f>IF(Originalschema!AG16&gt;0,Originalschema!AG16,"")</f>
      </c>
      <c r="AC15" s="48">
        <f>IF(Originalschema!AH16&gt;0,Originalschema!AH16,"")</f>
      </c>
      <c r="AD15" s="48">
        <f>IF(Originalschema!AI16&gt;0,Originalschema!AI16,"")</f>
      </c>
      <c r="AE15" s="48">
        <f t="shared" si="1"/>
        <v>5</v>
      </c>
      <c r="AF15" s="48">
        <f t="shared" si="2"/>
        <v>5</v>
      </c>
      <c r="AG15" s="48">
        <f t="shared" si="3"/>
        <v>5</v>
      </c>
      <c r="AH15" s="48">
        <f t="shared" si="4"/>
        <v>5</v>
      </c>
      <c r="AI15" s="48">
        <f t="shared" si="5"/>
        <v>5</v>
      </c>
      <c r="AJ15" s="48">
        <f t="shared" si="6"/>
        <v>5</v>
      </c>
      <c r="AK15" s="48">
        <f t="shared" si="7"/>
        <v>5</v>
      </c>
      <c r="AL15" s="48">
        <f t="shared" si="8"/>
        <v>5</v>
      </c>
      <c r="AM15" s="48">
        <f t="shared" si="9"/>
        <v>5</v>
      </c>
      <c r="AN15" s="48">
        <f t="shared" si="10"/>
        <v>5</v>
      </c>
      <c r="AO15" s="48">
        <f t="shared" si="11"/>
        <v>5</v>
      </c>
      <c r="AP15" s="48">
        <f t="shared" si="12"/>
        <v>5</v>
      </c>
      <c r="AQ15" s="48">
        <f t="shared" si="13"/>
        <v>5</v>
      </c>
      <c r="AR15" s="48">
        <f t="shared" si="14"/>
        <v>5</v>
      </c>
      <c r="AS15" s="48">
        <f t="shared" si="15"/>
        <v>5</v>
      </c>
      <c r="AT15" s="48">
        <f t="shared" si="16"/>
        <v>5</v>
      </c>
      <c r="AU15" s="48">
        <f t="shared" si="17"/>
        <v>5</v>
      </c>
      <c r="AV15" s="48">
        <f t="shared" si="18"/>
        <v>5</v>
      </c>
      <c r="AW15" s="48">
        <f t="shared" si="19"/>
        <v>5</v>
      </c>
      <c r="AX15" s="48">
        <f t="shared" si="20"/>
        <v>5</v>
      </c>
      <c r="AY15" s="48">
        <f t="shared" si="21"/>
        <v>5</v>
      </c>
      <c r="AZ15" s="48">
        <f t="shared" si="22"/>
        <v>5</v>
      </c>
      <c r="BA15" s="48">
        <f t="shared" si="23"/>
        <v>5</v>
      </c>
      <c r="BB15" s="48">
        <f t="shared" si="24"/>
        <v>5</v>
      </c>
      <c r="BC15" s="48">
        <f t="shared" si="25"/>
        <v>5</v>
      </c>
    </row>
    <row r="16" spans="1:55" ht="18">
      <c r="A16" s="49">
        <f>IF((OR(Originalschema!F17="vakant",Originalschema!H17="vakant")),Originalschema!A18,Originalschema!A17)</f>
        <v>6</v>
      </c>
      <c r="B16" s="51"/>
      <c r="D16" s="51"/>
      <c r="E16" s="30" t="str">
        <f>IF(OR(Originalschema!F17="vakant",Originalschema!H17="vakant"),Originalschema!F18,Originalschema!F17)</f>
        <v>Dösjöbro IF 1</v>
      </c>
      <c r="F16" s="31" t="str">
        <f>+IF(Originalschema!G17&gt;0,Originalschema!G17,"")</f>
        <v>-</v>
      </c>
      <c r="G16" s="30" t="str">
        <f>IF(OR(Originalschema!H17="vakant",Originalschema!F17="vakant"),Originalschema!H18,Originalschema!H17)</f>
        <v>IK Wormo</v>
      </c>
      <c r="H16" s="31">
        <f>+IF(Originalschema!I17&gt;0,Originalschema!I17,"")</f>
      </c>
      <c r="I16" s="31" t="str">
        <f>+IF(Originalschema!J17&gt;0,Originalschema!J17,"")</f>
        <v>-</v>
      </c>
      <c r="J16" s="31">
        <f>+IF(Originalschema!K17&gt;0,Originalschema!K17,"")</f>
      </c>
      <c r="K16" s="31">
        <f>+IF(Originalschema!L17&gt;0,Originalschema!L17,"")</f>
      </c>
      <c r="L16" s="48">
        <f>IF(Originalschema!M17&gt;0,Originalschema!M17,"")</f>
      </c>
      <c r="M16" s="48">
        <f>IF(Originalschema!N17&gt;0,Originalschema!N17,"")</f>
      </c>
      <c r="N16" s="48">
        <f>IF(Originalschema!O17&gt;0,Originalschema!O17,"")</f>
      </c>
      <c r="O16" s="48">
        <f>IF(Originalschema!P17&gt;0,Originalschema!P17,"")</f>
      </c>
      <c r="P16" s="48">
        <f>IF(Originalschema!Q17&gt;0,Originalschema!Q17,"")</f>
      </c>
      <c r="Q16" s="48">
        <f>IF(Originalschema!T17&gt;0,Originalschema!T17,"")</f>
      </c>
      <c r="R16" s="48">
        <f>IF(Originalschema!U17&gt;0,Originalschema!U17,"")</f>
      </c>
      <c r="S16" s="48">
        <f>IF(Originalschema!V17&gt;0,Originalschema!V17,"")</f>
      </c>
      <c r="T16" s="48">
        <f>IF(Originalschema!W17&gt;0,Originalschema!W17,"")</f>
      </c>
      <c r="U16" s="48">
        <f>IF(Originalschema!X17&gt;0,Originalschema!X17,"")</f>
      </c>
      <c r="V16" s="48">
        <f>IF(Originalschema!Y17&gt;0,Originalschema!Y17,"")</f>
      </c>
      <c r="W16" s="48">
        <f>IF(Originalschema!Z17&gt;0,Originalschema!Z17,"")</f>
      </c>
      <c r="X16" s="48">
        <f>IF(Originalschema!AA17&gt;0,Originalschema!AA17,"")</f>
      </c>
      <c r="Y16" s="48">
        <f>IF(Originalschema!AB17&gt;0,Originalschema!AB17,"")</f>
      </c>
      <c r="Z16" s="48">
        <f>IF(Originalschema!AC17&gt;0,Originalschema!AC17,"")</f>
      </c>
      <c r="AA16" s="48">
        <f>IF(Originalschema!AF17&gt;0,Originalschema!AF17,"")</f>
      </c>
      <c r="AB16" s="48">
        <f>IF(Originalschema!AG17&gt;0,Originalschema!AG17,"")</f>
      </c>
      <c r="AC16" s="48">
        <f>IF(Originalschema!AH17&gt;0,Originalschema!AH17,"")</f>
      </c>
      <c r="AD16" s="48">
        <f>IF(Originalschema!AI17&gt;0,Originalschema!AI17,"")</f>
      </c>
      <c r="AE16" s="48">
        <f t="shared" si="1"/>
        <v>6</v>
      </c>
      <c r="AF16" s="48">
        <f t="shared" si="2"/>
        <v>6</v>
      </c>
      <c r="AG16" s="48">
        <f t="shared" si="3"/>
        <v>6</v>
      </c>
      <c r="AH16" s="48">
        <f t="shared" si="4"/>
        <v>6</v>
      </c>
      <c r="AI16" s="48">
        <f t="shared" si="5"/>
        <v>6</v>
      </c>
      <c r="AJ16" s="48">
        <f t="shared" si="6"/>
        <v>6</v>
      </c>
      <c r="AK16" s="48">
        <f t="shared" si="7"/>
        <v>6</v>
      </c>
      <c r="AL16" s="48">
        <f t="shared" si="8"/>
        <v>6</v>
      </c>
      <c r="AM16" s="48">
        <f t="shared" si="9"/>
        <v>6</v>
      </c>
      <c r="AN16" s="48">
        <f t="shared" si="10"/>
        <v>6</v>
      </c>
      <c r="AO16" s="48">
        <f t="shared" si="11"/>
        <v>6</v>
      </c>
      <c r="AP16" s="48">
        <f t="shared" si="12"/>
        <v>6</v>
      </c>
      <c r="AQ16" s="48">
        <f t="shared" si="13"/>
        <v>6</v>
      </c>
      <c r="AR16" s="48">
        <f t="shared" si="14"/>
        <v>6</v>
      </c>
      <c r="AS16" s="48">
        <f t="shared" si="15"/>
        <v>6</v>
      </c>
      <c r="AT16" s="48">
        <f t="shared" si="16"/>
        <v>6</v>
      </c>
      <c r="AU16" s="48">
        <f t="shared" si="17"/>
        <v>6</v>
      </c>
      <c r="AV16" s="48">
        <f t="shared" si="18"/>
        <v>6</v>
      </c>
      <c r="AW16" s="48">
        <f t="shared" si="19"/>
        <v>6</v>
      </c>
      <c r="AX16" s="48">
        <f t="shared" si="20"/>
        <v>6</v>
      </c>
      <c r="AY16" s="48">
        <f t="shared" si="21"/>
        <v>6</v>
      </c>
      <c r="AZ16" s="48">
        <f t="shared" si="22"/>
        <v>6</v>
      </c>
      <c r="BA16" s="48">
        <f t="shared" si="23"/>
        <v>6</v>
      </c>
      <c r="BB16" s="48">
        <f t="shared" si="24"/>
        <v>6</v>
      </c>
      <c r="BC16" s="48">
        <f t="shared" si="25"/>
        <v>6</v>
      </c>
    </row>
    <row r="17" spans="1:55" ht="18">
      <c r="A17" s="49">
        <f>IF((OR(Originalschema!F18="vakant",Originalschema!H18="vakant")),Originalschema!A19,Originalschema!A18)</f>
        <v>7</v>
      </c>
      <c r="B17" s="51"/>
      <c r="D17" s="51"/>
      <c r="E17" s="30" t="str">
        <f>IF(OR(Originalschema!F18="vakant",Originalschema!H18="vakant"),Originalschema!F19,Originalschema!F18)</f>
        <v>Svalövs BK 1</v>
      </c>
      <c r="F17" s="31" t="str">
        <f>+IF(Originalschema!G18&gt;0,Originalschema!G18,"")</f>
        <v>-</v>
      </c>
      <c r="G17" s="30" t="str">
        <f>IF(OR(Originalschema!H18="vakant",Originalschema!F18="vakant"),Originalschema!H19,Originalschema!H18)</f>
        <v>Häljarps IF 1</v>
      </c>
      <c r="H17" s="31">
        <f>+IF(Originalschema!I18&gt;0,Originalschema!I18,"")</f>
      </c>
      <c r="I17" s="31" t="str">
        <f>+IF(Originalschema!J18&gt;0,Originalschema!J18,"")</f>
        <v>-</v>
      </c>
      <c r="J17" s="31">
        <f>+IF(Originalschema!K18&gt;0,Originalschema!K18,"")</f>
      </c>
      <c r="K17" s="31">
        <f>+IF(Originalschema!L18&gt;0,Originalschema!L18,"")</f>
      </c>
      <c r="L17" s="48">
        <f>IF(Originalschema!M18&gt;0,Originalschema!M18,"")</f>
      </c>
      <c r="M17" s="48">
        <f>IF(Originalschema!N18&gt;0,Originalschema!N18,"")</f>
      </c>
      <c r="N17" s="48">
        <f>IF(Originalschema!O18&gt;0,Originalschema!O18,"")</f>
      </c>
      <c r="O17" s="48">
        <f>IF(Originalschema!P18&gt;0,Originalschema!P18,"")</f>
      </c>
      <c r="P17" s="48">
        <f>IF(Originalschema!Q18&gt;0,Originalschema!Q18,"")</f>
      </c>
      <c r="Q17" s="48">
        <f>IF(Originalschema!T18&gt;0,Originalschema!T18,"")</f>
      </c>
      <c r="R17" s="48">
        <f>IF(Originalschema!U18&gt;0,Originalschema!U18,"")</f>
      </c>
      <c r="S17" s="48">
        <f>IF(Originalschema!V18&gt;0,Originalschema!V18,"")</f>
      </c>
      <c r="T17" s="48">
        <f>IF(Originalschema!W18&gt;0,Originalschema!W18,"")</f>
      </c>
      <c r="U17" s="48">
        <f>IF(Originalschema!X18&gt;0,Originalschema!X18,"")</f>
      </c>
      <c r="V17" s="48">
        <f>IF(Originalschema!Y18&gt;0,Originalschema!Y18,"")</f>
      </c>
      <c r="W17" s="48">
        <f>IF(Originalschema!Z18&gt;0,Originalschema!Z18,"")</f>
      </c>
      <c r="X17" s="48">
        <f>IF(Originalschema!AA18&gt;0,Originalschema!AA18,"")</f>
      </c>
      <c r="Y17" s="48">
        <f>IF(Originalschema!AB18&gt;0,Originalschema!AB18,"")</f>
      </c>
      <c r="Z17" s="48">
        <f>IF(Originalschema!AC18&gt;0,Originalschema!AC18,"")</f>
      </c>
      <c r="AA17" s="48">
        <f>IF(Originalschema!AF18&gt;0,Originalschema!AF18,"")</f>
      </c>
      <c r="AB17" s="48">
        <f>IF(Originalschema!AG18&gt;0,Originalschema!AG18,"")</f>
      </c>
      <c r="AC17" s="48">
        <f>IF(Originalschema!AH18&gt;0,Originalschema!AH18,"")</f>
      </c>
      <c r="AD17" s="48">
        <f>IF(Originalschema!AI18&gt;0,Originalschema!AI18,"")</f>
      </c>
      <c r="AE17" s="48">
        <f t="shared" si="1"/>
        <v>7</v>
      </c>
      <c r="AF17" s="48">
        <f t="shared" si="2"/>
        <v>7</v>
      </c>
      <c r="AG17" s="48">
        <f t="shared" si="3"/>
        <v>7</v>
      </c>
      <c r="AH17" s="48">
        <f t="shared" si="4"/>
        <v>7</v>
      </c>
      <c r="AI17" s="48">
        <f t="shared" si="5"/>
        <v>7</v>
      </c>
      <c r="AJ17" s="48">
        <f t="shared" si="6"/>
        <v>7</v>
      </c>
      <c r="AK17" s="48">
        <f t="shared" si="7"/>
        <v>7</v>
      </c>
      <c r="AL17" s="48">
        <f t="shared" si="8"/>
        <v>7</v>
      </c>
      <c r="AM17" s="48">
        <f t="shared" si="9"/>
        <v>7</v>
      </c>
      <c r="AN17" s="48">
        <f t="shared" si="10"/>
        <v>7</v>
      </c>
      <c r="AO17" s="48">
        <f t="shared" si="11"/>
        <v>7</v>
      </c>
      <c r="AP17" s="48">
        <f t="shared" si="12"/>
        <v>7</v>
      </c>
      <c r="AQ17" s="48">
        <f t="shared" si="13"/>
        <v>7</v>
      </c>
      <c r="AR17" s="48">
        <f t="shared" si="14"/>
        <v>7</v>
      </c>
      <c r="AS17" s="48">
        <f t="shared" si="15"/>
        <v>7</v>
      </c>
      <c r="AT17" s="48">
        <f t="shared" si="16"/>
        <v>7</v>
      </c>
      <c r="AU17" s="48">
        <f t="shared" si="17"/>
        <v>7</v>
      </c>
      <c r="AV17" s="48">
        <f t="shared" si="18"/>
        <v>7</v>
      </c>
      <c r="AW17" s="48">
        <f t="shared" si="19"/>
        <v>7</v>
      </c>
      <c r="AX17" s="48">
        <f t="shared" si="20"/>
        <v>7</v>
      </c>
      <c r="AY17" s="48">
        <f t="shared" si="21"/>
        <v>7</v>
      </c>
      <c r="AZ17" s="48">
        <f t="shared" si="22"/>
        <v>7</v>
      </c>
      <c r="BA17" s="48">
        <f t="shared" si="23"/>
        <v>7</v>
      </c>
      <c r="BB17" s="48">
        <f t="shared" si="24"/>
        <v>7</v>
      </c>
      <c r="BC17" s="48">
        <f t="shared" si="25"/>
        <v>7</v>
      </c>
    </row>
    <row r="18" spans="1:55" ht="18">
      <c r="A18" s="49">
        <f>IF((OR(Originalschema!F19="vakant",Originalschema!H19="vakant")),Originalschema!A20,Originalschema!A19)</f>
        <v>8</v>
      </c>
      <c r="B18" s="51"/>
      <c r="D18" s="51"/>
      <c r="E18" s="30" t="str">
        <f>IF(OR(Originalschema!F19="vakant",Originalschema!H19="vakant"),Originalschema!F20,Originalschema!F19)</f>
        <v>Dösjöbro IF 2</v>
      </c>
      <c r="F18" s="31" t="str">
        <f>+IF(Originalschema!G19&gt;0,Originalschema!G19,"")</f>
        <v>-</v>
      </c>
      <c r="G18" s="30" t="str">
        <f>IF(OR(Originalschema!H19="vakant",Originalschema!F19="vakant"),Originalschema!H20,Originalschema!H19)</f>
        <v>Åstorps FF 2</v>
      </c>
      <c r="H18" s="31">
        <f>+IF(Originalschema!I19&gt;0,Originalschema!I19,"")</f>
      </c>
      <c r="I18" s="31" t="str">
        <f>+IF(Originalschema!J19&gt;0,Originalschema!J19,"")</f>
        <v>-</v>
      </c>
      <c r="J18" s="31">
        <f>+IF(Originalschema!K19&gt;0,Originalschema!K19,"")</f>
      </c>
      <c r="K18" s="31">
        <f>+IF(Originalschema!L19&gt;0,Originalschema!L19,"")</f>
      </c>
      <c r="L18" s="48">
        <f>IF(Originalschema!M19&gt;0,Originalschema!M19,"")</f>
      </c>
      <c r="M18" s="48">
        <f>IF(Originalschema!N19&gt;0,Originalschema!N19,"")</f>
      </c>
      <c r="N18" s="48">
        <f>IF(Originalschema!O19&gt;0,Originalschema!O19,"")</f>
      </c>
      <c r="O18" s="48">
        <f>IF(Originalschema!P19&gt;0,Originalschema!P19,"")</f>
      </c>
      <c r="P18" s="48">
        <f>IF(Originalschema!Q19&gt;0,Originalschema!Q19,"")</f>
      </c>
      <c r="Q18" s="48">
        <f>IF(Originalschema!T19&gt;0,Originalschema!T19,"")</f>
      </c>
      <c r="R18" s="48">
        <f>IF(Originalschema!U19&gt;0,Originalschema!U19,"")</f>
      </c>
      <c r="S18" s="48">
        <f>IF(Originalschema!V19&gt;0,Originalschema!V19,"")</f>
      </c>
      <c r="T18" s="48">
        <f>IF(Originalschema!W19&gt;0,Originalschema!W19,"")</f>
      </c>
      <c r="U18" s="48">
        <f>IF(Originalschema!X19&gt;0,Originalschema!X19,"")</f>
      </c>
      <c r="V18" s="48">
        <f>IF(Originalschema!Y19&gt;0,Originalschema!Y19,"")</f>
      </c>
      <c r="W18" s="48">
        <f>IF(Originalschema!Z19&gt;0,Originalschema!Z19,"")</f>
      </c>
      <c r="X18" s="48">
        <f>IF(Originalschema!AA19&gt;0,Originalschema!AA19,"")</f>
      </c>
      <c r="Y18" s="48">
        <f>IF(Originalschema!AB19&gt;0,Originalschema!AB19,"")</f>
      </c>
      <c r="Z18" s="48">
        <f>IF(Originalschema!AC19&gt;0,Originalschema!AC19,"")</f>
      </c>
      <c r="AA18" s="48">
        <f>IF(Originalschema!AF19&gt;0,Originalschema!AF19,"")</f>
      </c>
      <c r="AB18" s="48">
        <f>IF(Originalschema!AG19&gt;0,Originalschema!AG19,"")</f>
      </c>
      <c r="AC18" s="48">
        <f>IF(Originalschema!AH19&gt;0,Originalschema!AH19,"")</f>
      </c>
      <c r="AD18" s="48">
        <f>IF(Originalschema!AI19&gt;0,Originalschema!AI19,"")</f>
      </c>
      <c r="AE18" s="48">
        <f t="shared" si="1"/>
        <v>8</v>
      </c>
      <c r="AF18" s="48">
        <f t="shared" si="2"/>
        <v>8</v>
      </c>
      <c r="AG18" s="48">
        <f t="shared" si="3"/>
        <v>8</v>
      </c>
      <c r="AH18" s="48">
        <f t="shared" si="4"/>
        <v>8</v>
      </c>
      <c r="AI18" s="48">
        <f t="shared" si="5"/>
        <v>8</v>
      </c>
      <c r="AJ18" s="48">
        <f t="shared" si="6"/>
        <v>8</v>
      </c>
      <c r="AK18" s="48">
        <f t="shared" si="7"/>
        <v>8</v>
      </c>
      <c r="AL18" s="48">
        <f t="shared" si="8"/>
        <v>8</v>
      </c>
      <c r="AM18" s="48">
        <f t="shared" si="9"/>
        <v>8</v>
      </c>
      <c r="AN18" s="48">
        <f t="shared" si="10"/>
        <v>8</v>
      </c>
      <c r="AO18" s="48">
        <f t="shared" si="11"/>
        <v>8</v>
      </c>
      <c r="AP18" s="48">
        <f t="shared" si="12"/>
        <v>8</v>
      </c>
      <c r="AQ18" s="48">
        <f t="shared" si="13"/>
        <v>8</v>
      </c>
      <c r="AR18" s="48">
        <f t="shared" si="14"/>
        <v>8</v>
      </c>
      <c r="AS18" s="48">
        <f t="shared" si="15"/>
        <v>8</v>
      </c>
      <c r="AT18" s="48">
        <f t="shared" si="16"/>
        <v>8</v>
      </c>
      <c r="AU18" s="48">
        <f t="shared" si="17"/>
        <v>8</v>
      </c>
      <c r="AV18" s="48">
        <f t="shared" si="18"/>
        <v>8</v>
      </c>
      <c r="AW18" s="48">
        <f t="shared" si="19"/>
        <v>8</v>
      </c>
      <c r="AX18" s="48">
        <f t="shared" si="20"/>
        <v>8</v>
      </c>
      <c r="AY18" s="48">
        <f t="shared" si="21"/>
        <v>8</v>
      </c>
      <c r="AZ18" s="48">
        <f t="shared" si="22"/>
        <v>8</v>
      </c>
      <c r="BA18" s="48">
        <f t="shared" si="23"/>
        <v>8</v>
      </c>
      <c r="BB18" s="48">
        <f t="shared" si="24"/>
        <v>8</v>
      </c>
      <c r="BC18" s="48">
        <f t="shared" si="25"/>
        <v>8</v>
      </c>
    </row>
    <row r="19" spans="1:55" ht="18">
      <c r="A19" s="49">
        <f>IF((OR(Originalschema!F20="vakant",Originalschema!H20="vakant")),Originalschema!A21,Originalschema!A20)</f>
        <v>0</v>
      </c>
      <c r="B19" s="51"/>
      <c r="D19" s="51"/>
      <c r="E19" s="30">
        <f>IF(OR(Originalschema!F20="vakant",Originalschema!H20="vakant"),Originalschema!F21,Originalschema!F20)</f>
        <v>0</v>
      </c>
      <c r="F19" s="31">
        <f>+IF(Originalschema!G20&gt;0,Originalschema!G20,"")</f>
      </c>
      <c r="G19" s="30">
        <f>IF(OR(Originalschema!H20="vakant",Originalschema!F20="vakant"),Originalschema!H21,Originalschema!H20)</f>
        <v>0</v>
      </c>
      <c r="H19" s="31">
        <f>+IF(Originalschema!I20&gt;0,Originalschema!I20,"")</f>
      </c>
      <c r="I19" s="31">
        <f>+IF(Originalschema!J20&gt;0,Originalschema!J20,"")</f>
      </c>
      <c r="J19" s="31">
        <f>+IF(Originalschema!K20&gt;0,Originalschema!K20,"")</f>
      </c>
      <c r="K19" s="31">
        <f>+IF(Originalschema!L20&gt;0,Originalschema!L20,"")</f>
      </c>
      <c r="L19" s="48">
        <f>IF(Originalschema!M20&gt;0,Originalschema!M20,"")</f>
      </c>
      <c r="M19" s="48">
        <f>IF(Originalschema!N20&gt;0,Originalschema!N20,"")</f>
      </c>
      <c r="N19" s="48">
        <f>IF(Originalschema!O20&gt;0,Originalschema!O20,"")</f>
      </c>
      <c r="O19" s="48">
        <f>IF(Originalschema!P20&gt;0,Originalschema!P20,"")</f>
      </c>
      <c r="P19" s="48">
        <f>IF(Originalschema!Q20&gt;0,Originalschema!Q20,"")</f>
      </c>
      <c r="Q19" s="48">
        <f>IF(Originalschema!T20&gt;0,Originalschema!T20,"")</f>
      </c>
      <c r="R19" s="48">
        <f>IF(Originalschema!U20&gt;0,Originalschema!U20,"")</f>
      </c>
      <c r="S19" s="48">
        <f>IF(Originalschema!V20&gt;0,Originalschema!V20,"")</f>
      </c>
      <c r="T19" s="48">
        <f>IF(Originalschema!W20&gt;0,Originalschema!W20,"")</f>
      </c>
      <c r="U19" s="48">
        <f>IF(Originalschema!X20&gt;0,Originalschema!X20,"")</f>
      </c>
      <c r="V19" s="48">
        <f>IF(Originalschema!Y20&gt;0,Originalschema!Y20,"")</f>
      </c>
      <c r="W19" s="48">
        <f>IF(Originalschema!Z20&gt;0,Originalschema!Z20,"")</f>
      </c>
      <c r="X19" s="48">
        <f>IF(Originalschema!AA20&gt;0,Originalschema!AA20,"")</f>
      </c>
      <c r="Y19" s="48">
        <f>IF(Originalschema!AB20&gt;0,Originalschema!AB20,"")</f>
      </c>
      <c r="Z19" s="48">
        <f>IF(Originalschema!AC20&gt;0,Originalschema!AC20,"")</f>
      </c>
      <c r="AA19" s="48">
        <f>IF(Originalschema!AF20&gt;0,Originalschema!AF20,"")</f>
      </c>
      <c r="AB19" s="48">
        <f>IF(Originalschema!AG20&gt;0,Originalschema!AG20,"")</f>
      </c>
      <c r="AC19" s="48">
        <f>IF(Originalschema!AH20&gt;0,Originalschema!AH20,"")</f>
      </c>
      <c r="AD19" s="48">
        <f>IF(Originalschema!AI20&gt;0,Originalschema!AI20,"")</f>
      </c>
      <c r="AE19" s="48">
        <f t="shared" si="1"/>
        <v>0</v>
      </c>
      <c r="AF19" s="48">
        <f t="shared" si="2"/>
        <v>0</v>
      </c>
      <c r="AG19" s="48">
        <f t="shared" si="3"/>
        <v>0</v>
      </c>
      <c r="AH19" s="48">
        <f t="shared" si="4"/>
        <v>0</v>
      </c>
      <c r="AI19" s="48">
        <f t="shared" si="5"/>
        <v>0</v>
      </c>
      <c r="AJ19" s="48">
        <f t="shared" si="6"/>
        <v>0</v>
      </c>
      <c r="AK19" s="48">
        <f t="shared" si="7"/>
        <v>0</v>
      </c>
      <c r="AL19" s="48">
        <f t="shared" si="8"/>
        <v>0</v>
      </c>
      <c r="AM19" s="48">
        <f t="shared" si="9"/>
        <v>0</v>
      </c>
      <c r="AN19" s="48">
        <f t="shared" si="10"/>
        <v>0</v>
      </c>
      <c r="AO19" s="48">
        <f t="shared" si="11"/>
        <v>0</v>
      </c>
      <c r="AP19" s="48">
        <f t="shared" si="12"/>
        <v>0</v>
      </c>
      <c r="AQ19" s="48">
        <f t="shared" si="13"/>
        <v>0</v>
      </c>
      <c r="AR19" s="48">
        <f t="shared" si="14"/>
        <v>0</v>
      </c>
      <c r="AS19" s="48">
        <f t="shared" si="15"/>
        <v>0</v>
      </c>
      <c r="AT19" s="48">
        <f t="shared" si="16"/>
        <v>0</v>
      </c>
      <c r="AU19" s="48">
        <f t="shared" si="17"/>
        <v>0</v>
      </c>
      <c r="AV19" s="48">
        <f t="shared" si="18"/>
        <v>0</v>
      </c>
      <c r="AW19" s="48">
        <f t="shared" si="19"/>
        <v>0</v>
      </c>
      <c r="AX19" s="48">
        <f t="shared" si="20"/>
        <v>0</v>
      </c>
      <c r="AY19" s="48">
        <f t="shared" si="21"/>
        <v>0</v>
      </c>
      <c r="AZ19" s="48">
        <f t="shared" si="22"/>
        <v>0</v>
      </c>
      <c r="BA19" s="48">
        <f t="shared" si="23"/>
        <v>0</v>
      </c>
      <c r="BB19" s="48">
        <f t="shared" si="24"/>
        <v>0</v>
      </c>
      <c r="BC19" s="48">
        <f t="shared" si="25"/>
        <v>0</v>
      </c>
    </row>
    <row r="20" spans="1:55" ht="18">
      <c r="A20" s="49">
        <f>IF((OR(Originalschema!F21="vakant",Originalschema!H21="vakant")),Originalschema!A22,Originalschema!A21)</f>
        <v>9</v>
      </c>
      <c r="B20" s="51"/>
      <c r="D20" s="51"/>
      <c r="E20" s="30" t="str">
        <f>IF(OR(Originalschema!F21="vakant",Originalschema!H21="vakant"),Originalschema!F22,Originalschema!F21)</f>
        <v>Häljarps IF 2</v>
      </c>
      <c r="F20" s="31" t="str">
        <f>+IF(Originalschema!G21&gt;0,Originalschema!G21,"")</f>
        <v>-</v>
      </c>
      <c r="G20" s="30" t="str">
        <f>IF(OR(Originalschema!H21="vakant",Originalschema!F21="vakant"),Originalschema!H22,Originalschema!H21)</f>
        <v>Åstorps FF 1</v>
      </c>
      <c r="H20" s="31">
        <f>+IF(Originalschema!I21&gt;0,Originalschema!I21,"")</f>
      </c>
      <c r="I20" s="31" t="str">
        <f>+IF(Originalschema!J21&gt;0,Originalschema!J21,"")</f>
        <v>-</v>
      </c>
      <c r="J20" s="31">
        <f>+IF(Originalschema!K21&gt;0,Originalschema!K21,"")</f>
      </c>
      <c r="K20" s="31">
        <f>+IF(Originalschema!L21&gt;0,Originalschema!L21,"")</f>
      </c>
      <c r="L20" s="48">
        <f>IF(Originalschema!M21&gt;0,Originalschema!M21,"")</f>
      </c>
      <c r="M20" s="48">
        <f>IF(Originalschema!N21&gt;0,Originalschema!N21,"")</f>
      </c>
      <c r="N20" s="48">
        <f>IF(Originalschema!O21&gt;0,Originalschema!O21,"")</f>
      </c>
      <c r="O20" s="48">
        <f>IF(Originalschema!P21&gt;0,Originalschema!P21,"")</f>
      </c>
      <c r="P20" s="48">
        <f>IF(Originalschema!Q21&gt;0,Originalschema!Q21,"")</f>
      </c>
      <c r="Q20" s="48">
        <f>IF(Originalschema!T21&gt;0,Originalschema!T21,"")</f>
      </c>
      <c r="R20" s="48">
        <f>IF(Originalschema!U21&gt;0,Originalschema!U21,"")</f>
      </c>
      <c r="S20" s="48">
        <f>IF(Originalschema!V21&gt;0,Originalschema!V21,"")</f>
      </c>
      <c r="T20" s="48">
        <f>IF(Originalschema!W21&gt;0,Originalschema!W21,"")</f>
      </c>
      <c r="U20" s="48">
        <f>IF(Originalschema!X21&gt;0,Originalschema!X21,"")</f>
      </c>
      <c r="V20" s="48">
        <f>IF(Originalschema!Y21&gt;0,Originalschema!Y21,"")</f>
      </c>
      <c r="W20" s="48">
        <f>IF(Originalschema!Z21&gt;0,Originalschema!Z21,"")</f>
      </c>
      <c r="X20" s="48">
        <f>IF(Originalschema!AA21&gt;0,Originalschema!AA21,"")</f>
      </c>
      <c r="Y20" s="48">
        <f>IF(Originalschema!AB21&gt;0,Originalschema!AB21,"")</f>
      </c>
      <c r="Z20" s="48">
        <f>IF(Originalschema!AC21&gt;0,Originalschema!AC21,"")</f>
      </c>
      <c r="AA20" s="48">
        <f>IF(Originalschema!AF21&gt;0,Originalschema!AF21,"")</f>
      </c>
      <c r="AB20" s="48">
        <f>IF(Originalschema!AG21&gt;0,Originalschema!AG21,"")</f>
      </c>
      <c r="AC20" s="48">
        <f>IF(Originalschema!AH21&gt;0,Originalschema!AH21,"")</f>
      </c>
      <c r="AD20" s="48">
        <f>IF(Originalschema!AI21&gt;0,Originalschema!AI21,"")</f>
      </c>
      <c r="AE20" s="48">
        <f t="shared" si="1"/>
        <v>9</v>
      </c>
      <c r="AF20" s="48">
        <f t="shared" si="2"/>
        <v>9</v>
      </c>
      <c r="AG20" s="48">
        <f t="shared" si="3"/>
        <v>9</v>
      </c>
      <c r="AH20" s="48">
        <f t="shared" si="4"/>
        <v>9</v>
      </c>
      <c r="AI20" s="48">
        <f t="shared" si="5"/>
        <v>9</v>
      </c>
      <c r="AJ20" s="48">
        <f t="shared" si="6"/>
        <v>9</v>
      </c>
      <c r="AK20" s="48">
        <f t="shared" si="7"/>
        <v>9</v>
      </c>
      <c r="AL20" s="48">
        <f t="shared" si="8"/>
        <v>9</v>
      </c>
      <c r="AM20" s="48">
        <f t="shared" si="9"/>
        <v>9</v>
      </c>
      <c r="AN20" s="48">
        <f t="shared" si="10"/>
        <v>9</v>
      </c>
      <c r="AO20" s="48">
        <f t="shared" si="11"/>
        <v>9</v>
      </c>
      <c r="AP20" s="48">
        <f t="shared" si="12"/>
        <v>9</v>
      </c>
      <c r="AQ20" s="48">
        <f t="shared" si="13"/>
        <v>9</v>
      </c>
      <c r="AR20" s="48">
        <f t="shared" si="14"/>
        <v>9</v>
      </c>
      <c r="AS20" s="48">
        <f t="shared" si="15"/>
        <v>9</v>
      </c>
      <c r="AT20" s="48">
        <f t="shared" si="16"/>
        <v>9</v>
      </c>
      <c r="AU20" s="48">
        <f t="shared" si="17"/>
        <v>9</v>
      </c>
      <c r="AV20" s="48">
        <f t="shared" si="18"/>
        <v>9</v>
      </c>
      <c r="AW20" s="48">
        <f t="shared" si="19"/>
        <v>9</v>
      </c>
      <c r="AX20" s="48">
        <f t="shared" si="20"/>
        <v>9</v>
      </c>
      <c r="AY20" s="48">
        <f t="shared" si="21"/>
        <v>9</v>
      </c>
      <c r="AZ20" s="48">
        <f t="shared" si="22"/>
        <v>9</v>
      </c>
      <c r="BA20" s="48">
        <f t="shared" si="23"/>
        <v>9</v>
      </c>
      <c r="BB20" s="48">
        <f t="shared" si="24"/>
        <v>9</v>
      </c>
      <c r="BC20" s="48">
        <f t="shared" si="25"/>
        <v>9</v>
      </c>
    </row>
    <row r="21" spans="1:55" ht="18">
      <c r="A21" s="49">
        <f>IF((OR(Originalschema!F22="vakant",Originalschema!H22="vakant")),Originalschema!A23,Originalschema!A22)</f>
        <v>10</v>
      </c>
      <c r="B21" s="51"/>
      <c r="D21" s="51"/>
      <c r="E21" s="30" t="str">
        <f>IF(OR(Originalschema!F22="vakant",Originalschema!H22="vakant"),Originalschema!F23,Originalschema!F22)</f>
        <v>Svalövs BK 2</v>
      </c>
      <c r="F21" s="31" t="str">
        <f>+IF(Originalschema!G22&gt;0,Originalschema!G22,"")</f>
        <v>-</v>
      </c>
      <c r="G21" s="30" t="str">
        <f>IF(OR(Originalschema!H22="vakant",Originalschema!F22="vakant"),Originalschema!H23,Originalschema!H22)</f>
        <v>IK Wormo</v>
      </c>
      <c r="H21" s="31">
        <f>+IF(Originalschema!I22&gt;0,Originalschema!I22,"")</f>
      </c>
      <c r="I21" s="31" t="str">
        <f>+IF(Originalschema!J22&gt;0,Originalschema!J22,"")</f>
        <v>-</v>
      </c>
      <c r="J21" s="31">
        <f>+IF(Originalschema!K22&gt;0,Originalschema!K22,"")</f>
      </c>
      <c r="K21" s="31">
        <f>+IF(Originalschema!L22&gt;0,Originalschema!L22,"")</f>
      </c>
      <c r="L21" s="48">
        <f>IF(Originalschema!M22&gt;0,Originalschema!M22,"")</f>
      </c>
      <c r="M21" s="48">
        <f>IF(Originalschema!N22&gt;0,Originalschema!N22,"")</f>
      </c>
      <c r="N21" s="48">
        <f>IF(Originalschema!O22&gt;0,Originalschema!O22,"")</f>
      </c>
      <c r="O21" s="48">
        <f>IF(Originalschema!P22&gt;0,Originalschema!P22,"")</f>
      </c>
      <c r="P21" s="48">
        <f>IF(Originalschema!Q22&gt;0,Originalschema!Q22,"")</f>
      </c>
      <c r="Q21" s="48">
        <f>IF(Originalschema!T22&gt;0,Originalschema!T22,"")</f>
      </c>
      <c r="R21" s="48">
        <f>IF(Originalschema!U22&gt;0,Originalschema!U22,"")</f>
      </c>
      <c r="S21" s="48">
        <f>IF(Originalschema!V22&gt;0,Originalschema!V22,"")</f>
      </c>
      <c r="T21" s="48">
        <f>IF(Originalschema!W22&gt;0,Originalschema!W22,"")</f>
      </c>
      <c r="U21" s="48">
        <f>IF(Originalschema!X22&gt;0,Originalschema!X22,"")</f>
      </c>
      <c r="V21" s="48">
        <f>IF(Originalschema!Y22&gt;0,Originalschema!Y22,"")</f>
      </c>
      <c r="W21" s="48">
        <f>IF(Originalschema!Z22&gt;0,Originalschema!Z22,"")</f>
      </c>
      <c r="X21" s="48">
        <f>IF(Originalschema!AA22&gt;0,Originalschema!AA22,"")</f>
      </c>
      <c r="Y21" s="48">
        <f>IF(Originalschema!AB22&gt;0,Originalschema!AB22,"")</f>
      </c>
      <c r="Z21" s="48">
        <f>IF(Originalschema!AC22&gt;0,Originalschema!AC22,"")</f>
      </c>
      <c r="AA21" s="48">
        <f>IF(Originalschema!AF22&gt;0,Originalschema!AF22,"")</f>
      </c>
      <c r="AB21" s="48">
        <f>IF(Originalschema!AG22&gt;0,Originalschema!AG22,"")</f>
      </c>
      <c r="AC21" s="48">
        <f>IF(Originalschema!AH22&gt;0,Originalschema!AH22,"")</f>
      </c>
      <c r="AD21" s="48">
        <f>IF(Originalschema!AI22&gt;0,Originalschema!AI22,"")</f>
      </c>
      <c r="AE21" s="48">
        <f t="shared" si="1"/>
        <v>10</v>
      </c>
      <c r="AF21" s="48">
        <f t="shared" si="2"/>
        <v>10</v>
      </c>
      <c r="AG21" s="48">
        <f t="shared" si="3"/>
        <v>10</v>
      </c>
      <c r="AH21" s="48">
        <f t="shared" si="4"/>
        <v>10</v>
      </c>
      <c r="AI21" s="48">
        <f t="shared" si="5"/>
        <v>10</v>
      </c>
      <c r="AJ21" s="48">
        <f t="shared" si="6"/>
        <v>10</v>
      </c>
      <c r="AK21" s="48">
        <f t="shared" si="7"/>
        <v>10</v>
      </c>
      <c r="AL21" s="48">
        <f t="shared" si="8"/>
        <v>10</v>
      </c>
      <c r="AM21" s="48">
        <f t="shared" si="9"/>
        <v>10</v>
      </c>
      <c r="AN21" s="48">
        <f t="shared" si="10"/>
        <v>10</v>
      </c>
      <c r="AO21" s="48">
        <f t="shared" si="11"/>
        <v>10</v>
      </c>
      <c r="AP21" s="48">
        <f t="shared" si="12"/>
        <v>10</v>
      </c>
      <c r="AQ21" s="48">
        <f t="shared" si="13"/>
        <v>10</v>
      </c>
      <c r="AR21" s="48">
        <f t="shared" si="14"/>
        <v>10</v>
      </c>
      <c r="AS21" s="48">
        <f t="shared" si="15"/>
        <v>10</v>
      </c>
      <c r="AT21" s="48">
        <f t="shared" si="16"/>
        <v>10</v>
      </c>
      <c r="AU21" s="48">
        <f t="shared" si="17"/>
        <v>10</v>
      </c>
      <c r="AV21" s="48">
        <f t="shared" si="18"/>
        <v>10</v>
      </c>
      <c r="AW21" s="48">
        <f t="shared" si="19"/>
        <v>10</v>
      </c>
      <c r="AX21" s="48">
        <f t="shared" si="20"/>
        <v>10</v>
      </c>
      <c r="AY21" s="48">
        <f t="shared" si="21"/>
        <v>10</v>
      </c>
      <c r="AZ21" s="48">
        <f t="shared" si="22"/>
        <v>10</v>
      </c>
      <c r="BA21" s="48">
        <f t="shared" si="23"/>
        <v>10</v>
      </c>
      <c r="BB21" s="48">
        <f t="shared" si="24"/>
        <v>10</v>
      </c>
      <c r="BC21" s="48">
        <f t="shared" si="25"/>
        <v>10</v>
      </c>
    </row>
    <row r="22" spans="1:55" ht="18">
      <c r="A22" s="49">
        <f>IF((OR(Originalschema!F23="vakant",Originalschema!H23="vakant")),Originalschema!A24,Originalschema!A23)</f>
        <v>11</v>
      </c>
      <c r="B22" s="51"/>
      <c r="D22" s="51"/>
      <c r="E22" s="30" t="str">
        <f>IF(OR(Originalschema!F23="vakant",Originalschema!H23="vakant"),Originalschema!F24,Originalschema!F23)</f>
        <v>Billesholms GIF</v>
      </c>
      <c r="F22" s="31" t="str">
        <f>+IF(Originalschema!G23&gt;0,Originalschema!G23,"")</f>
        <v>-</v>
      </c>
      <c r="G22" s="30" t="str">
        <f>IF(OR(Originalschema!H23="vakant",Originalschema!F23="vakant"),Originalschema!H24,Originalschema!H23)</f>
        <v>Svalövs BK 1</v>
      </c>
      <c r="H22" s="31">
        <f>+IF(Originalschema!I23&gt;0,Originalschema!I23,"")</f>
      </c>
      <c r="I22" s="31" t="str">
        <f>+IF(Originalschema!J23&gt;0,Originalschema!J23,"")</f>
        <v>-</v>
      </c>
      <c r="J22" s="31">
        <f>+IF(Originalschema!K23&gt;0,Originalschema!K23,"")</f>
      </c>
      <c r="K22" s="31">
        <f>+IF(Originalschema!L23&gt;0,Originalschema!L23,"")</f>
      </c>
      <c r="L22" s="48">
        <f>IF(Originalschema!M23&gt;0,Originalschema!M23,"")</f>
      </c>
      <c r="M22" s="48">
        <f>IF(Originalschema!N23&gt;0,Originalschema!N23,"")</f>
      </c>
      <c r="N22" s="48">
        <f>IF(Originalschema!O23&gt;0,Originalschema!O23,"")</f>
      </c>
      <c r="O22" s="48">
        <f>IF(Originalschema!P23&gt;0,Originalschema!P23,"")</f>
      </c>
      <c r="P22" s="48">
        <f>IF(Originalschema!Q23&gt;0,Originalschema!Q23,"")</f>
      </c>
      <c r="Q22" s="48">
        <f>IF(Originalschema!T23&gt;0,Originalschema!T23,"")</f>
      </c>
      <c r="R22" s="48">
        <f>IF(Originalschema!U23&gt;0,Originalschema!U23,"")</f>
      </c>
      <c r="S22" s="48">
        <f>IF(Originalschema!V23&gt;0,Originalschema!V23,"")</f>
      </c>
      <c r="T22" s="48">
        <f>IF(Originalschema!W23&gt;0,Originalschema!W23,"")</f>
      </c>
      <c r="U22" s="48">
        <f>IF(Originalschema!X23&gt;0,Originalschema!X23,"")</f>
      </c>
      <c r="V22" s="48">
        <f>IF(Originalschema!Y23&gt;0,Originalschema!Y23,"")</f>
      </c>
      <c r="W22" s="48">
        <f>IF(Originalschema!Z23&gt;0,Originalschema!Z23,"")</f>
      </c>
      <c r="X22" s="48">
        <f>IF(Originalschema!AA23&gt;0,Originalschema!AA23,"")</f>
      </c>
      <c r="Y22" s="48">
        <f>IF(Originalschema!AB23&gt;0,Originalschema!AB23,"")</f>
      </c>
      <c r="Z22" s="48">
        <f>IF(Originalschema!AC23&gt;0,Originalschema!AC23,"")</f>
      </c>
      <c r="AA22" s="48">
        <f>IF(Originalschema!AF23&gt;0,Originalschema!AF23,"")</f>
      </c>
      <c r="AB22" s="48">
        <f>IF(Originalschema!AG23&gt;0,Originalschema!AG23,"")</f>
      </c>
      <c r="AC22" s="48">
        <f>IF(Originalschema!AH23&gt;0,Originalschema!AH23,"")</f>
      </c>
      <c r="AD22" s="48">
        <f>IF(Originalschema!AI23&gt;0,Originalschema!AI23,"")</f>
      </c>
      <c r="AE22" s="48">
        <f t="shared" si="1"/>
        <v>11</v>
      </c>
      <c r="AF22" s="48">
        <f t="shared" si="2"/>
        <v>11</v>
      </c>
      <c r="AG22" s="48">
        <f t="shared" si="3"/>
        <v>11</v>
      </c>
      <c r="AH22" s="48">
        <f t="shared" si="4"/>
        <v>11</v>
      </c>
      <c r="AI22" s="48">
        <f t="shared" si="5"/>
        <v>11</v>
      </c>
      <c r="AJ22" s="48">
        <f t="shared" si="6"/>
        <v>11</v>
      </c>
      <c r="AK22" s="48">
        <f t="shared" si="7"/>
        <v>11</v>
      </c>
      <c r="AL22" s="48">
        <f t="shared" si="8"/>
        <v>11</v>
      </c>
      <c r="AM22" s="48">
        <f t="shared" si="9"/>
        <v>11</v>
      </c>
      <c r="AN22" s="48">
        <f t="shared" si="10"/>
        <v>11</v>
      </c>
      <c r="AO22" s="48">
        <f t="shared" si="11"/>
        <v>11</v>
      </c>
      <c r="AP22" s="48">
        <f t="shared" si="12"/>
        <v>11</v>
      </c>
      <c r="AQ22" s="48">
        <f t="shared" si="13"/>
        <v>11</v>
      </c>
      <c r="AR22" s="48">
        <f t="shared" si="14"/>
        <v>11</v>
      </c>
      <c r="AS22" s="48">
        <f t="shared" si="15"/>
        <v>11</v>
      </c>
      <c r="AT22" s="48">
        <f t="shared" si="16"/>
        <v>11</v>
      </c>
      <c r="AU22" s="48">
        <f t="shared" si="17"/>
        <v>11</v>
      </c>
      <c r="AV22" s="48">
        <f t="shared" si="18"/>
        <v>11</v>
      </c>
      <c r="AW22" s="48">
        <f t="shared" si="19"/>
        <v>11</v>
      </c>
      <c r="AX22" s="48">
        <f t="shared" si="20"/>
        <v>11</v>
      </c>
      <c r="AY22" s="48">
        <f t="shared" si="21"/>
        <v>11</v>
      </c>
      <c r="AZ22" s="48">
        <f t="shared" si="22"/>
        <v>11</v>
      </c>
      <c r="BA22" s="48">
        <f t="shared" si="23"/>
        <v>11</v>
      </c>
      <c r="BB22" s="48">
        <f t="shared" si="24"/>
        <v>11</v>
      </c>
      <c r="BC22" s="48">
        <f t="shared" si="25"/>
        <v>11</v>
      </c>
    </row>
    <row r="23" spans="1:55" ht="18">
      <c r="A23" s="49">
        <f>IF((OR(Originalschema!F24="vakant",Originalschema!H24="vakant")),Originalschema!A25,Originalschema!A24)</f>
        <v>12</v>
      </c>
      <c r="B23" s="51"/>
      <c r="D23" s="51"/>
      <c r="E23" s="30" t="str">
        <f>IF(OR(Originalschema!F24="vakant",Originalschema!H24="vakant"),Originalschema!F25,Originalschema!F24)</f>
        <v>Häljarps IF 1</v>
      </c>
      <c r="F23" s="31" t="str">
        <f>+IF(Originalschema!G24&gt;0,Originalschema!G24,"")</f>
        <v>-</v>
      </c>
      <c r="G23" s="30" t="str">
        <f>IF(OR(Originalschema!H24="vakant",Originalschema!F24="vakant"),Originalschema!H25,Originalschema!H24)</f>
        <v>Åstorps FF 2</v>
      </c>
      <c r="H23" s="31">
        <f>+IF(Originalschema!I24&gt;0,Originalschema!I24,"")</f>
      </c>
      <c r="I23" s="31" t="str">
        <f>+IF(Originalschema!J24&gt;0,Originalschema!J24,"")</f>
        <v>-</v>
      </c>
      <c r="J23" s="31">
        <f>+IF(Originalschema!K24&gt;0,Originalschema!K24,"")</f>
      </c>
      <c r="K23" s="31">
        <f>+IF(Originalschema!L24&gt;0,Originalschema!L24,"")</f>
      </c>
      <c r="L23" s="48">
        <f>IF(Originalschema!M24&gt;0,Originalschema!M24,"")</f>
      </c>
      <c r="M23" s="48">
        <f>IF(Originalschema!N24&gt;0,Originalschema!N24,"")</f>
      </c>
      <c r="N23" s="48">
        <f>IF(Originalschema!O24&gt;0,Originalschema!O24,"")</f>
      </c>
      <c r="O23" s="48">
        <f>IF(Originalschema!P24&gt;0,Originalschema!P24,"")</f>
      </c>
      <c r="P23" s="48">
        <f>IF(Originalschema!Q24&gt;0,Originalschema!Q24,"")</f>
      </c>
      <c r="Q23" s="48">
        <f>IF(Originalschema!T24&gt;0,Originalschema!T24,"")</f>
      </c>
      <c r="R23" s="48">
        <f>IF(Originalschema!U24&gt;0,Originalschema!U24,"")</f>
      </c>
      <c r="S23" s="48">
        <f>IF(Originalschema!V24&gt;0,Originalschema!V24,"")</f>
      </c>
      <c r="T23" s="48">
        <f>IF(Originalschema!W24&gt;0,Originalschema!W24,"")</f>
      </c>
      <c r="U23" s="48">
        <f>IF(Originalschema!X24&gt;0,Originalschema!X24,"")</f>
      </c>
      <c r="V23" s="48">
        <f>IF(Originalschema!Y24&gt;0,Originalschema!Y24,"")</f>
      </c>
      <c r="W23" s="48">
        <f>IF(Originalschema!Z24&gt;0,Originalschema!Z24,"")</f>
      </c>
      <c r="X23" s="48">
        <f>IF(Originalschema!AA24&gt;0,Originalschema!AA24,"")</f>
      </c>
      <c r="Y23" s="48">
        <f>IF(Originalschema!AB24&gt;0,Originalschema!AB24,"")</f>
      </c>
      <c r="Z23" s="48">
        <f>IF(Originalschema!AC24&gt;0,Originalschema!AC24,"")</f>
      </c>
      <c r="AA23" s="48">
        <f>IF(Originalschema!AF24&gt;0,Originalschema!AF24,"")</f>
      </c>
      <c r="AB23" s="48">
        <f>IF(Originalschema!AG24&gt;0,Originalschema!AG24,"")</f>
      </c>
      <c r="AC23" s="48">
        <f>IF(Originalschema!AH24&gt;0,Originalschema!AH24,"")</f>
      </c>
      <c r="AD23" s="48">
        <f>IF(Originalschema!AI24&gt;0,Originalschema!AI24,"")</f>
      </c>
      <c r="AE23" s="48">
        <f t="shared" si="1"/>
        <v>12</v>
      </c>
      <c r="AF23" s="48">
        <f t="shared" si="2"/>
        <v>12</v>
      </c>
      <c r="AG23" s="48">
        <f t="shared" si="3"/>
        <v>12</v>
      </c>
      <c r="AH23" s="48">
        <f t="shared" si="4"/>
        <v>12</v>
      </c>
      <c r="AI23" s="48">
        <f t="shared" si="5"/>
        <v>12</v>
      </c>
      <c r="AJ23" s="48">
        <f t="shared" si="6"/>
        <v>12</v>
      </c>
      <c r="AK23" s="48">
        <f t="shared" si="7"/>
        <v>12</v>
      </c>
      <c r="AL23" s="48">
        <f t="shared" si="8"/>
        <v>12</v>
      </c>
      <c r="AM23" s="48">
        <f t="shared" si="9"/>
        <v>12</v>
      </c>
      <c r="AN23" s="48">
        <f t="shared" si="10"/>
        <v>12</v>
      </c>
      <c r="AO23" s="48">
        <f t="shared" si="11"/>
        <v>12</v>
      </c>
      <c r="AP23" s="48">
        <f t="shared" si="12"/>
        <v>12</v>
      </c>
      <c r="AQ23" s="48">
        <f t="shared" si="13"/>
        <v>12</v>
      </c>
      <c r="AR23" s="48">
        <f t="shared" si="14"/>
        <v>12</v>
      </c>
      <c r="AS23" s="48">
        <f t="shared" si="15"/>
        <v>12</v>
      </c>
      <c r="AT23" s="48">
        <f t="shared" si="16"/>
        <v>12</v>
      </c>
      <c r="AU23" s="48">
        <f t="shared" si="17"/>
        <v>12</v>
      </c>
      <c r="AV23" s="48">
        <f t="shared" si="18"/>
        <v>12</v>
      </c>
      <c r="AW23" s="48">
        <f t="shared" si="19"/>
        <v>12</v>
      </c>
      <c r="AX23" s="48">
        <f t="shared" si="20"/>
        <v>12</v>
      </c>
      <c r="AY23" s="48">
        <f t="shared" si="21"/>
        <v>12</v>
      </c>
      <c r="AZ23" s="48">
        <f t="shared" si="22"/>
        <v>12</v>
      </c>
      <c r="BA23" s="48">
        <f t="shared" si="23"/>
        <v>12</v>
      </c>
      <c r="BB23" s="48">
        <f t="shared" si="24"/>
        <v>12</v>
      </c>
      <c r="BC23" s="48">
        <f t="shared" si="25"/>
        <v>12</v>
      </c>
    </row>
    <row r="24" spans="1:55" ht="18">
      <c r="A24" s="49">
        <f>IF((OR(Originalschema!F25="vakant",Originalschema!H25="vakant")),Originalschema!A26,Originalschema!A25)</f>
        <v>0</v>
      </c>
      <c r="B24" s="51"/>
      <c r="D24" s="51"/>
      <c r="E24" s="30">
        <f>IF(OR(Originalschema!F25="vakant",Originalschema!H25="vakant"),Originalschema!F26,Originalschema!F25)</f>
        <v>0</v>
      </c>
      <c r="F24" s="31">
        <f>+IF(Originalschema!G25&gt;0,Originalschema!G25,"")</f>
      </c>
      <c r="G24" s="30">
        <f>IF(OR(Originalschema!H25="vakant",Originalschema!F25="vakant"),Originalschema!H26,Originalschema!H25)</f>
        <v>0</v>
      </c>
      <c r="H24" s="31">
        <f>+IF(Originalschema!I25&gt;0,Originalschema!I25,"")</f>
      </c>
      <c r="I24" s="31">
        <f>+IF(Originalschema!J25&gt;0,Originalschema!J25,"")</f>
      </c>
      <c r="J24" s="31">
        <f>+IF(Originalschema!K25&gt;0,Originalschema!K25,"")</f>
      </c>
      <c r="K24" s="31">
        <f>+IF(Originalschema!L25&gt;0,Originalschema!L25,"")</f>
      </c>
      <c r="L24" s="48">
        <f>IF(Originalschema!M25&gt;0,Originalschema!M25,"")</f>
      </c>
      <c r="M24" s="48">
        <f>IF(Originalschema!N25&gt;0,Originalschema!N25,"")</f>
      </c>
      <c r="N24" s="48">
        <f>IF(Originalschema!O25&gt;0,Originalschema!O25,"")</f>
      </c>
      <c r="O24" s="48">
        <f>IF(Originalschema!P25&gt;0,Originalschema!P25,"")</f>
      </c>
      <c r="P24" s="48">
        <f>IF(Originalschema!Q25&gt;0,Originalschema!Q25,"")</f>
      </c>
      <c r="Q24" s="48">
        <f>IF(Originalschema!T25&gt;0,Originalschema!T25,"")</f>
      </c>
      <c r="R24" s="48">
        <f>IF(Originalschema!U25&gt;0,Originalschema!U25,"")</f>
      </c>
      <c r="S24" s="48">
        <f>IF(Originalschema!V25&gt;0,Originalschema!V25,"")</f>
      </c>
      <c r="T24" s="48">
        <f>IF(Originalschema!W25&gt;0,Originalschema!W25,"")</f>
      </c>
      <c r="U24" s="48">
        <f>IF(Originalschema!X25&gt;0,Originalschema!X25,"")</f>
      </c>
      <c r="V24" s="48">
        <f>IF(Originalschema!Y25&gt;0,Originalschema!Y25,"")</f>
      </c>
      <c r="W24" s="48">
        <f>IF(Originalschema!Z25&gt;0,Originalschema!Z25,"")</f>
      </c>
      <c r="X24" s="48">
        <f>IF(Originalschema!AA25&gt;0,Originalschema!AA25,"")</f>
      </c>
      <c r="Y24" s="48">
        <f>IF(Originalschema!AB25&gt;0,Originalschema!AB25,"")</f>
      </c>
      <c r="Z24" s="48">
        <f>IF(Originalschema!AC25&gt;0,Originalschema!AC25,"")</f>
      </c>
      <c r="AA24" s="48">
        <f>IF(Originalschema!AF25&gt;0,Originalschema!AF25,"")</f>
      </c>
      <c r="AB24" s="48">
        <f>IF(Originalschema!AG25&gt;0,Originalschema!AG25,"")</f>
      </c>
      <c r="AC24" s="48">
        <f>IF(Originalschema!AH25&gt;0,Originalschema!AH25,"")</f>
      </c>
      <c r="AD24" s="48">
        <f>IF(Originalschema!AI25&gt;0,Originalschema!AI25,"")</f>
      </c>
      <c r="AE24" s="48">
        <f t="shared" si="1"/>
        <v>0</v>
      </c>
      <c r="AF24" s="48">
        <f t="shared" si="2"/>
        <v>0</v>
      </c>
      <c r="AG24" s="48">
        <f t="shared" si="3"/>
        <v>0</v>
      </c>
      <c r="AH24" s="48">
        <f t="shared" si="4"/>
        <v>0</v>
      </c>
      <c r="AI24" s="48">
        <f t="shared" si="5"/>
        <v>0</v>
      </c>
      <c r="AJ24" s="48">
        <f t="shared" si="6"/>
        <v>0</v>
      </c>
      <c r="AK24" s="48">
        <f t="shared" si="7"/>
        <v>0</v>
      </c>
      <c r="AL24" s="48">
        <f t="shared" si="8"/>
        <v>0</v>
      </c>
      <c r="AM24" s="48">
        <f t="shared" si="9"/>
        <v>0</v>
      </c>
      <c r="AN24" s="48">
        <f t="shared" si="10"/>
        <v>0</v>
      </c>
      <c r="AO24" s="48">
        <f t="shared" si="11"/>
        <v>0</v>
      </c>
      <c r="AP24" s="48">
        <f t="shared" si="12"/>
        <v>0</v>
      </c>
      <c r="AQ24" s="48">
        <f t="shared" si="13"/>
        <v>0</v>
      </c>
      <c r="AR24" s="48">
        <f t="shared" si="14"/>
        <v>0</v>
      </c>
      <c r="AS24" s="48">
        <f t="shared" si="15"/>
        <v>0</v>
      </c>
      <c r="AT24" s="48">
        <f t="shared" si="16"/>
        <v>0</v>
      </c>
      <c r="AU24" s="48">
        <f t="shared" si="17"/>
        <v>0</v>
      </c>
      <c r="AV24" s="48">
        <f t="shared" si="18"/>
        <v>0</v>
      </c>
      <c r="AW24" s="48">
        <f t="shared" si="19"/>
        <v>0</v>
      </c>
      <c r="AX24" s="48">
        <f t="shared" si="20"/>
        <v>0</v>
      </c>
      <c r="AY24" s="48">
        <f t="shared" si="21"/>
        <v>0</v>
      </c>
      <c r="AZ24" s="48">
        <f t="shared" si="22"/>
        <v>0</v>
      </c>
      <c r="BA24" s="48">
        <f t="shared" si="23"/>
        <v>0</v>
      </c>
      <c r="BB24" s="48">
        <f t="shared" si="24"/>
        <v>0</v>
      </c>
      <c r="BC24" s="48">
        <f t="shared" si="25"/>
        <v>0</v>
      </c>
    </row>
    <row r="25" spans="1:55" ht="18">
      <c r="A25" s="49">
        <f>IF((OR(Originalschema!F26="vakant",Originalschema!H26="vakant")),Originalschema!A27,Originalschema!A26)</f>
        <v>13</v>
      </c>
      <c r="B25" s="51"/>
      <c r="D25" s="51"/>
      <c r="E25" s="30" t="str">
        <f>IF(OR(Originalschema!F26="vakant",Originalschema!H26="vakant"),Originalschema!F27,Originalschema!F26)</f>
        <v>Åstorps FF 1</v>
      </c>
      <c r="F25" s="31" t="str">
        <f>+IF(Originalschema!G26&gt;0,Originalschema!G26,"")</f>
        <v>-</v>
      </c>
      <c r="G25" s="30" t="str">
        <f>IF(OR(Originalschema!H26="vakant",Originalschema!F26="vakant"),Originalschema!H27,Originalschema!H26)</f>
        <v>Dösjöbro IF 1</v>
      </c>
      <c r="H25" s="31">
        <f>+IF(Originalschema!I26&gt;0,Originalschema!I26,"")</f>
      </c>
      <c r="I25" s="31" t="str">
        <f>+IF(Originalschema!J26&gt;0,Originalschema!J26,"")</f>
        <v>-</v>
      </c>
      <c r="J25" s="31">
        <f>+IF(Originalschema!K26&gt;0,Originalschema!K26,"")</f>
      </c>
      <c r="K25" s="31">
        <f>+IF(Originalschema!L26&gt;0,Originalschema!L26,"")</f>
      </c>
      <c r="L25" s="48">
        <f>IF(Originalschema!M26&gt;0,Originalschema!M26,"")</f>
      </c>
      <c r="M25" s="48">
        <f>IF(Originalschema!N26&gt;0,Originalschema!N26,"")</f>
      </c>
      <c r="N25" s="48">
        <f>IF(Originalschema!O26&gt;0,Originalschema!O26,"")</f>
      </c>
      <c r="O25" s="48">
        <f>IF(Originalschema!P26&gt;0,Originalschema!P26,"")</f>
      </c>
      <c r="P25" s="48">
        <f>IF(Originalschema!Q26&gt;0,Originalschema!Q26,"")</f>
      </c>
      <c r="Q25" s="48">
        <f>IF(Originalschema!T26&gt;0,Originalschema!T26,"")</f>
      </c>
      <c r="R25" s="48">
        <f>IF(Originalschema!U26&gt;0,Originalschema!U26,"")</f>
      </c>
      <c r="S25" s="48">
        <f>IF(Originalschema!V26&gt;0,Originalschema!V26,"")</f>
      </c>
      <c r="T25" s="48">
        <f>IF(Originalschema!W26&gt;0,Originalschema!W26,"")</f>
      </c>
      <c r="U25" s="48">
        <f>IF(Originalschema!X26&gt;0,Originalschema!X26,"")</f>
      </c>
      <c r="V25" s="48">
        <f>IF(Originalschema!Y26&gt;0,Originalschema!Y26,"")</f>
      </c>
      <c r="W25" s="48">
        <f>IF(Originalschema!Z26&gt;0,Originalschema!Z26,"")</f>
      </c>
      <c r="X25" s="48">
        <f>IF(Originalschema!AA26&gt;0,Originalschema!AA26,"")</f>
      </c>
      <c r="Y25" s="48">
        <f>IF(Originalschema!AB26&gt;0,Originalschema!AB26,"")</f>
      </c>
      <c r="Z25" s="48">
        <f>IF(Originalschema!AC26&gt;0,Originalschema!AC26,"")</f>
      </c>
      <c r="AA25" s="48">
        <f>IF(Originalschema!AF26&gt;0,Originalschema!AF26,"")</f>
      </c>
      <c r="AB25" s="48">
        <f>IF(Originalschema!AG26&gt;0,Originalschema!AG26,"")</f>
      </c>
      <c r="AC25" s="48">
        <f>IF(Originalschema!AH26&gt;0,Originalschema!AH26,"")</f>
      </c>
      <c r="AD25" s="48">
        <f>IF(Originalschema!AI26&gt;0,Originalschema!AI26,"")</f>
      </c>
      <c r="AE25" s="48">
        <f t="shared" si="1"/>
        <v>13</v>
      </c>
      <c r="AF25" s="48">
        <f t="shared" si="2"/>
        <v>13</v>
      </c>
      <c r="AG25" s="48">
        <f t="shared" si="3"/>
        <v>13</v>
      </c>
      <c r="AH25" s="48">
        <f t="shared" si="4"/>
        <v>13</v>
      </c>
      <c r="AI25" s="48">
        <f t="shared" si="5"/>
        <v>13</v>
      </c>
      <c r="AJ25" s="48">
        <f t="shared" si="6"/>
        <v>13</v>
      </c>
      <c r="AK25" s="48">
        <f t="shared" si="7"/>
        <v>13</v>
      </c>
      <c r="AL25" s="48">
        <f t="shared" si="8"/>
        <v>13</v>
      </c>
      <c r="AM25" s="48">
        <f t="shared" si="9"/>
        <v>13</v>
      </c>
      <c r="AN25" s="48">
        <f t="shared" si="10"/>
        <v>13</v>
      </c>
      <c r="AO25" s="48">
        <f t="shared" si="11"/>
        <v>13</v>
      </c>
      <c r="AP25" s="48">
        <f t="shared" si="12"/>
        <v>13</v>
      </c>
      <c r="AQ25" s="48">
        <f t="shared" si="13"/>
        <v>13</v>
      </c>
      <c r="AR25" s="48">
        <f t="shared" si="14"/>
        <v>13</v>
      </c>
      <c r="AS25" s="48">
        <f t="shared" si="15"/>
        <v>13</v>
      </c>
      <c r="AT25" s="48">
        <f t="shared" si="16"/>
        <v>13</v>
      </c>
      <c r="AU25" s="48">
        <f t="shared" si="17"/>
        <v>13</v>
      </c>
      <c r="AV25" s="48">
        <f t="shared" si="18"/>
        <v>13</v>
      </c>
      <c r="AW25" s="48">
        <f t="shared" si="19"/>
        <v>13</v>
      </c>
      <c r="AX25" s="48">
        <f t="shared" si="20"/>
        <v>13</v>
      </c>
      <c r="AY25" s="48">
        <f t="shared" si="21"/>
        <v>13</v>
      </c>
      <c r="AZ25" s="48">
        <f t="shared" si="22"/>
        <v>13</v>
      </c>
      <c r="BA25" s="48">
        <f t="shared" si="23"/>
        <v>13</v>
      </c>
      <c r="BB25" s="48">
        <f t="shared" si="24"/>
        <v>13</v>
      </c>
      <c r="BC25" s="48">
        <f t="shared" si="25"/>
        <v>13</v>
      </c>
    </row>
    <row r="26" spans="1:55" ht="18">
      <c r="A26" s="49">
        <f>IF((OR(Originalschema!F27="vakant",Originalschema!H27="vakant")),Originalschema!A28,Originalschema!A27)</f>
        <v>14</v>
      </c>
      <c r="B26" s="51"/>
      <c r="D26" s="51"/>
      <c r="E26" s="30" t="str">
        <f>IF(OR(Originalschema!F27="vakant",Originalschema!H27="vakant"),Originalschema!F28,Originalschema!F27)</f>
        <v>Häljarps IF 2</v>
      </c>
      <c r="F26" s="31" t="str">
        <f>+IF(Originalschema!G27&gt;0,Originalschema!G27,"")</f>
        <v>-</v>
      </c>
      <c r="G26" s="30" t="str">
        <f>IF(OR(Originalschema!H27="vakant",Originalschema!F27="vakant"),Originalschema!H28,Originalschema!H27)</f>
        <v>Svalövs BK 2</v>
      </c>
      <c r="H26" s="31">
        <f>+IF(Originalschema!I27&gt;0,Originalschema!I27,"")</f>
      </c>
      <c r="I26" s="31" t="str">
        <f>+IF(Originalschema!J27&gt;0,Originalschema!J27,"")</f>
        <v>-</v>
      </c>
      <c r="J26" s="31">
        <f>+IF(Originalschema!K27&gt;0,Originalschema!K27,"")</f>
      </c>
      <c r="K26" s="31">
        <f>+IF(Originalschema!L27&gt;0,Originalschema!L27,"")</f>
      </c>
      <c r="L26" s="48">
        <f>IF(Originalschema!M27&gt;0,Originalschema!M27,"")</f>
      </c>
      <c r="M26" s="48">
        <f>IF(Originalschema!N27&gt;0,Originalschema!N27,"")</f>
      </c>
      <c r="N26" s="48">
        <f>IF(Originalschema!O27&gt;0,Originalschema!O27,"")</f>
      </c>
      <c r="O26" s="48">
        <f>IF(Originalschema!P27&gt;0,Originalschema!P27,"")</f>
      </c>
      <c r="P26" s="48">
        <f>IF(Originalschema!Q27&gt;0,Originalschema!Q27,"")</f>
      </c>
      <c r="Q26" s="48">
        <f>IF(Originalschema!T27&gt;0,Originalschema!T27,"")</f>
      </c>
      <c r="R26" s="48">
        <f>IF(Originalschema!U27&gt;0,Originalschema!U27,"")</f>
      </c>
      <c r="S26" s="48">
        <f>IF(Originalschema!V27&gt;0,Originalschema!V27,"")</f>
      </c>
      <c r="T26" s="48">
        <f>IF(Originalschema!W27&gt;0,Originalschema!W27,"")</f>
      </c>
      <c r="U26" s="48">
        <f>IF(Originalschema!X27&gt;0,Originalschema!X27,"")</f>
      </c>
      <c r="V26" s="48">
        <f>IF(Originalschema!Y27&gt;0,Originalschema!Y27,"")</f>
      </c>
      <c r="W26" s="48">
        <f>IF(Originalschema!Z27&gt;0,Originalschema!Z27,"")</f>
      </c>
      <c r="X26" s="48">
        <f>IF(Originalschema!AA27&gt;0,Originalschema!AA27,"")</f>
      </c>
      <c r="Y26" s="48">
        <f>IF(Originalschema!AB27&gt;0,Originalschema!AB27,"")</f>
      </c>
      <c r="Z26" s="48">
        <f>IF(Originalschema!AC27&gt;0,Originalschema!AC27,"")</f>
      </c>
      <c r="AA26" s="48">
        <f>IF(Originalschema!AF27&gt;0,Originalschema!AF27,"")</f>
      </c>
      <c r="AB26" s="48">
        <f>IF(Originalschema!AG27&gt;0,Originalschema!AG27,"")</f>
      </c>
      <c r="AC26" s="48">
        <f>IF(Originalschema!AH27&gt;0,Originalschema!AH27,"")</f>
      </c>
      <c r="AD26" s="48">
        <f>IF(Originalschema!AI27&gt;0,Originalschema!AI27,"")</f>
      </c>
      <c r="AE26" s="48">
        <f t="shared" si="1"/>
        <v>14</v>
      </c>
      <c r="AF26" s="48">
        <f t="shared" si="2"/>
        <v>14</v>
      </c>
      <c r="AG26" s="48">
        <f t="shared" si="3"/>
        <v>14</v>
      </c>
      <c r="AH26" s="48">
        <f t="shared" si="4"/>
        <v>14</v>
      </c>
      <c r="AI26" s="48">
        <f t="shared" si="5"/>
        <v>14</v>
      </c>
      <c r="AJ26" s="48">
        <f t="shared" si="6"/>
        <v>14</v>
      </c>
      <c r="AK26" s="48">
        <f t="shared" si="7"/>
        <v>14</v>
      </c>
      <c r="AL26" s="48">
        <f t="shared" si="8"/>
        <v>14</v>
      </c>
      <c r="AM26" s="48">
        <f t="shared" si="9"/>
        <v>14</v>
      </c>
      <c r="AN26" s="48">
        <f t="shared" si="10"/>
        <v>14</v>
      </c>
      <c r="AO26" s="48">
        <f t="shared" si="11"/>
        <v>14</v>
      </c>
      <c r="AP26" s="48">
        <f t="shared" si="12"/>
        <v>14</v>
      </c>
      <c r="AQ26" s="48">
        <f t="shared" si="13"/>
        <v>14</v>
      </c>
      <c r="AR26" s="48">
        <f t="shared" si="14"/>
        <v>14</v>
      </c>
      <c r="AS26" s="48">
        <f t="shared" si="15"/>
        <v>14</v>
      </c>
      <c r="AT26" s="48">
        <f t="shared" si="16"/>
        <v>14</v>
      </c>
      <c r="AU26" s="48">
        <f t="shared" si="17"/>
        <v>14</v>
      </c>
      <c r="AV26" s="48">
        <f t="shared" si="18"/>
        <v>14</v>
      </c>
      <c r="AW26" s="48">
        <f t="shared" si="19"/>
        <v>14</v>
      </c>
      <c r="AX26" s="48">
        <f t="shared" si="20"/>
        <v>14</v>
      </c>
      <c r="AY26" s="48">
        <f t="shared" si="21"/>
        <v>14</v>
      </c>
      <c r="AZ26" s="48">
        <f t="shared" si="22"/>
        <v>14</v>
      </c>
      <c r="BA26" s="48">
        <f t="shared" si="23"/>
        <v>14</v>
      </c>
      <c r="BB26" s="48">
        <f t="shared" si="24"/>
        <v>14</v>
      </c>
      <c r="BC26" s="48">
        <f t="shared" si="25"/>
        <v>14</v>
      </c>
    </row>
    <row r="27" spans="1:55" ht="18">
      <c r="A27" s="49">
        <f>IF((OR(Originalschema!F28="vakant",Originalschema!H28="vakant")),Originalschema!A29,Originalschema!A28)</f>
        <v>15</v>
      </c>
      <c r="B27" s="51"/>
      <c r="D27" s="51"/>
      <c r="E27" s="30" t="str">
        <f>IF(OR(Originalschema!F28="vakant",Originalschema!H28="vakant"),Originalschema!F29,Originalschema!F28)</f>
        <v>Svalövs BK 1</v>
      </c>
      <c r="F27" s="31" t="str">
        <f>+IF(Originalschema!G28&gt;0,Originalschema!G28,"")</f>
        <v>-</v>
      </c>
      <c r="G27" s="30" t="str">
        <f>IF(OR(Originalschema!H28="vakant",Originalschema!F28="vakant"),Originalschema!H29,Originalschema!H28)</f>
        <v>Dösjöbro IF 2</v>
      </c>
      <c r="H27" s="31">
        <f>+IF(Originalschema!I28&gt;0,Originalschema!I28,"")</f>
      </c>
      <c r="I27" s="31" t="str">
        <f>+IF(Originalschema!J28&gt;0,Originalschema!J28,"")</f>
        <v>-</v>
      </c>
      <c r="J27" s="31">
        <f>+IF(Originalschema!K28&gt;0,Originalschema!K28,"")</f>
      </c>
      <c r="K27" s="31">
        <f>+IF(Originalschema!L28&gt;0,Originalschema!L28,"")</f>
      </c>
      <c r="L27" s="48">
        <f>IF(Originalschema!M28&gt;0,Originalschema!M28,"")</f>
      </c>
      <c r="M27" s="48">
        <f>IF(Originalschema!N28&gt;0,Originalschema!N28,"")</f>
      </c>
      <c r="N27" s="48">
        <f>IF(Originalschema!O28&gt;0,Originalschema!O28,"")</f>
      </c>
      <c r="O27" s="48">
        <f>IF(Originalschema!P28&gt;0,Originalschema!P28,"")</f>
      </c>
      <c r="P27" s="48">
        <f>IF(Originalschema!Q28&gt;0,Originalschema!Q28,"")</f>
      </c>
      <c r="Q27" s="48">
        <f>IF(Originalschema!T28&gt;0,Originalschema!T28,"")</f>
      </c>
      <c r="R27" s="48">
        <f>IF(Originalschema!U28&gt;0,Originalschema!U28,"")</f>
      </c>
      <c r="S27" s="48">
        <f>IF(Originalschema!V28&gt;0,Originalschema!V28,"")</f>
      </c>
      <c r="T27" s="48">
        <f>IF(Originalschema!W28&gt;0,Originalschema!W28,"")</f>
      </c>
      <c r="U27" s="48">
        <f>IF(Originalschema!X28&gt;0,Originalschema!X28,"")</f>
      </c>
      <c r="V27" s="48">
        <f>IF(Originalschema!Y28&gt;0,Originalschema!Y28,"")</f>
      </c>
      <c r="W27" s="48">
        <f>IF(Originalschema!Z28&gt;0,Originalschema!Z28,"")</f>
      </c>
      <c r="X27" s="48">
        <f>IF(Originalschema!AA28&gt;0,Originalschema!AA28,"")</f>
      </c>
      <c r="Y27" s="48">
        <f>IF(Originalschema!AB28&gt;0,Originalschema!AB28,"")</f>
      </c>
      <c r="Z27" s="48">
        <f>IF(Originalschema!AC28&gt;0,Originalschema!AC28,"")</f>
      </c>
      <c r="AA27" s="48">
        <f>IF(Originalschema!AF28&gt;0,Originalschema!AF28,"")</f>
      </c>
      <c r="AB27" s="48">
        <f>IF(Originalschema!AG28&gt;0,Originalschema!AG28,"")</f>
      </c>
      <c r="AC27" s="48">
        <f>IF(Originalschema!AH28&gt;0,Originalschema!AH28,"")</f>
      </c>
      <c r="AD27" s="48">
        <f>IF(Originalschema!AI28&gt;0,Originalschema!AI28,"")</f>
      </c>
      <c r="AE27" s="48">
        <f t="shared" si="1"/>
        <v>15</v>
      </c>
      <c r="AF27" s="48">
        <f t="shared" si="2"/>
        <v>15</v>
      </c>
      <c r="AG27" s="48">
        <f t="shared" si="3"/>
        <v>15</v>
      </c>
      <c r="AH27" s="48">
        <f t="shared" si="4"/>
        <v>15</v>
      </c>
      <c r="AI27" s="48">
        <f t="shared" si="5"/>
        <v>15</v>
      </c>
      <c r="AJ27" s="48">
        <f t="shared" si="6"/>
        <v>15</v>
      </c>
      <c r="AK27" s="48">
        <f t="shared" si="7"/>
        <v>15</v>
      </c>
      <c r="AL27" s="48">
        <f t="shared" si="8"/>
        <v>15</v>
      </c>
      <c r="AM27" s="48">
        <f t="shared" si="9"/>
        <v>15</v>
      </c>
      <c r="AN27" s="48">
        <f t="shared" si="10"/>
        <v>15</v>
      </c>
      <c r="AO27" s="48">
        <f t="shared" si="11"/>
        <v>15</v>
      </c>
      <c r="AP27" s="48">
        <f t="shared" si="12"/>
        <v>15</v>
      </c>
      <c r="AQ27" s="48">
        <f t="shared" si="13"/>
        <v>15</v>
      </c>
      <c r="AR27" s="48">
        <f t="shared" si="14"/>
        <v>15</v>
      </c>
      <c r="AS27" s="48">
        <f t="shared" si="15"/>
        <v>15</v>
      </c>
      <c r="AT27" s="48">
        <f t="shared" si="16"/>
        <v>15</v>
      </c>
      <c r="AU27" s="48">
        <f t="shared" si="17"/>
        <v>15</v>
      </c>
      <c r="AV27" s="48">
        <f t="shared" si="18"/>
        <v>15</v>
      </c>
      <c r="AW27" s="48">
        <f t="shared" si="19"/>
        <v>15</v>
      </c>
      <c r="AX27" s="48">
        <f t="shared" si="20"/>
        <v>15</v>
      </c>
      <c r="AY27" s="48">
        <f t="shared" si="21"/>
        <v>15</v>
      </c>
      <c r="AZ27" s="48">
        <f t="shared" si="22"/>
        <v>15</v>
      </c>
      <c r="BA27" s="48">
        <f t="shared" si="23"/>
        <v>15</v>
      </c>
      <c r="BB27" s="48">
        <f t="shared" si="24"/>
        <v>15</v>
      </c>
      <c r="BC27" s="48">
        <f t="shared" si="25"/>
        <v>15</v>
      </c>
    </row>
    <row r="28" spans="1:55" ht="18">
      <c r="A28" s="49">
        <f>IF((OR(Originalschema!F29="vakant",Originalschema!H29="vakant")),Originalschema!A30,Originalschema!A29)</f>
        <v>16</v>
      </c>
      <c r="B28" s="51"/>
      <c r="D28" s="51"/>
      <c r="E28" s="30" t="str">
        <f>IF(OR(Originalschema!F29="vakant",Originalschema!H29="vakant"),Originalschema!F30,Originalschema!F29)</f>
        <v>Billesholms GIF</v>
      </c>
      <c r="F28" s="31" t="str">
        <f>+IF(Originalschema!G29&gt;0,Originalschema!G29,"")</f>
        <v>-</v>
      </c>
      <c r="G28" s="30" t="str">
        <f>IF(OR(Originalschema!H29="vakant",Originalschema!F29="vakant"),Originalschema!H30,Originalschema!H29)</f>
        <v>Häljarps IF 1</v>
      </c>
      <c r="H28" s="31">
        <f>+IF(Originalschema!I29&gt;0,Originalschema!I29,"")</f>
      </c>
      <c r="I28" s="31" t="str">
        <f>+IF(Originalschema!J29&gt;0,Originalschema!J29,"")</f>
        <v>-</v>
      </c>
      <c r="J28" s="31">
        <f>+IF(Originalschema!K29&gt;0,Originalschema!K29,"")</f>
      </c>
      <c r="K28" s="31">
        <f>+IF(Originalschema!L29&gt;0,Originalschema!L29,"")</f>
      </c>
      <c r="L28" s="48">
        <f>IF(Originalschema!M29&gt;0,Originalschema!M29,"")</f>
      </c>
      <c r="M28" s="48">
        <f>IF(Originalschema!N29&gt;0,Originalschema!N29,"")</f>
      </c>
      <c r="N28" s="48">
        <f>IF(Originalschema!O29&gt;0,Originalschema!O29,"")</f>
      </c>
      <c r="O28" s="48">
        <f>IF(Originalschema!P29&gt;0,Originalschema!P29,"")</f>
      </c>
      <c r="P28" s="48">
        <f>IF(Originalschema!Q29&gt;0,Originalschema!Q29,"")</f>
      </c>
      <c r="Q28" s="48">
        <f>IF(Originalschema!T29&gt;0,Originalschema!T29,"")</f>
      </c>
      <c r="R28" s="48">
        <f>IF(Originalschema!U29&gt;0,Originalschema!U29,"")</f>
      </c>
      <c r="S28" s="48">
        <f>IF(Originalschema!V29&gt;0,Originalschema!V29,"")</f>
      </c>
      <c r="T28" s="48">
        <f>IF(Originalschema!W29&gt;0,Originalschema!W29,"")</f>
      </c>
      <c r="U28" s="48">
        <f>IF(Originalschema!X29&gt;0,Originalschema!X29,"")</f>
      </c>
      <c r="V28" s="48">
        <f>IF(Originalschema!Y29&gt;0,Originalschema!Y29,"")</f>
      </c>
      <c r="W28" s="48">
        <f>IF(Originalschema!Z29&gt;0,Originalschema!Z29,"")</f>
      </c>
      <c r="X28" s="48">
        <f>IF(Originalschema!AA29&gt;0,Originalschema!AA29,"")</f>
      </c>
      <c r="Y28" s="48">
        <f>IF(Originalschema!AB29&gt;0,Originalschema!AB29,"")</f>
      </c>
      <c r="Z28" s="48">
        <f>IF(Originalschema!AC29&gt;0,Originalschema!AC29,"")</f>
      </c>
      <c r="AA28" s="48">
        <f>IF(Originalschema!AF29&gt;0,Originalschema!AF29,"")</f>
      </c>
      <c r="AB28" s="48">
        <f>IF(Originalschema!AG29&gt;0,Originalschema!AG29,"")</f>
      </c>
      <c r="AC28" s="48">
        <f>IF(Originalschema!AH29&gt;0,Originalschema!AH29,"")</f>
      </c>
      <c r="AD28" s="48">
        <f>IF(Originalschema!AI29&gt;0,Originalschema!AI29,"")</f>
      </c>
      <c r="AE28" s="48">
        <f t="shared" si="1"/>
        <v>16</v>
      </c>
      <c r="AF28" s="48">
        <f t="shared" si="2"/>
        <v>16</v>
      </c>
      <c r="AG28" s="48">
        <f t="shared" si="3"/>
        <v>16</v>
      </c>
      <c r="AH28" s="48">
        <f t="shared" si="4"/>
        <v>16</v>
      </c>
      <c r="AI28" s="48">
        <f t="shared" si="5"/>
        <v>16</v>
      </c>
      <c r="AJ28" s="48">
        <f t="shared" si="6"/>
        <v>16</v>
      </c>
      <c r="AK28" s="48">
        <f t="shared" si="7"/>
        <v>16</v>
      </c>
      <c r="AL28" s="48">
        <f t="shared" si="8"/>
        <v>16</v>
      </c>
      <c r="AM28" s="48">
        <f t="shared" si="9"/>
        <v>16</v>
      </c>
      <c r="AN28" s="48">
        <f t="shared" si="10"/>
        <v>16</v>
      </c>
      <c r="AO28" s="48">
        <f t="shared" si="11"/>
        <v>16</v>
      </c>
      <c r="AP28" s="48">
        <f t="shared" si="12"/>
        <v>16</v>
      </c>
      <c r="AQ28" s="48">
        <f t="shared" si="13"/>
        <v>16</v>
      </c>
      <c r="AR28" s="48">
        <f t="shared" si="14"/>
        <v>16</v>
      </c>
      <c r="AS28" s="48">
        <f t="shared" si="15"/>
        <v>16</v>
      </c>
      <c r="AT28" s="48">
        <f t="shared" si="16"/>
        <v>16</v>
      </c>
      <c r="AU28" s="48">
        <f t="shared" si="17"/>
        <v>16</v>
      </c>
      <c r="AV28" s="48">
        <f t="shared" si="18"/>
        <v>16</v>
      </c>
      <c r="AW28" s="48">
        <f t="shared" si="19"/>
        <v>16</v>
      </c>
      <c r="AX28" s="48">
        <f t="shared" si="20"/>
        <v>16</v>
      </c>
      <c r="AY28" s="48">
        <f t="shared" si="21"/>
        <v>16</v>
      </c>
      <c r="AZ28" s="48">
        <f t="shared" si="22"/>
        <v>16</v>
      </c>
      <c r="BA28" s="48">
        <f t="shared" si="23"/>
        <v>16</v>
      </c>
      <c r="BB28" s="48">
        <f t="shared" si="24"/>
        <v>16</v>
      </c>
      <c r="BC28" s="48">
        <f t="shared" si="25"/>
        <v>16</v>
      </c>
    </row>
    <row r="29" spans="1:55" ht="18">
      <c r="A29" s="49">
        <f>IF((OR(Originalschema!F30="vakant",Originalschema!H30="vakant")),Originalschema!A31,Originalschema!A30)</f>
        <v>0</v>
      </c>
      <c r="B29" s="51"/>
      <c r="D29" s="51"/>
      <c r="E29" s="30">
        <f>IF(OR(Originalschema!F30="vakant",Originalschema!H30="vakant"),Originalschema!F31,Originalschema!F30)</f>
        <v>0</v>
      </c>
      <c r="F29" s="31">
        <f>+IF(Originalschema!G30&gt;0,Originalschema!G30,"")</f>
      </c>
      <c r="G29" s="30">
        <f>IF(OR(Originalschema!H30="vakant",Originalschema!F30="vakant"),Originalschema!H31,Originalschema!H30)</f>
        <v>0</v>
      </c>
      <c r="H29" s="31">
        <f>+IF(Originalschema!I30&gt;0,Originalschema!I30,"")</f>
      </c>
      <c r="I29" s="31">
        <f>+IF(Originalschema!J30&gt;0,Originalschema!J30,"")</f>
      </c>
      <c r="J29" s="31">
        <f>+IF(Originalschema!K30&gt;0,Originalschema!K30,"")</f>
      </c>
      <c r="K29" s="31">
        <f>+IF(Originalschema!L30&gt;0,Originalschema!L30,"")</f>
      </c>
      <c r="L29" s="48">
        <f>IF(Originalschema!M30&gt;0,Originalschema!M30,"")</f>
      </c>
      <c r="M29" s="48">
        <f>IF(Originalschema!N30&gt;0,Originalschema!N30,"")</f>
      </c>
      <c r="N29" s="48">
        <f>IF(Originalschema!O30&gt;0,Originalschema!O30,"")</f>
      </c>
      <c r="O29" s="48">
        <f>IF(Originalschema!P30&gt;0,Originalschema!P30,"")</f>
      </c>
      <c r="P29" s="48">
        <f>IF(Originalschema!Q30&gt;0,Originalschema!Q30,"")</f>
      </c>
      <c r="Q29" s="48">
        <f>IF(Originalschema!T30&gt;0,Originalschema!T30,"")</f>
      </c>
      <c r="R29" s="48">
        <f>IF(Originalschema!U30&gt;0,Originalschema!U30,"")</f>
      </c>
      <c r="S29" s="48">
        <f>IF(Originalschema!V30&gt;0,Originalschema!V30,"")</f>
      </c>
      <c r="T29" s="48">
        <f>IF(Originalschema!W30&gt;0,Originalschema!W30,"")</f>
      </c>
      <c r="U29" s="48">
        <f>IF(Originalschema!X30&gt;0,Originalschema!X30,"")</f>
      </c>
      <c r="V29" s="48">
        <f>IF(Originalschema!Y30&gt;0,Originalschema!Y30,"")</f>
      </c>
      <c r="W29" s="48">
        <f>IF(Originalschema!Z30&gt;0,Originalschema!Z30,"")</f>
      </c>
      <c r="X29" s="48">
        <f>IF(Originalschema!AA30&gt;0,Originalschema!AA30,"")</f>
      </c>
      <c r="Y29" s="48">
        <f>IF(Originalschema!AB30&gt;0,Originalschema!AB30,"")</f>
      </c>
      <c r="Z29" s="48">
        <f>IF(Originalschema!AC30&gt;0,Originalschema!AC30,"")</f>
      </c>
      <c r="AA29" s="48">
        <f>IF(Originalschema!AF30&gt;0,Originalschema!AF30,"")</f>
      </c>
      <c r="AB29" s="48">
        <f>IF(Originalschema!AG30&gt;0,Originalschema!AG30,"")</f>
      </c>
      <c r="AC29" s="48">
        <f>IF(Originalschema!AH30&gt;0,Originalschema!AH30,"")</f>
      </c>
      <c r="AD29" s="48">
        <f>IF(Originalschema!AI30&gt;0,Originalschema!AI30,"")</f>
      </c>
      <c r="AE29" s="48">
        <f t="shared" si="1"/>
        <v>0</v>
      </c>
      <c r="AF29" s="48">
        <f t="shared" si="2"/>
        <v>0</v>
      </c>
      <c r="AG29" s="48">
        <f t="shared" si="3"/>
        <v>0</v>
      </c>
      <c r="AH29" s="48">
        <f t="shared" si="4"/>
        <v>0</v>
      </c>
      <c r="AI29" s="48">
        <f t="shared" si="5"/>
        <v>0</v>
      </c>
      <c r="AJ29" s="48">
        <f t="shared" si="6"/>
        <v>0</v>
      </c>
      <c r="AK29" s="48">
        <f t="shared" si="7"/>
        <v>0</v>
      </c>
      <c r="AL29" s="48">
        <f t="shared" si="8"/>
        <v>0</v>
      </c>
      <c r="AM29" s="48">
        <f t="shared" si="9"/>
        <v>0</v>
      </c>
      <c r="AN29" s="48">
        <f t="shared" si="10"/>
        <v>0</v>
      </c>
      <c r="AO29" s="48">
        <f t="shared" si="11"/>
        <v>0</v>
      </c>
      <c r="AP29" s="48">
        <f t="shared" si="12"/>
        <v>0</v>
      </c>
      <c r="AQ29" s="48">
        <f t="shared" si="13"/>
        <v>0</v>
      </c>
      <c r="AR29" s="48">
        <f t="shared" si="14"/>
        <v>0</v>
      </c>
      <c r="AS29" s="48">
        <f t="shared" si="15"/>
        <v>0</v>
      </c>
      <c r="AT29" s="48">
        <f t="shared" si="16"/>
        <v>0</v>
      </c>
      <c r="AU29" s="48">
        <f t="shared" si="17"/>
        <v>0</v>
      </c>
      <c r="AV29" s="48">
        <f t="shared" si="18"/>
        <v>0</v>
      </c>
      <c r="AW29" s="48">
        <f t="shared" si="19"/>
        <v>0</v>
      </c>
      <c r="AX29" s="48">
        <f t="shared" si="20"/>
        <v>0</v>
      </c>
      <c r="AY29" s="48">
        <f t="shared" si="21"/>
        <v>0</v>
      </c>
      <c r="AZ29" s="48">
        <f t="shared" si="22"/>
        <v>0</v>
      </c>
      <c r="BA29" s="48">
        <f t="shared" si="23"/>
        <v>0</v>
      </c>
      <c r="BB29" s="48">
        <f t="shared" si="24"/>
        <v>0</v>
      </c>
      <c r="BC29" s="48">
        <f t="shared" si="25"/>
        <v>0</v>
      </c>
    </row>
    <row r="30" spans="1:55" ht="18">
      <c r="A30" s="49">
        <f>IF((OR(Originalschema!F31="vakant",Originalschema!H31="vakant")),Originalschema!A32,Originalschema!A31)</f>
        <v>17</v>
      </c>
      <c r="B30" s="51"/>
      <c r="D30" s="51"/>
      <c r="E30" s="30" t="str">
        <f>IF(OR(Originalschema!F31="vakant",Originalschema!H31="vakant"),Originalschema!F32,Originalschema!F31)</f>
        <v>IK Wormo</v>
      </c>
      <c r="F30" s="31" t="str">
        <f>+IF(Originalschema!G31&gt;0,Originalschema!G31,"")</f>
        <v>-</v>
      </c>
      <c r="G30" s="30" t="str">
        <f>IF(OR(Originalschema!H31="vakant",Originalschema!F31="vakant"),Originalschema!H32,Originalschema!H31)</f>
        <v>Åstorps FF 1</v>
      </c>
      <c r="H30" s="31">
        <f>+IF(Originalschema!I31&gt;0,Originalschema!I31,"")</f>
      </c>
      <c r="I30" s="31" t="str">
        <f>+IF(Originalschema!J31&gt;0,Originalschema!J31,"")</f>
        <v>-</v>
      </c>
      <c r="J30" s="31">
        <f>+IF(Originalschema!K31&gt;0,Originalschema!K31,"")</f>
      </c>
      <c r="K30" s="31">
        <f>+IF(Originalschema!L31&gt;0,Originalschema!L31,"")</f>
      </c>
      <c r="L30" s="48">
        <f>IF(Originalschema!M31&gt;0,Originalschema!M31,"")</f>
      </c>
      <c r="M30" s="48">
        <f>IF(Originalschema!N31&gt;0,Originalschema!N31,"")</f>
      </c>
      <c r="N30" s="48">
        <f>IF(Originalschema!O31&gt;0,Originalschema!O31,"")</f>
      </c>
      <c r="O30" s="48">
        <f>IF(Originalschema!P31&gt;0,Originalschema!P31,"")</f>
      </c>
      <c r="P30" s="48">
        <f>IF(Originalschema!Q31&gt;0,Originalschema!Q31,"")</f>
      </c>
      <c r="Q30" s="48">
        <f>IF(Originalschema!T31&gt;0,Originalschema!T31,"")</f>
      </c>
      <c r="R30" s="48">
        <f>IF(Originalschema!U31&gt;0,Originalschema!U31,"")</f>
      </c>
      <c r="S30" s="48">
        <f>IF(Originalschema!V31&gt;0,Originalschema!V31,"")</f>
      </c>
      <c r="T30" s="48">
        <f>IF(Originalschema!W31&gt;0,Originalschema!W31,"")</f>
      </c>
      <c r="U30" s="48">
        <f>IF(Originalschema!X31&gt;0,Originalschema!X31,"")</f>
      </c>
      <c r="V30" s="48">
        <f>IF(Originalschema!Y31&gt;0,Originalschema!Y31,"")</f>
      </c>
      <c r="W30" s="48">
        <f>IF(Originalschema!Z31&gt;0,Originalschema!Z31,"")</f>
      </c>
      <c r="X30" s="48">
        <f>IF(Originalschema!AA31&gt;0,Originalschema!AA31,"")</f>
      </c>
      <c r="Y30" s="48">
        <f>IF(Originalschema!AB31&gt;0,Originalschema!AB31,"")</f>
      </c>
      <c r="Z30" s="48">
        <f>IF(Originalschema!AC31&gt;0,Originalschema!AC31,"")</f>
      </c>
      <c r="AA30" s="48">
        <f>IF(Originalschema!AF31&gt;0,Originalschema!AF31,"")</f>
      </c>
      <c r="AB30" s="48">
        <f>IF(Originalschema!AG31&gt;0,Originalschema!AG31,"")</f>
      </c>
      <c r="AC30" s="48">
        <f>IF(Originalschema!AH31&gt;0,Originalschema!AH31,"")</f>
      </c>
      <c r="AD30" s="48">
        <f>IF(Originalschema!AI31&gt;0,Originalschema!AI31,"")</f>
      </c>
      <c r="AE30" s="48">
        <f t="shared" si="1"/>
        <v>17</v>
      </c>
      <c r="AF30" s="48">
        <f t="shared" si="2"/>
        <v>17</v>
      </c>
      <c r="AG30" s="48">
        <f t="shared" si="3"/>
        <v>17</v>
      </c>
      <c r="AH30" s="48">
        <f t="shared" si="4"/>
        <v>17</v>
      </c>
      <c r="AI30" s="48">
        <f t="shared" si="5"/>
        <v>17</v>
      </c>
      <c r="AJ30" s="48">
        <f t="shared" si="6"/>
        <v>17</v>
      </c>
      <c r="AK30" s="48">
        <f t="shared" si="7"/>
        <v>17</v>
      </c>
      <c r="AL30" s="48">
        <f t="shared" si="8"/>
        <v>17</v>
      </c>
      <c r="AM30" s="48">
        <f t="shared" si="9"/>
        <v>17</v>
      </c>
      <c r="AN30" s="48">
        <f t="shared" si="10"/>
        <v>17</v>
      </c>
      <c r="AO30" s="48">
        <f t="shared" si="11"/>
        <v>17</v>
      </c>
      <c r="AP30" s="48">
        <f t="shared" si="12"/>
        <v>17</v>
      </c>
      <c r="AQ30" s="48">
        <f t="shared" si="13"/>
        <v>17</v>
      </c>
      <c r="AR30" s="48">
        <f t="shared" si="14"/>
        <v>17</v>
      </c>
      <c r="AS30" s="48">
        <f t="shared" si="15"/>
        <v>17</v>
      </c>
      <c r="AT30" s="48">
        <f t="shared" si="16"/>
        <v>17</v>
      </c>
      <c r="AU30" s="48">
        <f t="shared" si="17"/>
        <v>17</v>
      </c>
      <c r="AV30" s="48">
        <f t="shared" si="18"/>
        <v>17</v>
      </c>
      <c r="AW30" s="48">
        <f t="shared" si="19"/>
        <v>17</v>
      </c>
      <c r="AX30" s="48">
        <f t="shared" si="20"/>
        <v>17</v>
      </c>
      <c r="AY30" s="48">
        <f t="shared" si="21"/>
        <v>17</v>
      </c>
      <c r="AZ30" s="48">
        <f t="shared" si="22"/>
        <v>17</v>
      </c>
      <c r="BA30" s="48">
        <f t="shared" si="23"/>
        <v>17</v>
      </c>
      <c r="BB30" s="48">
        <f t="shared" si="24"/>
        <v>17</v>
      </c>
      <c r="BC30" s="48">
        <f t="shared" si="25"/>
        <v>17</v>
      </c>
    </row>
    <row r="31" spans="1:55" ht="18">
      <c r="A31" s="49">
        <f>IF((OR(Originalschema!F32="vakant",Originalschema!H32="vakant")),Originalschema!A33,Originalschema!A32)</f>
        <v>18</v>
      </c>
      <c r="B31" s="51"/>
      <c r="D31" s="51"/>
      <c r="E31" s="30" t="str">
        <f>IF(OR(Originalschema!F32="vakant",Originalschema!H32="vakant"),Originalschema!F33,Originalschema!F32)</f>
        <v>Dösjöbro IF 1</v>
      </c>
      <c r="F31" s="31" t="str">
        <f>+IF(Originalschema!G32&gt;0,Originalschema!G32,"")</f>
        <v>-</v>
      </c>
      <c r="G31" s="30" t="str">
        <f>IF(OR(Originalschema!H32="vakant",Originalschema!F32="vakant"),Originalschema!H33,Originalschema!H32)</f>
        <v>Häljarps IF 2</v>
      </c>
      <c r="H31" s="31">
        <f>+IF(Originalschema!I32&gt;0,Originalschema!I32,"")</f>
      </c>
      <c r="I31" s="31" t="str">
        <f>+IF(Originalschema!J32&gt;0,Originalschema!J32,"")</f>
        <v>-</v>
      </c>
      <c r="J31" s="31">
        <f>+IF(Originalschema!K32&gt;0,Originalschema!K32,"")</f>
      </c>
      <c r="K31" s="31">
        <f>+IF(Originalschema!L32&gt;0,Originalschema!L32,"")</f>
      </c>
      <c r="L31" s="48">
        <f>IF(Originalschema!M32&gt;0,Originalschema!M32,"")</f>
      </c>
      <c r="M31" s="48">
        <f>IF(Originalschema!N32&gt;0,Originalschema!N32,"")</f>
      </c>
      <c r="N31" s="48">
        <f>IF(Originalschema!O32&gt;0,Originalschema!O32,"")</f>
      </c>
      <c r="O31" s="48">
        <f>IF(Originalschema!P32&gt;0,Originalschema!P32,"")</f>
      </c>
      <c r="P31" s="48">
        <f>IF(Originalschema!Q32&gt;0,Originalschema!Q32,"")</f>
      </c>
      <c r="Q31" s="48">
        <f>IF(Originalschema!T32&gt;0,Originalschema!T32,"")</f>
      </c>
      <c r="R31" s="48">
        <f>IF(Originalschema!U32&gt;0,Originalschema!U32,"")</f>
      </c>
      <c r="S31" s="48">
        <f>IF(Originalschema!V32&gt;0,Originalschema!V32,"")</f>
      </c>
      <c r="T31" s="48">
        <f>IF(Originalschema!W32&gt;0,Originalschema!W32,"")</f>
      </c>
      <c r="U31" s="48">
        <f>IF(Originalschema!X32&gt;0,Originalschema!X32,"")</f>
      </c>
      <c r="V31" s="48">
        <f>IF(Originalschema!Y32&gt;0,Originalschema!Y32,"")</f>
      </c>
      <c r="W31" s="48">
        <f>IF(Originalschema!Z32&gt;0,Originalschema!Z32,"")</f>
      </c>
      <c r="X31" s="48">
        <f>IF(Originalschema!AA32&gt;0,Originalschema!AA32,"")</f>
      </c>
      <c r="Y31" s="48">
        <f>IF(Originalschema!AB32&gt;0,Originalschema!AB32,"")</f>
      </c>
      <c r="Z31" s="48">
        <f>IF(Originalschema!AC32&gt;0,Originalschema!AC32,"")</f>
      </c>
      <c r="AA31" s="48">
        <f>IF(Originalschema!AF32&gt;0,Originalschema!AF32,"")</f>
      </c>
      <c r="AB31" s="48">
        <f>IF(Originalschema!AG32&gt;0,Originalschema!AG32,"")</f>
      </c>
      <c r="AC31" s="48">
        <f>IF(Originalschema!AH32&gt;0,Originalschema!AH32,"")</f>
      </c>
      <c r="AD31" s="48">
        <f>IF(Originalschema!AI32&gt;0,Originalschema!AI32,"")</f>
      </c>
      <c r="AE31" s="48">
        <f aca="true" t="shared" si="26" ref="AE31:AE36">+IF(A31=A30,A32,A31)</f>
        <v>18</v>
      </c>
      <c r="AF31" s="48">
        <f aca="true" t="shared" si="27" ref="AF31:BC31">+IF(AE31=AE30,AE32,AE31)</f>
        <v>18</v>
      </c>
      <c r="AG31" s="48">
        <f t="shared" si="27"/>
        <v>18</v>
      </c>
      <c r="AH31" s="48">
        <f t="shared" si="27"/>
        <v>18</v>
      </c>
      <c r="AI31" s="48">
        <f t="shared" si="27"/>
        <v>18</v>
      </c>
      <c r="AJ31" s="48">
        <f t="shared" si="27"/>
        <v>18</v>
      </c>
      <c r="AK31" s="48">
        <f t="shared" si="27"/>
        <v>18</v>
      </c>
      <c r="AL31" s="48">
        <f t="shared" si="27"/>
        <v>18</v>
      </c>
      <c r="AM31" s="48">
        <f t="shared" si="27"/>
        <v>18</v>
      </c>
      <c r="AN31" s="48">
        <f t="shared" si="27"/>
        <v>18</v>
      </c>
      <c r="AO31" s="48">
        <f t="shared" si="27"/>
        <v>18</v>
      </c>
      <c r="AP31" s="48">
        <f t="shared" si="27"/>
        <v>18</v>
      </c>
      <c r="AQ31" s="48">
        <f t="shared" si="27"/>
        <v>18</v>
      </c>
      <c r="AR31" s="48">
        <f t="shared" si="27"/>
        <v>18</v>
      </c>
      <c r="AS31" s="48">
        <f t="shared" si="27"/>
        <v>18</v>
      </c>
      <c r="AT31" s="48">
        <f t="shared" si="27"/>
        <v>18</v>
      </c>
      <c r="AU31" s="48">
        <f t="shared" si="27"/>
        <v>18</v>
      </c>
      <c r="AV31" s="48">
        <f t="shared" si="27"/>
        <v>18</v>
      </c>
      <c r="AW31" s="48">
        <f t="shared" si="27"/>
        <v>18</v>
      </c>
      <c r="AX31" s="48">
        <f t="shared" si="27"/>
        <v>18</v>
      </c>
      <c r="AY31" s="48">
        <f t="shared" si="27"/>
        <v>18</v>
      </c>
      <c r="AZ31" s="48">
        <f t="shared" si="27"/>
        <v>18</v>
      </c>
      <c r="BA31" s="48">
        <f t="shared" si="27"/>
        <v>18</v>
      </c>
      <c r="BB31" s="48">
        <f t="shared" si="27"/>
        <v>18</v>
      </c>
      <c r="BC31" s="48">
        <f t="shared" si="27"/>
        <v>18</v>
      </c>
    </row>
    <row r="32" spans="1:55" ht="18">
      <c r="A32" s="49">
        <f>IF((OR(Originalschema!F33="vakant",Originalschema!H33="vakant")),Originalschema!A34,Originalschema!A33)</f>
        <v>19</v>
      </c>
      <c r="B32" s="51"/>
      <c r="D32" s="51"/>
      <c r="E32" s="30" t="str">
        <f>IF(OR(Originalschema!F33="vakant",Originalschema!H33="vakant"),Originalschema!F34,Originalschema!F33)</f>
        <v>Åstorps FF 2</v>
      </c>
      <c r="F32" s="31" t="str">
        <f>+IF(Originalschema!G33&gt;0,Originalschema!G33,"")</f>
        <v>-</v>
      </c>
      <c r="G32" s="30" t="str">
        <f>IF(OR(Originalschema!H33="vakant",Originalschema!F33="vakant"),Originalschema!H34,Originalschema!H33)</f>
        <v>Svalövs BK 1</v>
      </c>
      <c r="H32" s="31">
        <f>+IF(Originalschema!I33&gt;0,Originalschema!I33,"")</f>
      </c>
      <c r="I32" s="31" t="str">
        <f>+IF(Originalschema!J33&gt;0,Originalschema!J33,"")</f>
        <v>-</v>
      </c>
      <c r="J32" s="31">
        <f>+IF(Originalschema!K33&gt;0,Originalschema!K33,"")</f>
      </c>
      <c r="K32" s="31">
        <f>+IF(Originalschema!L33&gt;0,Originalschema!L33,"")</f>
      </c>
      <c r="L32" s="48">
        <f>IF(Originalschema!M33&gt;0,Originalschema!M33,"")</f>
      </c>
      <c r="M32" s="48">
        <f>IF(Originalschema!N33&gt;0,Originalschema!N33,"")</f>
      </c>
      <c r="N32" s="48">
        <f>IF(Originalschema!O33&gt;0,Originalschema!O33,"")</f>
      </c>
      <c r="O32" s="48">
        <f>IF(Originalschema!P33&gt;0,Originalschema!P33,"")</f>
      </c>
      <c r="P32" s="48">
        <f>IF(Originalschema!Q33&gt;0,Originalschema!Q33,"")</f>
      </c>
      <c r="Q32" s="48">
        <f>IF(Originalschema!T33&gt;0,Originalschema!T33,"")</f>
      </c>
      <c r="R32" s="48">
        <f>IF(Originalschema!U33&gt;0,Originalschema!U33,"")</f>
      </c>
      <c r="S32" s="48">
        <f>IF(Originalschema!V33&gt;0,Originalschema!V33,"")</f>
      </c>
      <c r="T32" s="48">
        <f>IF(Originalschema!W33&gt;0,Originalschema!W33,"")</f>
      </c>
      <c r="U32" s="48">
        <f>IF(Originalschema!X33&gt;0,Originalschema!X33,"")</f>
      </c>
      <c r="V32" s="48">
        <f>IF(Originalschema!Y33&gt;0,Originalschema!Y33,"")</f>
      </c>
      <c r="W32" s="48">
        <f>IF(Originalschema!Z33&gt;0,Originalschema!Z33,"")</f>
      </c>
      <c r="X32" s="48">
        <f>IF(Originalschema!AA33&gt;0,Originalschema!AA33,"")</f>
      </c>
      <c r="Y32" s="48">
        <f>IF(Originalschema!AB33&gt;0,Originalschema!AB33,"")</f>
      </c>
      <c r="Z32" s="48">
        <f>IF(Originalschema!AC33&gt;0,Originalschema!AC33,"")</f>
      </c>
      <c r="AA32" s="48">
        <f>IF(Originalschema!AF33&gt;0,Originalschema!AF33,"")</f>
      </c>
      <c r="AB32" s="48">
        <f>IF(Originalschema!AG33&gt;0,Originalschema!AG33,"")</f>
      </c>
      <c r="AC32" s="48">
        <f>IF(Originalschema!AH33&gt;0,Originalschema!AH33,"")</f>
      </c>
      <c r="AD32" s="48">
        <f>IF(Originalschema!AI33&gt;0,Originalschema!AI33,"")</f>
      </c>
      <c r="AE32" s="48">
        <f t="shared" si="26"/>
        <v>19</v>
      </c>
      <c r="AF32" s="48">
        <f aca="true" t="shared" si="28" ref="AF32:BC32">+IF(AE32=AE31,AE33,AE32)</f>
        <v>19</v>
      </c>
      <c r="AG32" s="48">
        <f t="shared" si="28"/>
        <v>19</v>
      </c>
      <c r="AH32" s="48">
        <f t="shared" si="28"/>
        <v>19</v>
      </c>
      <c r="AI32" s="48">
        <f t="shared" si="28"/>
        <v>19</v>
      </c>
      <c r="AJ32" s="48">
        <f t="shared" si="28"/>
        <v>19</v>
      </c>
      <c r="AK32" s="48">
        <f t="shared" si="28"/>
        <v>19</v>
      </c>
      <c r="AL32" s="48">
        <f t="shared" si="28"/>
        <v>19</v>
      </c>
      <c r="AM32" s="48">
        <f t="shared" si="28"/>
        <v>19</v>
      </c>
      <c r="AN32" s="48">
        <f t="shared" si="28"/>
        <v>19</v>
      </c>
      <c r="AO32" s="48">
        <f t="shared" si="28"/>
        <v>19</v>
      </c>
      <c r="AP32" s="48">
        <f t="shared" si="28"/>
        <v>19</v>
      </c>
      <c r="AQ32" s="48">
        <f t="shared" si="28"/>
        <v>19</v>
      </c>
      <c r="AR32" s="48">
        <f t="shared" si="28"/>
        <v>19</v>
      </c>
      <c r="AS32" s="48">
        <f t="shared" si="28"/>
        <v>19</v>
      </c>
      <c r="AT32" s="48">
        <f t="shared" si="28"/>
        <v>19</v>
      </c>
      <c r="AU32" s="48">
        <f t="shared" si="28"/>
        <v>19</v>
      </c>
      <c r="AV32" s="48">
        <f t="shared" si="28"/>
        <v>19</v>
      </c>
      <c r="AW32" s="48">
        <f t="shared" si="28"/>
        <v>19</v>
      </c>
      <c r="AX32" s="48">
        <f t="shared" si="28"/>
        <v>19</v>
      </c>
      <c r="AY32" s="48">
        <f t="shared" si="28"/>
        <v>19</v>
      </c>
      <c r="AZ32" s="48">
        <f t="shared" si="28"/>
        <v>19</v>
      </c>
      <c r="BA32" s="48">
        <f t="shared" si="28"/>
        <v>19</v>
      </c>
      <c r="BB32" s="48">
        <f t="shared" si="28"/>
        <v>19</v>
      </c>
      <c r="BC32" s="48">
        <f t="shared" si="28"/>
        <v>19</v>
      </c>
    </row>
    <row r="33" spans="1:55" ht="18">
      <c r="A33" s="49">
        <f>IF((OR(Originalschema!F34="vakant",Originalschema!H34="vakant")),Originalschema!A35,Originalschema!A34)</f>
        <v>20</v>
      </c>
      <c r="B33" s="51"/>
      <c r="D33" s="51"/>
      <c r="E33" s="30" t="str">
        <f>IF(OR(Originalschema!F34="vakant",Originalschema!H34="vakant"),Originalschema!F35,Originalschema!F34)</f>
        <v>Dösjöbro IF 2</v>
      </c>
      <c r="F33" s="31" t="str">
        <f>+IF(Originalschema!G34&gt;0,Originalschema!G34,"")</f>
        <v>-</v>
      </c>
      <c r="G33" s="30" t="str">
        <f>IF(OR(Originalschema!H34="vakant",Originalschema!F34="vakant"),Originalschema!H35,Originalschema!H34)</f>
        <v>Billesholms GIF</v>
      </c>
      <c r="H33" s="31">
        <f>+IF(Originalschema!I34&gt;0,Originalschema!I34,"")</f>
      </c>
      <c r="I33" s="31" t="str">
        <f>+IF(Originalschema!J34&gt;0,Originalschema!J34,"")</f>
        <v>-</v>
      </c>
      <c r="J33" s="31">
        <f>+IF(Originalschema!K34&gt;0,Originalschema!K34,"")</f>
      </c>
      <c r="K33" s="31">
        <f>+IF(Originalschema!L34&gt;0,Originalschema!L34,"")</f>
      </c>
      <c r="L33" s="48">
        <f>IF(Originalschema!M34&gt;0,Originalschema!M34,"")</f>
      </c>
      <c r="M33" s="48">
        <f>IF(Originalschema!N34&gt;0,Originalschema!N34,"")</f>
      </c>
      <c r="N33" s="48">
        <f>IF(Originalschema!O34&gt;0,Originalschema!O34,"")</f>
      </c>
      <c r="O33" s="48">
        <f>IF(Originalschema!P34&gt;0,Originalschema!P34,"")</f>
      </c>
      <c r="P33" s="48">
        <f>IF(Originalschema!Q34&gt;0,Originalschema!Q34,"")</f>
      </c>
      <c r="Q33" s="48">
        <f>IF(Originalschema!T34&gt;0,Originalschema!T34,"")</f>
      </c>
      <c r="R33" s="48">
        <f>IF(Originalschema!U34&gt;0,Originalschema!U34,"")</f>
      </c>
      <c r="S33" s="48">
        <f>IF(Originalschema!V34&gt;0,Originalschema!V34,"")</f>
      </c>
      <c r="T33" s="48">
        <f>IF(Originalschema!W34&gt;0,Originalschema!W34,"")</f>
      </c>
      <c r="U33" s="48">
        <f>IF(Originalschema!X34&gt;0,Originalschema!X34,"")</f>
      </c>
      <c r="V33" s="48">
        <f>IF(Originalschema!Y34&gt;0,Originalschema!Y34,"")</f>
      </c>
      <c r="W33" s="48">
        <f>IF(Originalschema!Z34&gt;0,Originalschema!Z34,"")</f>
      </c>
      <c r="X33" s="48">
        <f>IF(Originalschema!AA34&gt;0,Originalschema!AA34,"")</f>
      </c>
      <c r="Y33" s="48">
        <f>IF(Originalschema!AB34&gt;0,Originalschema!AB34,"")</f>
      </c>
      <c r="Z33" s="48">
        <f>IF(Originalschema!AC34&gt;0,Originalschema!AC34,"")</f>
      </c>
      <c r="AA33" s="48">
        <f>IF(Originalschema!AF34&gt;0,Originalschema!AF34,"")</f>
      </c>
      <c r="AB33" s="48">
        <f>IF(Originalschema!AG34&gt;0,Originalschema!AG34,"")</f>
      </c>
      <c r="AC33" s="48">
        <f>IF(Originalschema!AH34&gt;0,Originalschema!AH34,"")</f>
      </c>
      <c r="AD33" s="48">
        <f>IF(Originalschema!AI34&gt;0,Originalschema!AI34,"")</f>
      </c>
      <c r="AE33" s="48">
        <f t="shared" si="26"/>
        <v>20</v>
      </c>
      <c r="AF33" s="48">
        <f aca="true" t="shared" si="29" ref="AF33:BC33">+IF(AE33=AE32,AE34,AE33)</f>
        <v>20</v>
      </c>
      <c r="AG33" s="48">
        <f t="shared" si="29"/>
        <v>20</v>
      </c>
      <c r="AH33" s="48">
        <f t="shared" si="29"/>
        <v>20</v>
      </c>
      <c r="AI33" s="48">
        <f t="shared" si="29"/>
        <v>20</v>
      </c>
      <c r="AJ33" s="48">
        <f t="shared" si="29"/>
        <v>20</v>
      </c>
      <c r="AK33" s="48">
        <f t="shared" si="29"/>
        <v>20</v>
      </c>
      <c r="AL33" s="48">
        <f t="shared" si="29"/>
        <v>20</v>
      </c>
      <c r="AM33" s="48">
        <f t="shared" si="29"/>
        <v>20</v>
      </c>
      <c r="AN33" s="48">
        <f t="shared" si="29"/>
        <v>20</v>
      </c>
      <c r="AO33" s="48">
        <f t="shared" si="29"/>
        <v>20</v>
      </c>
      <c r="AP33" s="48">
        <f t="shared" si="29"/>
        <v>20</v>
      </c>
      <c r="AQ33" s="48">
        <f t="shared" si="29"/>
        <v>20</v>
      </c>
      <c r="AR33" s="48">
        <f t="shared" si="29"/>
        <v>20</v>
      </c>
      <c r="AS33" s="48">
        <f t="shared" si="29"/>
        <v>20</v>
      </c>
      <c r="AT33" s="48">
        <f t="shared" si="29"/>
        <v>20</v>
      </c>
      <c r="AU33" s="48">
        <f t="shared" si="29"/>
        <v>20</v>
      </c>
      <c r="AV33" s="48">
        <f t="shared" si="29"/>
        <v>20</v>
      </c>
      <c r="AW33" s="48">
        <f t="shared" si="29"/>
        <v>20</v>
      </c>
      <c r="AX33" s="48">
        <f t="shared" si="29"/>
        <v>20</v>
      </c>
      <c r="AY33" s="48">
        <f t="shared" si="29"/>
        <v>20</v>
      </c>
      <c r="AZ33" s="48">
        <f t="shared" si="29"/>
        <v>20</v>
      </c>
      <c r="BA33" s="48">
        <f t="shared" si="29"/>
        <v>20</v>
      </c>
      <c r="BB33" s="48">
        <f t="shared" si="29"/>
        <v>20</v>
      </c>
      <c r="BC33" s="48">
        <f t="shared" si="29"/>
        <v>20</v>
      </c>
    </row>
    <row r="34" spans="1:55" ht="18">
      <c r="A34" s="49">
        <f>IF((OR(Originalschema!F35="vakant",Originalschema!H35="vakant")),Originalschema!A36,Originalschema!A35)</f>
        <v>0</v>
      </c>
      <c r="B34" s="51"/>
      <c r="D34" s="51"/>
      <c r="E34" s="30">
        <f>IF(OR(Originalschema!F35="vakant",Originalschema!H35="vakant"),Originalschema!F36,Originalschema!F35)</f>
        <v>0</v>
      </c>
      <c r="F34" s="31">
        <f>+IF(Originalschema!G35&gt;0,Originalschema!G35,"")</f>
      </c>
      <c r="G34" s="30">
        <f>IF(OR(Originalschema!H35="vakant",Originalschema!F35="vakant"),Originalschema!H36,Originalschema!H35)</f>
        <v>0</v>
      </c>
      <c r="H34" s="31">
        <f>+IF(Originalschema!I35&gt;0,Originalschema!I35,"")</f>
      </c>
      <c r="I34" s="31">
        <f>+IF(Originalschema!J35&gt;0,Originalschema!J35,"")</f>
      </c>
      <c r="J34" s="31">
        <f>+IF(Originalschema!K35&gt;0,Originalschema!K35,"")</f>
      </c>
      <c r="K34" s="31">
        <f>+IF(Originalschema!L35&gt;0,Originalschema!L35,"")</f>
      </c>
      <c r="L34" s="48">
        <f>IF(Originalschema!M35&gt;0,Originalschema!M35,"")</f>
      </c>
      <c r="M34" s="48">
        <f>IF(Originalschema!N35&gt;0,Originalschema!N35,"")</f>
      </c>
      <c r="N34" s="48">
        <f>IF(Originalschema!O35&gt;0,Originalschema!O35,"")</f>
      </c>
      <c r="O34" s="48">
        <f>IF(Originalschema!P35&gt;0,Originalschema!P35,"")</f>
      </c>
      <c r="P34" s="48">
        <f>IF(Originalschema!Q35&gt;0,Originalschema!Q35,"")</f>
      </c>
      <c r="Q34" s="48">
        <f>IF(Originalschema!T35&gt;0,Originalschema!T35,"")</f>
      </c>
      <c r="R34" s="48">
        <f>IF(Originalschema!U35&gt;0,Originalschema!U35,"")</f>
      </c>
      <c r="S34" s="48">
        <f>IF(Originalschema!V35&gt;0,Originalschema!V35,"")</f>
      </c>
      <c r="T34" s="48">
        <f>IF(Originalschema!W35&gt;0,Originalschema!W35,"")</f>
      </c>
      <c r="U34" s="48">
        <f>IF(Originalschema!X35&gt;0,Originalschema!X35,"")</f>
      </c>
      <c r="V34" s="48">
        <f>IF(Originalschema!Y35&gt;0,Originalschema!Y35,"")</f>
      </c>
      <c r="W34" s="48">
        <f>IF(Originalschema!Z35&gt;0,Originalschema!Z35,"")</f>
      </c>
      <c r="X34" s="48">
        <f>IF(Originalschema!AA35&gt;0,Originalschema!AA35,"")</f>
      </c>
      <c r="Y34" s="48">
        <f>IF(Originalschema!AB35&gt;0,Originalschema!AB35,"")</f>
      </c>
      <c r="Z34" s="48">
        <f>IF(Originalschema!AC35&gt;0,Originalschema!AC35,"")</f>
      </c>
      <c r="AA34" s="48">
        <f>IF(Originalschema!AF35&gt;0,Originalschema!AF35,"")</f>
      </c>
      <c r="AB34" s="48">
        <f>IF(Originalschema!AG35&gt;0,Originalschema!AG35,"")</f>
      </c>
      <c r="AC34" s="48">
        <f>IF(Originalschema!AH35&gt;0,Originalschema!AH35,"")</f>
      </c>
      <c r="AD34" s="48">
        <f>IF(Originalschema!AI35&gt;0,Originalschema!AI35,"")</f>
      </c>
      <c r="AE34" s="48">
        <f t="shared" si="26"/>
        <v>0</v>
      </c>
      <c r="AF34" s="48">
        <f aca="true" t="shared" si="30" ref="AF34:BC34">+IF(AE34=AE33,AE35,AE34)</f>
        <v>0</v>
      </c>
      <c r="AG34" s="48">
        <f t="shared" si="30"/>
        <v>0</v>
      </c>
      <c r="AH34" s="48">
        <f t="shared" si="30"/>
        <v>0</v>
      </c>
      <c r="AI34" s="48">
        <f t="shared" si="30"/>
        <v>0</v>
      </c>
      <c r="AJ34" s="48">
        <f t="shared" si="30"/>
        <v>0</v>
      </c>
      <c r="AK34" s="48">
        <f t="shared" si="30"/>
        <v>0</v>
      </c>
      <c r="AL34" s="48">
        <f t="shared" si="30"/>
        <v>0</v>
      </c>
      <c r="AM34" s="48">
        <f t="shared" si="30"/>
        <v>0</v>
      </c>
      <c r="AN34" s="48">
        <f t="shared" si="30"/>
        <v>0</v>
      </c>
      <c r="AO34" s="48">
        <f t="shared" si="30"/>
        <v>0</v>
      </c>
      <c r="AP34" s="48">
        <f t="shared" si="30"/>
        <v>0</v>
      </c>
      <c r="AQ34" s="48">
        <f t="shared" si="30"/>
        <v>0</v>
      </c>
      <c r="AR34" s="48">
        <f t="shared" si="30"/>
        <v>0</v>
      </c>
      <c r="AS34" s="48">
        <f t="shared" si="30"/>
        <v>0</v>
      </c>
      <c r="AT34" s="48">
        <f t="shared" si="30"/>
        <v>0</v>
      </c>
      <c r="AU34" s="48">
        <f t="shared" si="30"/>
        <v>0</v>
      </c>
      <c r="AV34" s="48">
        <f t="shared" si="30"/>
        <v>0</v>
      </c>
      <c r="AW34" s="48">
        <f t="shared" si="30"/>
        <v>0</v>
      </c>
      <c r="AX34" s="48">
        <f t="shared" si="30"/>
        <v>0</v>
      </c>
      <c r="AY34" s="48">
        <f t="shared" si="30"/>
        <v>0</v>
      </c>
      <c r="AZ34" s="48">
        <f t="shared" si="30"/>
        <v>0</v>
      </c>
      <c r="BA34" s="48">
        <f t="shared" si="30"/>
        <v>0</v>
      </c>
      <c r="BB34" s="48">
        <f t="shared" si="30"/>
        <v>0</v>
      </c>
      <c r="BC34" s="48">
        <f t="shared" si="30"/>
        <v>0</v>
      </c>
    </row>
    <row r="35" spans="1:55" ht="18">
      <c r="A35" s="49">
        <f>IF((OR(Originalschema!F36="vakant",Originalschema!H36="vakant")),Originalschema!A37,Originalschema!A36)</f>
        <v>0</v>
      </c>
      <c r="B35" s="51"/>
      <c r="D35" s="51"/>
      <c r="E35" s="30">
        <f>IF(OR(Originalschema!F36="vakant",Originalschema!H36="vakant"),Originalschema!F37,Originalschema!F36)</f>
      </c>
      <c r="F35" s="31">
        <f>+IF(Originalschema!G36&gt;0,Originalschema!G36,"")</f>
      </c>
      <c r="G35" s="30">
        <f>IF(OR(Originalschema!H36="vakant",Originalschema!F36="vakant"),Originalschema!H37,Originalschema!H36)</f>
      </c>
      <c r="H35" s="31">
        <f>+IF(Originalschema!I36&gt;0,Originalschema!I36,"")</f>
      </c>
      <c r="I35" s="31">
        <f>+IF(Originalschema!J36&gt;0,Originalschema!J36,"")</f>
      </c>
      <c r="J35" s="31">
        <f>+IF(Originalschema!K36&gt;0,Originalschema!K36,"")</f>
      </c>
      <c r="K35" s="31">
        <f>+IF(Originalschema!L36&gt;0,Originalschema!L36,"")</f>
      </c>
      <c r="L35" s="48">
        <f>IF(Originalschema!M36&gt;0,Originalschema!M36,"")</f>
      </c>
      <c r="M35" s="48">
        <f>IF(Originalschema!N36&gt;0,Originalschema!N36,"")</f>
      </c>
      <c r="N35" s="48">
        <f>IF(Originalschema!O36&gt;0,Originalschema!O36,"")</f>
      </c>
      <c r="O35" s="48">
        <f>IF(Originalschema!P36&gt;0,Originalschema!P36,"")</f>
      </c>
      <c r="P35" s="48">
        <f>IF(Originalschema!Q36&gt;0,Originalschema!Q36,"")</f>
      </c>
      <c r="Q35" s="48">
        <f>IF(Originalschema!T36&gt;0,Originalschema!T36,"")</f>
      </c>
      <c r="R35" s="48">
        <f>IF(Originalschema!U36&gt;0,Originalschema!U36,"")</f>
      </c>
      <c r="S35" s="48">
        <f>IF(Originalschema!V36&gt;0,Originalschema!V36,"")</f>
      </c>
      <c r="T35" s="48">
        <f>IF(Originalschema!W36&gt;0,Originalschema!W36,"")</f>
      </c>
      <c r="U35" s="48">
        <f>IF(Originalschema!X36&gt;0,Originalschema!X36,"")</f>
      </c>
      <c r="V35" s="48">
        <f>IF(Originalschema!Y36&gt;0,Originalschema!Y36,"")</f>
      </c>
      <c r="W35" s="48">
        <f>IF(Originalschema!Z36&gt;0,Originalschema!Z36,"")</f>
      </c>
      <c r="X35" s="48">
        <f>IF(Originalschema!AA36&gt;0,Originalschema!AA36,"")</f>
      </c>
      <c r="Y35" s="48">
        <f>IF(Originalschema!AB36&gt;0,Originalschema!AB36,"")</f>
      </c>
      <c r="Z35" s="48">
        <f>IF(Originalschema!AC36&gt;0,Originalschema!AC36,"")</f>
      </c>
      <c r="AA35" s="48">
        <f>IF(Originalschema!AF36&gt;0,Originalschema!AF36,"")</f>
      </c>
      <c r="AB35" s="48">
        <f>IF(Originalschema!AG36&gt;0,Originalschema!AG36,"")</f>
      </c>
      <c r="AC35" s="48">
        <f>IF(Originalschema!AH36&gt;0,Originalschema!AH36,"")</f>
      </c>
      <c r="AD35" s="48">
        <f>IF(Originalschema!AI36&gt;0,Originalschema!AI36,"")</f>
      </c>
      <c r="AE35" s="48">
        <f t="shared" si="26"/>
        <v>0</v>
      </c>
      <c r="AF35" s="48">
        <f aca="true" t="shared" si="31" ref="AF35:BC35">+IF(AE35=AE34,AE36,AE35)</f>
        <v>0</v>
      </c>
      <c r="AG35" s="48">
        <f t="shared" si="31"/>
        <v>0</v>
      </c>
      <c r="AH35" s="48">
        <f t="shared" si="31"/>
        <v>0</v>
      </c>
      <c r="AI35" s="48">
        <f t="shared" si="31"/>
        <v>0</v>
      </c>
      <c r="AJ35" s="48">
        <f t="shared" si="31"/>
        <v>0</v>
      </c>
      <c r="AK35" s="48">
        <f t="shared" si="31"/>
        <v>0</v>
      </c>
      <c r="AL35" s="48">
        <f t="shared" si="31"/>
        <v>0</v>
      </c>
      <c r="AM35" s="48">
        <f t="shared" si="31"/>
        <v>0</v>
      </c>
      <c r="AN35" s="48">
        <f t="shared" si="31"/>
        <v>0</v>
      </c>
      <c r="AO35" s="48">
        <f t="shared" si="31"/>
        <v>0</v>
      </c>
      <c r="AP35" s="48">
        <f t="shared" si="31"/>
        <v>0</v>
      </c>
      <c r="AQ35" s="48">
        <f t="shared" si="31"/>
        <v>0</v>
      </c>
      <c r="AR35" s="48">
        <f t="shared" si="31"/>
        <v>0</v>
      </c>
      <c r="AS35" s="48">
        <f t="shared" si="31"/>
        <v>0</v>
      </c>
      <c r="AT35" s="48">
        <f t="shared" si="31"/>
        <v>0</v>
      </c>
      <c r="AU35" s="48">
        <f t="shared" si="31"/>
        <v>0</v>
      </c>
      <c r="AV35" s="48">
        <f t="shared" si="31"/>
        <v>0</v>
      </c>
      <c r="AW35" s="48">
        <f t="shared" si="31"/>
        <v>0</v>
      </c>
      <c r="AX35" s="48">
        <f t="shared" si="31"/>
        <v>0</v>
      </c>
      <c r="AY35" s="48">
        <f t="shared" si="31"/>
        <v>0</v>
      </c>
      <c r="AZ35" s="48">
        <f t="shared" si="31"/>
        <v>0</v>
      </c>
      <c r="BA35" s="48">
        <f t="shared" si="31"/>
        <v>0</v>
      </c>
      <c r="BB35" s="48">
        <f t="shared" si="31"/>
        <v>0</v>
      </c>
      <c r="BC35" s="48">
        <f t="shared" si="31"/>
        <v>0</v>
      </c>
    </row>
    <row r="36" spans="1:55" ht="18">
      <c r="A36" s="49">
        <f>IF((OR(Originalschema!F37="vakant",Originalschema!H37="vakant")),Originalschema!A38,Originalschema!A37)</f>
        <v>0</v>
      </c>
      <c r="B36" s="51"/>
      <c r="D36" s="51"/>
      <c r="E36" s="30">
        <f>IF(OR(Originalschema!F37="vakant",Originalschema!H37="vakant"),Originalschema!F38,Originalschema!F37)</f>
        <v>0</v>
      </c>
      <c r="F36" s="31">
        <f>+IF(Originalschema!G37&gt;0,Originalschema!G37,"")</f>
      </c>
      <c r="G36" s="30">
        <f>IF(OR(Originalschema!H37="vakant",Originalschema!F37="vakant"),Originalschema!H38,Originalschema!H37)</f>
        <v>0</v>
      </c>
      <c r="H36" s="31">
        <f>+IF(Originalschema!I37&gt;0,Originalschema!I37,"")</f>
      </c>
      <c r="I36" s="31">
        <f>+IF(Originalschema!J37&gt;0,Originalschema!J37,"")</f>
      </c>
      <c r="J36" s="31">
        <f>+IF(Originalschema!K37&gt;0,Originalschema!K37,"")</f>
      </c>
      <c r="K36" s="31">
        <f>+IF(Originalschema!L37&gt;0,Originalschema!L37,"")</f>
      </c>
      <c r="L36" s="48">
        <f>IF(Originalschema!M37&gt;0,Originalschema!M37,"")</f>
      </c>
      <c r="M36" s="48">
        <f>IF(Originalschema!N37&gt;0,Originalschema!N37,"")</f>
      </c>
      <c r="N36" s="48">
        <f>IF(Originalschema!O37&gt;0,Originalschema!O37,"")</f>
      </c>
      <c r="O36" s="48">
        <f>IF(Originalschema!P37&gt;0,Originalschema!P37,"")</f>
      </c>
      <c r="P36" s="48">
        <f>IF(Originalschema!Q37&gt;0,Originalschema!Q37,"")</f>
      </c>
      <c r="Q36" s="48">
        <f>IF(Originalschema!T37&gt;0,Originalschema!T37,"")</f>
      </c>
      <c r="R36" s="48">
        <f>IF(Originalschema!U37&gt;0,Originalschema!U37,"")</f>
      </c>
      <c r="S36" s="48">
        <f>IF(Originalschema!V37&gt;0,Originalschema!V37,"")</f>
      </c>
      <c r="T36" s="48">
        <f>IF(Originalschema!W37&gt;0,Originalschema!W37,"")</f>
      </c>
      <c r="U36" s="48">
        <f>IF(Originalschema!X37&gt;0,Originalschema!X37,"")</f>
      </c>
      <c r="V36" s="48">
        <f>IF(Originalschema!Y37&gt;0,Originalschema!Y37,"")</f>
      </c>
      <c r="W36" s="48">
        <f>IF(Originalschema!Z37&gt;0,Originalschema!Z37,"")</f>
      </c>
      <c r="X36" s="48">
        <f>IF(Originalschema!AA37&gt;0,Originalschema!AA37,"")</f>
      </c>
      <c r="Y36" s="48">
        <f>IF(Originalschema!AB37&gt;0,Originalschema!AB37,"")</f>
      </c>
      <c r="Z36" s="48">
        <f>IF(Originalschema!AC37&gt;0,Originalschema!AC37,"")</f>
      </c>
      <c r="AA36" s="48">
        <f>IF(Originalschema!AF37&gt;0,Originalschema!AF37,"")</f>
      </c>
      <c r="AB36" s="48">
        <f>IF(Originalschema!AG37&gt;0,Originalschema!AG37,"")</f>
      </c>
      <c r="AC36" s="48">
        <f>IF(Originalschema!AH37&gt;0,Originalschema!AH37,"")</f>
      </c>
      <c r="AD36" s="48">
        <f>IF(Originalschema!AI37&gt;0,Originalschema!AI37,"")</f>
      </c>
      <c r="AE36" s="48">
        <f t="shared" si="26"/>
        <v>0</v>
      </c>
      <c r="AF36" s="48">
        <f aca="true" t="shared" si="32" ref="AF36:BC36">+IF(AE36=AE35,AE37,AE36)</f>
        <v>0</v>
      </c>
      <c r="AG36" s="48">
        <f t="shared" si="32"/>
        <v>0</v>
      </c>
      <c r="AH36" s="48">
        <f t="shared" si="32"/>
        <v>0</v>
      </c>
      <c r="AI36" s="48">
        <f t="shared" si="32"/>
        <v>0</v>
      </c>
      <c r="AJ36" s="48">
        <f t="shared" si="32"/>
        <v>0</v>
      </c>
      <c r="AK36" s="48">
        <f t="shared" si="32"/>
        <v>0</v>
      </c>
      <c r="AL36" s="48">
        <f t="shared" si="32"/>
        <v>0</v>
      </c>
      <c r="AM36" s="48">
        <f t="shared" si="32"/>
        <v>0</v>
      </c>
      <c r="AN36" s="48">
        <f t="shared" si="32"/>
        <v>0</v>
      </c>
      <c r="AO36" s="48">
        <f t="shared" si="32"/>
        <v>0</v>
      </c>
      <c r="AP36" s="48">
        <f t="shared" si="32"/>
        <v>0</v>
      </c>
      <c r="AQ36" s="48">
        <f t="shared" si="32"/>
        <v>0</v>
      </c>
      <c r="AR36" s="48">
        <f t="shared" si="32"/>
        <v>0</v>
      </c>
      <c r="AS36" s="48">
        <f t="shared" si="32"/>
        <v>0</v>
      </c>
      <c r="AT36" s="48">
        <f t="shared" si="32"/>
        <v>0</v>
      </c>
      <c r="AU36" s="48">
        <f t="shared" si="32"/>
        <v>0</v>
      </c>
      <c r="AV36" s="48">
        <f t="shared" si="32"/>
        <v>0</v>
      </c>
      <c r="AW36" s="48">
        <f t="shared" si="32"/>
        <v>0</v>
      </c>
      <c r="AX36" s="48">
        <f t="shared" si="32"/>
        <v>0</v>
      </c>
      <c r="AY36" s="48">
        <f t="shared" si="32"/>
        <v>0</v>
      </c>
      <c r="AZ36" s="48">
        <f t="shared" si="32"/>
        <v>0</v>
      </c>
      <c r="BA36" s="48">
        <f t="shared" si="32"/>
        <v>0</v>
      </c>
      <c r="BB36" s="48">
        <f t="shared" si="32"/>
        <v>0</v>
      </c>
      <c r="BC36" s="48">
        <f t="shared" si="32"/>
        <v>0</v>
      </c>
    </row>
    <row r="37" spans="1:55" ht="18">
      <c r="A37" s="49"/>
      <c r="B37" s="51"/>
      <c r="D37" s="51"/>
      <c r="F37" s="31"/>
      <c r="H37" s="31"/>
      <c r="I37" s="31"/>
      <c r="J37" s="31"/>
      <c r="K37" s="31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</row>
    <row r="38" spans="1:55" ht="18">
      <c r="A38" s="49"/>
      <c r="B38" s="51"/>
      <c r="D38" s="51"/>
      <c r="F38" s="31"/>
      <c r="H38" s="31"/>
      <c r="I38" s="31"/>
      <c r="J38" s="31"/>
      <c r="K38" s="31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</row>
    <row r="39" spans="1:55" ht="18">
      <c r="A39" s="49"/>
      <c r="B39" s="51"/>
      <c r="D39" s="51"/>
      <c r="F39" s="31"/>
      <c r="H39" s="31"/>
      <c r="I39" s="31"/>
      <c r="J39" s="31"/>
      <c r="K39" s="31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</row>
    <row r="40" spans="1:55" ht="18">
      <c r="A40" s="49"/>
      <c r="B40" s="51"/>
      <c r="D40" s="51"/>
      <c r="F40" s="31"/>
      <c r="H40" s="31"/>
      <c r="I40" s="31"/>
      <c r="J40" s="31"/>
      <c r="K40" s="31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</row>
    <row r="41" spans="1:55" ht="18">
      <c r="A41" s="49"/>
      <c r="B41" s="51"/>
      <c r="D41" s="51"/>
      <c r="F41" s="31"/>
      <c r="H41" s="31"/>
      <c r="I41" s="31"/>
      <c r="J41" s="31"/>
      <c r="K41" s="31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</row>
    <row r="42" spans="1:55" ht="18">
      <c r="A42" s="49"/>
      <c r="B42" s="51"/>
      <c r="D42" s="51"/>
      <c r="F42" s="31"/>
      <c r="H42" s="31"/>
      <c r="I42" s="31"/>
      <c r="J42" s="31"/>
      <c r="K42" s="31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</row>
    <row r="43" spans="1:55" ht="18">
      <c r="A43" s="49"/>
      <c r="B43" s="51"/>
      <c r="D43" s="51"/>
      <c r="F43" s="31"/>
      <c r="H43" s="31"/>
      <c r="I43" s="31"/>
      <c r="J43" s="31"/>
      <c r="K43" s="31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</row>
    <row r="44" spans="1:55" ht="18">
      <c r="A44" s="49"/>
      <c r="B44" s="51"/>
      <c r="D44" s="51"/>
      <c r="F44" s="31"/>
      <c r="H44" s="31"/>
      <c r="I44" s="31"/>
      <c r="J44" s="31"/>
      <c r="K44" s="31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</row>
    <row r="45" spans="1:55" ht="18">
      <c r="A45" s="49"/>
      <c r="B45" s="51"/>
      <c r="D45" s="51"/>
      <c r="F45" s="31"/>
      <c r="H45" s="31"/>
      <c r="I45" s="31"/>
      <c r="J45" s="31"/>
      <c r="K45" s="31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</row>
    <row r="46" spans="1:55" ht="18">
      <c r="A46" s="49"/>
      <c r="B46" s="51"/>
      <c r="D46" s="51"/>
      <c r="F46" s="31"/>
      <c r="H46" s="31"/>
      <c r="I46" s="31"/>
      <c r="J46" s="31"/>
      <c r="K46" s="31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</row>
    <row r="47" spans="1:55" ht="18">
      <c r="A47" s="49"/>
      <c r="B47" s="51"/>
      <c r="D47" s="51"/>
      <c r="F47" s="31"/>
      <c r="H47" s="31"/>
      <c r="I47" s="31"/>
      <c r="J47" s="31"/>
      <c r="K47" s="31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</row>
    <row r="48" spans="1:55" ht="18">
      <c r="A48" s="49"/>
      <c r="B48" s="51"/>
      <c r="D48" s="51"/>
      <c r="F48" s="31"/>
      <c r="H48" s="31"/>
      <c r="I48" s="31"/>
      <c r="J48" s="31"/>
      <c r="K48" s="31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</row>
    <row r="49" spans="1:55" ht="18">
      <c r="A49" s="49"/>
      <c r="B49" s="51"/>
      <c r="D49" s="51"/>
      <c r="F49" s="31"/>
      <c r="H49" s="31"/>
      <c r="I49" s="31"/>
      <c r="J49" s="31"/>
      <c r="K49" s="31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</row>
    <row r="50" spans="1:55" ht="18">
      <c r="A50" s="49"/>
      <c r="B50" s="51"/>
      <c r="D50" s="51"/>
      <c r="F50" s="31"/>
      <c r="H50" s="31"/>
      <c r="I50" s="31"/>
      <c r="J50" s="31"/>
      <c r="K50" s="31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</row>
    <row r="51" spans="1:55" ht="18">
      <c r="A51" s="49"/>
      <c r="B51" s="51"/>
      <c r="D51" s="51"/>
      <c r="F51" s="31"/>
      <c r="H51" s="31"/>
      <c r="I51" s="31"/>
      <c r="J51" s="31"/>
      <c r="K51" s="31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</row>
    <row r="52" spans="42:55" ht="18">
      <c r="AP52" s="48"/>
      <c r="AQ52" s="48"/>
      <c r="AR52" s="48"/>
      <c r="AS52" s="48"/>
      <c r="AT52" s="48"/>
      <c r="AU52" s="48"/>
      <c r="AV52" s="48"/>
      <c r="AW52" s="48"/>
      <c r="AX52" s="48"/>
      <c r="BA52" s="48"/>
      <c r="BB52" s="48"/>
      <c r="BC52" s="48"/>
    </row>
    <row r="53" spans="42:55" ht="18">
      <c r="AP53" s="48"/>
      <c r="AQ53" s="48"/>
      <c r="AR53" s="48"/>
      <c r="AS53" s="48"/>
      <c r="AT53" s="48"/>
      <c r="AU53" s="48"/>
      <c r="AV53" s="48"/>
      <c r="AW53" s="48"/>
      <c r="AX53" s="48"/>
      <c r="BA53" s="48"/>
      <c r="BB53" s="48"/>
      <c r="BC53" s="48"/>
    </row>
    <row r="54" spans="12:55" ht="18">
      <c r="L54" s="48">
        <f>IF(Originalschema!M49&gt;0,Originalschema!M49,"")</f>
      </c>
      <c r="M54" s="48">
        <f>IF(Originalschema!N49&gt;0,Originalschema!N49,"")</f>
      </c>
      <c r="N54" s="48">
        <f>IF(Originalschema!O49&gt;0,Originalschema!O49,"")</f>
      </c>
      <c r="O54" s="48">
        <f>IF(Originalschema!P49&gt;0,Originalschema!P49,"")</f>
      </c>
      <c r="P54" s="48">
        <f>IF(Originalschema!Q49&gt;0,Originalschema!Q49,"")</f>
      </c>
      <c r="Q54" s="48">
        <f>IF(Originalschema!T49&gt;0,Originalschema!T49,"")</f>
      </c>
      <c r="R54" s="48">
        <f>IF(Originalschema!U49&gt;0,Originalschema!U49,"")</f>
      </c>
      <c r="S54" s="48">
        <f>IF(Originalschema!V49&gt;0,Originalschema!V49,"")</f>
      </c>
      <c r="T54" s="48">
        <f>IF(Originalschema!W49&gt;0,Originalschema!W49,"")</f>
      </c>
      <c r="U54" s="48">
        <f>IF(Originalschema!X49&gt;0,Originalschema!X49,"")</f>
      </c>
      <c r="V54" s="48">
        <f>IF(Originalschema!Y49&gt;0,Originalschema!Y49,"")</f>
      </c>
      <c r="W54" s="48">
        <f>IF(Originalschema!Z49&gt;0,Originalschema!Z49,"")</f>
      </c>
      <c r="X54" s="48">
        <f>IF(Originalschema!AA49&gt;0,Originalschema!AA49,"")</f>
      </c>
      <c r="Y54" s="48">
        <f>IF(Originalschema!AB49&gt;0,Originalschema!AB49,"")</f>
      </c>
      <c r="Z54" s="48">
        <f>IF(Originalschema!AC49&gt;0,Originalschema!AC49,"")</f>
      </c>
      <c r="AA54" s="48">
        <f>IF(Originalschema!AF49&gt;0,Originalschema!AF49,"")</f>
      </c>
      <c r="AB54" s="48">
        <f>IF(Originalschema!AG49&gt;0,Originalschema!AG49,"")</f>
      </c>
      <c r="AC54" s="48">
        <f>IF(Originalschema!AH49&gt;0,Originalschema!AH49,"")</f>
      </c>
      <c r="AD54" s="48">
        <f>IF(Originalschema!AI49&gt;0,Originalschema!AI49,"")</f>
      </c>
      <c r="AE54" s="48">
        <f aca="true" t="shared" si="33" ref="AE54:AE69">+IF(A54=A53,A55,A54)</f>
        <v>0</v>
      </c>
      <c r="AF54" s="48">
        <f aca="true" t="shared" si="34" ref="AF54:AF69">+IF(A54=A55,A54,"")</f>
        <v>0</v>
      </c>
      <c r="AG54" s="48">
        <f aca="true" t="shared" si="35" ref="AG54:AG69">+IF(AE54=AF54,AE55,AE54)</f>
        <v>0</v>
      </c>
      <c r="AH54" s="48">
        <f aca="true" t="shared" si="36" ref="AH54:AX54">+IF(AG54=AG53,AG55,AG54)</f>
        <v>0</v>
      </c>
      <c r="AI54" s="48">
        <f t="shared" si="36"/>
        <v>0</v>
      </c>
      <c r="AJ54" s="48">
        <f t="shared" si="36"/>
        <v>0</v>
      </c>
      <c r="AK54" s="48">
        <f t="shared" si="36"/>
        <v>0</v>
      </c>
      <c r="AL54" s="48">
        <f t="shared" si="36"/>
        <v>0</v>
      </c>
      <c r="AM54" s="48">
        <f t="shared" si="36"/>
        <v>0</v>
      </c>
      <c r="AN54" s="48">
        <f t="shared" si="36"/>
        <v>0</v>
      </c>
      <c r="AO54" s="48">
        <f t="shared" si="36"/>
        <v>0</v>
      </c>
      <c r="AP54" s="48">
        <f t="shared" si="36"/>
        <v>0</v>
      </c>
      <c r="AQ54" s="48">
        <f t="shared" si="36"/>
        <v>0</v>
      </c>
      <c r="AR54" s="48">
        <f t="shared" si="36"/>
        <v>0</v>
      </c>
      <c r="AS54" s="48">
        <f t="shared" si="36"/>
        <v>0</v>
      </c>
      <c r="AT54" s="48">
        <f t="shared" si="36"/>
        <v>0</v>
      </c>
      <c r="AU54" s="48">
        <f t="shared" si="36"/>
        <v>0</v>
      </c>
      <c r="AV54" s="48">
        <f t="shared" si="36"/>
        <v>0</v>
      </c>
      <c r="AW54" s="48">
        <f t="shared" si="36"/>
        <v>0</v>
      </c>
      <c r="AX54" s="48">
        <f t="shared" si="36"/>
        <v>0</v>
      </c>
      <c r="BA54" s="48">
        <f aca="true" t="shared" si="37" ref="BA54:BA72">+IF(AZ54=AZ53,AZ55,AZ54)</f>
        <v>0</v>
      </c>
      <c r="BB54" s="48">
        <f aca="true" t="shared" si="38" ref="BB54:BB72">+IF(BA54=BA53,BA55,BA54)</f>
        <v>0</v>
      </c>
      <c r="BC54" s="48">
        <f aca="true" t="shared" si="39" ref="BC54:BC72">+IF(BB54=BB53,BB55,BB54)</f>
        <v>0</v>
      </c>
    </row>
    <row r="55" spans="12:55" ht="18">
      <c r="L55" s="48">
        <f>IF(Originalschema!M50&gt;0,Originalschema!M50,"")</f>
      </c>
      <c r="M55" s="48">
        <f>IF(Originalschema!N50&gt;0,Originalschema!N50,"")</f>
      </c>
      <c r="N55" s="48">
        <f>IF(Originalschema!O50&gt;0,Originalschema!O50,"")</f>
      </c>
      <c r="O55" s="48">
        <f>IF(Originalschema!P50&gt;0,Originalschema!P50,"")</f>
      </c>
      <c r="P55" s="48">
        <f>IF(Originalschema!Q50&gt;0,Originalschema!Q50,"")</f>
      </c>
      <c r="Q55" s="48">
        <f>IF(Originalschema!T50&gt;0,Originalschema!T50,"")</f>
      </c>
      <c r="R55" s="48">
        <f>IF(Originalschema!U50&gt;0,Originalschema!U50,"")</f>
      </c>
      <c r="S55" s="48">
        <f>IF(Originalschema!V50&gt;0,Originalschema!V50,"")</f>
      </c>
      <c r="T55" s="48">
        <f>IF(Originalschema!W50&gt;0,Originalschema!W50,"")</f>
      </c>
      <c r="U55" s="48">
        <f>IF(Originalschema!X50&gt;0,Originalschema!X50,"")</f>
      </c>
      <c r="V55" s="48">
        <f>IF(Originalschema!Y50&gt;0,Originalschema!Y50,"")</f>
      </c>
      <c r="W55" s="48">
        <f>IF(Originalschema!Z50&gt;0,Originalschema!Z50,"")</f>
      </c>
      <c r="X55" s="48">
        <f>IF(Originalschema!AA50&gt;0,Originalschema!AA50,"")</f>
      </c>
      <c r="Y55" s="48">
        <f>IF(Originalschema!AB50&gt;0,Originalschema!AB50,"")</f>
      </c>
      <c r="Z55" s="48">
        <f>IF(Originalschema!AC50&gt;0,Originalschema!AC50,"")</f>
      </c>
      <c r="AA55" s="48">
        <f>IF(Originalschema!AF50&gt;0,Originalschema!AF50,"")</f>
      </c>
      <c r="AB55" s="48">
        <f>IF(Originalschema!AG50&gt;0,Originalschema!AG50,"")</f>
      </c>
      <c r="AC55" s="48">
        <f>IF(Originalschema!AH50&gt;0,Originalschema!AH50,"")</f>
      </c>
      <c r="AD55" s="48">
        <f>IF(Originalschema!AI50&gt;0,Originalschema!AI50,"")</f>
      </c>
      <c r="AE55" s="48">
        <f t="shared" si="33"/>
        <v>0</v>
      </c>
      <c r="AF55" s="48">
        <f t="shared" si="34"/>
        <v>0</v>
      </c>
      <c r="AG55" s="48">
        <f t="shared" si="35"/>
        <v>0</v>
      </c>
      <c r="AH55" s="48">
        <f aca="true" t="shared" si="40" ref="AH55:AX55">+IF(AG55=AG54,AG56,AG55)</f>
        <v>0</v>
      </c>
      <c r="AI55" s="48">
        <f t="shared" si="40"/>
        <v>0</v>
      </c>
      <c r="AJ55" s="48">
        <f t="shared" si="40"/>
        <v>0</v>
      </c>
      <c r="AK55" s="48">
        <f t="shared" si="40"/>
        <v>0</v>
      </c>
      <c r="AL55" s="48">
        <f t="shared" si="40"/>
        <v>0</v>
      </c>
      <c r="AM55" s="48">
        <f t="shared" si="40"/>
        <v>0</v>
      </c>
      <c r="AN55" s="48">
        <f t="shared" si="40"/>
        <v>0</v>
      </c>
      <c r="AO55" s="48">
        <f t="shared" si="40"/>
        <v>0</v>
      </c>
      <c r="AP55" s="48">
        <f t="shared" si="40"/>
        <v>0</v>
      </c>
      <c r="AQ55" s="48">
        <f t="shared" si="40"/>
        <v>0</v>
      </c>
      <c r="AR55" s="48">
        <f t="shared" si="40"/>
        <v>0</v>
      </c>
      <c r="AS55" s="48">
        <f t="shared" si="40"/>
        <v>0</v>
      </c>
      <c r="AT55" s="48">
        <f t="shared" si="40"/>
        <v>0</v>
      </c>
      <c r="AU55" s="48">
        <f t="shared" si="40"/>
        <v>0</v>
      </c>
      <c r="AV55" s="48">
        <f t="shared" si="40"/>
        <v>0</v>
      </c>
      <c r="AW55" s="48">
        <f t="shared" si="40"/>
        <v>0</v>
      </c>
      <c r="AX55" s="48">
        <f t="shared" si="40"/>
        <v>0</v>
      </c>
      <c r="BA55" s="48">
        <f t="shared" si="37"/>
        <v>0</v>
      </c>
      <c r="BB55" s="48">
        <f t="shared" si="38"/>
        <v>0</v>
      </c>
      <c r="BC55" s="48">
        <f t="shared" si="39"/>
        <v>0</v>
      </c>
    </row>
    <row r="56" spans="12:55" ht="18">
      <c r="L56" s="48">
        <f>IF(Originalschema!M51&gt;0,Originalschema!M51,"")</f>
      </c>
      <c r="M56" s="48">
        <f>IF(Originalschema!N51&gt;0,Originalschema!N51,"")</f>
      </c>
      <c r="N56" s="48">
        <f>IF(Originalschema!O51&gt;0,Originalschema!O51,"")</f>
      </c>
      <c r="O56" s="48">
        <f>IF(Originalschema!P51&gt;0,Originalschema!P51,"")</f>
      </c>
      <c r="P56" s="48">
        <f>IF(Originalschema!Q51&gt;0,Originalschema!Q51,"")</f>
      </c>
      <c r="Q56" s="48">
        <f>IF(Originalschema!T51&gt;0,Originalschema!T51,"")</f>
      </c>
      <c r="R56" s="48">
        <f>IF(Originalschema!U51&gt;0,Originalschema!U51,"")</f>
      </c>
      <c r="S56" s="48">
        <f>IF(Originalschema!V51&gt;0,Originalschema!V51,"")</f>
      </c>
      <c r="T56" s="48">
        <f>IF(Originalschema!W51&gt;0,Originalschema!W51,"")</f>
      </c>
      <c r="U56" s="48">
        <f>IF(Originalschema!X51&gt;0,Originalschema!X51,"")</f>
      </c>
      <c r="V56" s="48">
        <f>IF(Originalschema!Y51&gt;0,Originalschema!Y51,"")</f>
      </c>
      <c r="W56" s="48">
        <f>IF(Originalschema!Z51&gt;0,Originalschema!Z51,"")</f>
      </c>
      <c r="X56" s="48">
        <f>IF(Originalschema!AA51&gt;0,Originalschema!AA51,"")</f>
      </c>
      <c r="Y56" s="48">
        <f>IF(Originalschema!AB51&gt;0,Originalschema!AB51,"")</f>
      </c>
      <c r="Z56" s="48">
        <f>IF(Originalschema!AC51&gt;0,Originalschema!AC51,"")</f>
      </c>
      <c r="AA56" s="48">
        <f>IF(Originalschema!AF51&gt;0,Originalschema!AF51,"")</f>
      </c>
      <c r="AB56" s="48">
        <f>IF(Originalschema!AG51&gt;0,Originalschema!AG51,"")</f>
      </c>
      <c r="AC56" s="48">
        <f>IF(Originalschema!AH51&gt;0,Originalschema!AH51,"")</f>
      </c>
      <c r="AD56" s="48">
        <f>IF(Originalschema!AI51&gt;0,Originalschema!AI51,"")</f>
      </c>
      <c r="AE56" s="48">
        <f t="shared" si="33"/>
        <v>0</v>
      </c>
      <c r="AF56" s="48">
        <f t="shared" si="34"/>
        <v>0</v>
      </c>
      <c r="AG56" s="48">
        <f t="shared" si="35"/>
        <v>0</v>
      </c>
      <c r="AH56" s="48">
        <f aca="true" t="shared" si="41" ref="AH56:AX56">+IF(AG56=AG55,AG57,AG56)</f>
        <v>0</v>
      </c>
      <c r="AI56" s="48">
        <f t="shared" si="41"/>
        <v>0</v>
      </c>
      <c r="AJ56" s="48">
        <f t="shared" si="41"/>
        <v>0</v>
      </c>
      <c r="AK56" s="48">
        <f t="shared" si="41"/>
        <v>0</v>
      </c>
      <c r="AL56" s="48">
        <f t="shared" si="41"/>
        <v>0</v>
      </c>
      <c r="AM56" s="48">
        <f t="shared" si="41"/>
        <v>0</v>
      </c>
      <c r="AN56" s="48">
        <f t="shared" si="41"/>
        <v>0</v>
      </c>
      <c r="AO56" s="48">
        <f t="shared" si="41"/>
        <v>0</v>
      </c>
      <c r="AP56" s="48">
        <f t="shared" si="41"/>
        <v>0</v>
      </c>
      <c r="AQ56" s="48">
        <f t="shared" si="41"/>
        <v>0</v>
      </c>
      <c r="AR56" s="48">
        <f t="shared" si="41"/>
        <v>0</v>
      </c>
      <c r="AS56" s="48">
        <f t="shared" si="41"/>
        <v>0</v>
      </c>
      <c r="AT56" s="48">
        <f t="shared" si="41"/>
        <v>0</v>
      </c>
      <c r="AU56" s="48">
        <f t="shared" si="41"/>
        <v>0</v>
      </c>
      <c r="AV56" s="48">
        <f t="shared" si="41"/>
        <v>0</v>
      </c>
      <c r="AW56" s="48">
        <f t="shared" si="41"/>
        <v>0</v>
      </c>
      <c r="AX56" s="48">
        <f t="shared" si="41"/>
        <v>0</v>
      </c>
      <c r="BA56" s="48">
        <f t="shared" si="37"/>
        <v>0</v>
      </c>
      <c r="BB56" s="48">
        <f t="shared" si="38"/>
        <v>0</v>
      </c>
      <c r="BC56" s="48">
        <f t="shared" si="39"/>
        <v>0</v>
      </c>
    </row>
    <row r="57" spans="12:55" ht="18">
      <c r="L57" s="48">
        <f>IF(Originalschema!M52&gt;0,Originalschema!M52,"")</f>
      </c>
      <c r="M57" s="48">
        <f>IF(Originalschema!N52&gt;0,Originalschema!N52,"")</f>
      </c>
      <c r="N57" s="48">
        <f>IF(Originalschema!O52&gt;0,Originalschema!O52,"")</f>
      </c>
      <c r="O57" s="48">
        <f>IF(Originalschema!P52&gt;0,Originalschema!P52,"")</f>
      </c>
      <c r="P57" s="48">
        <f>IF(Originalschema!Q52&gt;0,Originalschema!Q52,"")</f>
      </c>
      <c r="Q57" s="48">
        <f>IF(Originalschema!T52&gt;0,Originalschema!T52,"")</f>
      </c>
      <c r="R57" s="48">
        <f>IF(Originalschema!U52&gt;0,Originalschema!U52,"")</f>
      </c>
      <c r="S57" s="48">
        <f>IF(Originalschema!V52&gt;0,Originalschema!V52,"")</f>
      </c>
      <c r="T57" s="48">
        <f>IF(Originalschema!W52&gt;0,Originalschema!W52,"")</f>
      </c>
      <c r="U57" s="48">
        <f>IF(Originalschema!X52&gt;0,Originalschema!X52,"")</f>
      </c>
      <c r="V57" s="48">
        <f>IF(Originalschema!Y52&gt;0,Originalschema!Y52,"")</f>
      </c>
      <c r="W57" s="48">
        <f>IF(Originalschema!Z52&gt;0,Originalschema!Z52,"")</f>
      </c>
      <c r="X57" s="48">
        <f>IF(Originalschema!AA52&gt;0,Originalschema!AA52,"")</f>
      </c>
      <c r="Y57" s="48">
        <f>IF(Originalschema!AB52&gt;0,Originalschema!AB52,"")</f>
      </c>
      <c r="Z57" s="48">
        <f>IF(Originalschema!AC52&gt;0,Originalschema!AC52,"")</f>
      </c>
      <c r="AA57" s="48">
        <f>IF(Originalschema!AF52&gt;0,Originalschema!AF52,"")</f>
      </c>
      <c r="AB57" s="48">
        <f>IF(Originalschema!AG52&gt;0,Originalschema!AG52,"")</f>
      </c>
      <c r="AC57" s="48">
        <f>IF(Originalschema!AH52&gt;0,Originalschema!AH52,"")</f>
      </c>
      <c r="AD57" s="48">
        <f>IF(Originalschema!AI52&gt;0,Originalschema!AI52,"")</f>
      </c>
      <c r="AE57" s="48">
        <f t="shared" si="33"/>
        <v>0</v>
      </c>
      <c r="AF57" s="48">
        <f t="shared" si="34"/>
        <v>0</v>
      </c>
      <c r="AG57" s="48">
        <f t="shared" si="35"/>
        <v>0</v>
      </c>
      <c r="AH57" s="48">
        <f aca="true" t="shared" si="42" ref="AH57:AX57">+IF(AG57=AG56,AG58,AG57)</f>
        <v>0</v>
      </c>
      <c r="AI57" s="48">
        <f t="shared" si="42"/>
        <v>0</v>
      </c>
      <c r="AJ57" s="48">
        <f t="shared" si="42"/>
        <v>0</v>
      </c>
      <c r="AK57" s="48">
        <f t="shared" si="42"/>
        <v>0</v>
      </c>
      <c r="AL57" s="48">
        <f t="shared" si="42"/>
        <v>0</v>
      </c>
      <c r="AM57" s="48">
        <f t="shared" si="42"/>
        <v>0</v>
      </c>
      <c r="AN57" s="48">
        <f t="shared" si="42"/>
        <v>0</v>
      </c>
      <c r="AO57" s="48">
        <f t="shared" si="42"/>
        <v>0</v>
      </c>
      <c r="AP57" s="48">
        <f t="shared" si="42"/>
        <v>0</v>
      </c>
      <c r="AQ57" s="48">
        <f t="shared" si="42"/>
        <v>0</v>
      </c>
      <c r="AR57" s="48">
        <f t="shared" si="42"/>
        <v>0</v>
      </c>
      <c r="AS57" s="48">
        <f t="shared" si="42"/>
        <v>0</v>
      </c>
      <c r="AT57" s="48">
        <f t="shared" si="42"/>
        <v>0</v>
      </c>
      <c r="AU57" s="48">
        <f t="shared" si="42"/>
        <v>0</v>
      </c>
      <c r="AV57" s="48">
        <f t="shared" si="42"/>
        <v>0</v>
      </c>
      <c r="AW57" s="48">
        <f t="shared" si="42"/>
        <v>0</v>
      </c>
      <c r="AX57" s="48">
        <f t="shared" si="42"/>
        <v>0</v>
      </c>
      <c r="BA57" s="48">
        <f t="shared" si="37"/>
        <v>0</v>
      </c>
      <c r="BB57" s="48">
        <f t="shared" si="38"/>
        <v>0</v>
      </c>
      <c r="BC57" s="48">
        <f t="shared" si="39"/>
        <v>0</v>
      </c>
    </row>
    <row r="58" spans="12:55" ht="18">
      <c r="L58" s="48">
        <f>IF(Originalschema!M53&gt;0,Originalschema!M53,"")</f>
      </c>
      <c r="M58" s="48">
        <f>IF(Originalschema!N53&gt;0,Originalschema!N53,"")</f>
      </c>
      <c r="N58" s="48">
        <f>IF(Originalschema!O53&gt;0,Originalschema!O53,"")</f>
      </c>
      <c r="O58" s="48">
        <f>IF(Originalschema!P53&gt;0,Originalschema!P53,"")</f>
      </c>
      <c r="P58" s="48">
        <f>IF(Originalschema!Q53&gt;0,Originalschema!Q53,"")</f>
      </c>
      <c r="Q58" s="48">
        <f>IF(Originalschema!T53&gt;0,Originalschema!T53,"")</f>
      </c>
      <c r="R58" s="48">
        <f>IF(Originalschema!U53&gt;0,Originalschema!U53,"")</f>
      </c>
      <c r="S58" s="48">
        <f>IF(Originalschema!V53&gt;0,Originalschema!V53,"")</f>
      </c>
      <c r="T58" s="48">
        <f>IF(Originalschema!W53&gt;0,Originalschema!W53,"")</f>
      </c>
      <c r="U58" s="48">
        <f>IF(Originalschema!X53&gt;0,Originalschema!X53,"")</f>
      </c>
      <c r="V58" s="48">
        <f>IF(Originalschema!Y53&gt;0,Originalschema!Y53,"")</f>
      </c>
      <c r="W58" s="48">
        <f>IF(Originalschema!Z53&gt;0,Originalschema!Z53,"")</f>
      </c>
      <c r="X58" s="48">
        <f>IF(Originalschema!AA53&gt;0,Originalschema!AA53,"")</f>
      </c>
      <c r="Y58" s="48">
        <f>IF(Originalschema!AB53&gt;0,Originalschema!AB53,"")</f>
      </c>
      <c r="Z58" s="48">
        <f>IF(Originalschema!AC53&gt;0,Originalschema!AC53,"")</f>
      </c>
      <c r="AA58" s="48">
        <f>IF(Originalschema!AF53&gt;0,Originalschema!AF53,"")</f>
      </c>
      <c r="AB58" s="48">
        <f>IF(Originalschema!AG53&gt;0,Originalschema!AG53,"")</f>
      </c>
      <c r="AC58" s="48">
        <f>IF(Originalschema!AH53&gt;0,Originalschema!AH53,"")</f>
      </c>
      <c r="AD58" s="48">
        <f>IF(Originalschema!AI53&gt;0,Originalschema!AI53,"")</f>
      </c>
      <c r="AE58" s="48">
        <f t="shared" si="33"/>
        <v>0</v>
      </c>
      <c r="AF58" s="48">
        <f t="shared" si="34"/>
        <v>0</v>
      </c>
      <c r="AG58" s="48">
        <f t="shared" si="35"/>
        <v>0</v>
      </c>
      <c r="AH58" s="48">
        <f aca="true" t="shared" si="43" ref="AH58:AX58">+IF(AG58=AG57,AG59,AG58)</f>
        <v>0</v>
      </c>
      <c r="AI58" s="48">
        <f t="shared" si="43"/>
        <v>0</v>
      </c>
      <c r="AJ58" s="48">
        <f t="shared" si="43"/>
        <v>0</v>
      </c>
      <c r="AK58" s="48">
        <f t="shared" si="43"/>
        <v>0</v>
      </c>
      <c r="AL58" s="48">
        <f t="shared" si="43"/>
        <v>0</v>
      </c>
      <c r="AM58" s="48">
        <f t="shared" si="43"/>
        <v>0</v>
      </c>
      <c r="AN58" s="48">
        <f t="shared" si="43"/>
        <v>0</v>
      </c>
      <c r="AO58" s="48">
        <f t="shared" si="43"/>
        <v>0</v>
      </c>
      <c r="AP58" s="48">
        <f t="shared" si="43"/>
        <v>0</v>
      </c>
      <c r="AQ58" s="48">
        <f t="shared" si="43"/>
        <v>0</v>
      </c>
      <c r="AR58" s="48">
        <f t="shared" si="43"/>
        <v>0</v>
      </c>
      <c r="AS58" s="48">
        <f t="shared" si="43"/>
        <v>0</v>
      </c>
      <c r="AT58" s="48">
        <f t="shared" si="43"/>
        <v>0</v>
      </c>
      <c r="AU58" s="48">
        <f t="shared" si="43"/>
        <v>0</v>
      </c>
      <c r="AV58" s="48">
        <f t="shared" si="43"/>
        <v>0</v>
      </c>
      <c r="AW58" s="48">
        <f t="shared" si="43"/>
        <v>0</v>
      </c>
      <c r="AX58" s="48">
        <f t="shared" si="43"/>
        <v>0</v>
      </c>
      <c r="BA58" s="48">
        <f t="shared" si="37"/>
        <v>0</v>
      </c>
      <c r="BB58" s="48">
        <f t="shared" si="38"/>
        <v>0</v>
      </c>
      <c r="BC58" s="48">
        <f t="shared" si="39"/>
        <v>0</v>
      </c>
    </row>
    <row r="59" spans="12:55" ht="18">
      <c r="L59" s="48">
        <f>IF(Originalschema!M54&gt;0,Originalschema!M54,"")</f>
      </c>
      <c r="M59" s="48">
        <f>IF(Originalschema!N54&gt;0,Originalschema!N54,"")</f>
      </c>
      <c r="N59" s="48">
        <f>IF(Originalschema!O54&gt;0,Originalschema!O54,"")</f>
      </c>
      <c r="O59" s="48">
        <f>IF(Originalschema!P54&gt;0,Originalschema!P54,"")</f>
      </c>
      <c r="P59" s="48">
        <f>IF(Originalschema!Q54&gt;0,Originalschema!Q54,"")</f>
      </c>
      <c r="Q59" s="48">
        <f>IF(Originalschema!T54&gt;0,Originalschema!T54,"")</f>
      </c>
      <c r="R59" s="48">
        <f>IF(Originalschema!U54&gt;0,Originalschema!U54,"")</f>
      </c>
      <c r="S59" s="48">
        <f>IF(Originalschema!V54&gt;0,Originalschema!V54,"")</f>
      </c>
      <c r="T59" s="48">
        <f>IF(Originalschema!W54&gt;0,Originalschema!W54,"")</f>
      </c>
      <c r="U59" s="48">
        <f>IF(Originalschema!X54&gt;0,Originalschema!X54,"")</f>
      </c>
      <c r="V59" s="48">
        <f>IF(Originalschema!Y54&gt;0,Originalschema!Y54,"")</f>
      </c>
      <c r="W59" s="48">
        <f>IF(Originalschema!Z54&gt;0,Originalschema!Z54,"")</f>
      </c>
      <c r="X59" s="48">
        <f>IF(Originalschema!AA54&gt;0,Originalschema!AA54,"")</f>
      </c>
      <c r="Y59" s="48">
        <f>IF(Originalschema!AB54&gt;0,Originalschema!AB54,"")</f>
      </c>
      <c r="Z59" s="48">
        <f>IF(Originalschema!AC54&gt;0,Originalschema!AC54,"")</f>
      </c>
      <c r="AA59" s="48">
        <f>IF(Originalschema!AF54&gt;0,Originalschema!AF54,"")</f>
      </c>
      <c r="AB59" s="48">
        <f>IF(Originalschema!AG54&gt;0,Originalschema!AG54,"")</f>
      </c>
      <c r="AC59" s="48">
        <f>IF(Originalschema!AH54&gt;0,Originalschema!AH54,"")</f>
      </c>
      <c r="AD59" s="48">
        <f>IF(Originalschema!AI54&gt;0,Originalschema!AI54,"")</f>
      </c>
      <c r="AE59" s="48">
        <f t="shared" si="33"/>
        <v>0</v>
      </c>
      <c r="AF59" s="48">
        <f t="shared" si="34"/>
        <v>0</v>
      </c>
      <c r="AG59" s="48">
        <f t="shared" si="35"/>
        <v>0</v>
      </c>
      <c r="AH59" s="48">
        <f aca="true" t="shared" si="44" ref="AH59:AX59">+IF(AG59=AG58,AG60,AG59)</f>
        <v>0</v>
      </c>
      <c r="AI59" s="48">
        <f t="shared" si="44"/>
        <v>0</v>
      </c>
      <c r="AJ59" s="48">
        <f t="shared" si="44"/>
        <v>0</v>
      </c>
      <c r="AK59" s="48">
        <f t="shared" si="44"/>
        <v>0</v>
      </c>
      <c r="AL59" s="48">
        <f t="shared" si="44"/>
        <v>0</v>
      </c>
      <c r="AM59" s="48">
        <f t="shared" si="44"/>
        <v>0</v>
      </c>
      <c r="AN59" s="48">
        <f t="shared" si="44"/>
        <v>0</v>
      </c>
      <c r="AO59" s="48">
        <f t="shared" si="44"/>
        <v>0</v>
      </c>
      <c r="AP59" s="48">
        <f t="shared" si="44"/>
        <v>0</v>
      </c>
      <c r="AQ59" s="48">
        <f t="shared" si="44"/>
        <v>0</v>
      </c>
      <c r="AR59" s="48">
        <f t="shared" si="44"/>
        <v>0</v>
      </c>
      <c r="AS59" s="48">
        <f t="shared" si="44"/>
        <v>0</v>
      </c>
      <c r="AT59" s="48">
        <f t="shared" si="44"/>
        <v>0</v>
      </c>
      <c r="AU59" s="48">
        <f t="shared" si="44"/>
        <v>0</v>
      </c>
      <c r="AV59" s="48">
        <f t="shared" si="44"/>
        <v>0</v>
      </c>
      <c r="AW59" s="48">
        <f t="shared" si="44"/>
        <v>0</v>
      </c>
      <c r="AX59" s="48">
        <f t="shared" si="44"/>
        <v>0</v>
      </c>
      <c r="BA59" s="48">
        <f t="shared" si="37"/>
        <v>0</v>
      </c>
      <c r="BB59" s="48">
        <f t="shared" si="38"/>
        <v>0</v>
      </c>
      <c r="BC59" s="48">
        <f t="shared" si="39"/>
        <v>0</v>
      </c>
    </row>
    <row r="60" spans="12:55" ht="18">
      <c r="L60" s="48">
        <f>IF(Originalschema!M55&gt;0,Originalschema!M55,"")</f>
      </c>
      <c r="M60" s="48">
        <f>IF(Originalschema!N55&gt;0,Originalschema!N55,"")</f>
      </c>
      <c r="N60" s="48">
        <f>IF(Originalschema!O55&gt;0,Originalschema!O55,"")</f>
      </c>
      <c r="O60" s="48">
        <f>IF(Originalschema!P55&gt;0,Originalschema!P55,"")</f>
      </c>
      <c r="P60" s="48">
        <f>IF(Originalschema!Q55&gt;0,Originalschema!Q55,"")</f>
      </c>
      <c r="Q60" s="48">
        <f>IF(Originalschema!T55&gt;0,Originalschema!T55,"")</f>
      </c>
      <c r="R60" s="48">
        <f>IF(Originalschema!U55&gt;0,Originalschema!U55,"")</f>
      </c>
      <c r="S60" s="48">
        <f>IF(Originalschema!V55&gt;0,Originalschema!V55,"")</f>
      </c>
      <c r="T60" s="48">
        <f>IF(Originalschema!W55&gt;0,Originalschema!W55,"")</f>
      </c>
      <c r="U60" s="48">
        <f>IF(Originalschema!X55&gt;0,Originalschema!X55,"")</f>
      </c>
      <c r="V60" s="48">
        <f>IF(Originalschema!Y55&gt;0,Originalschema!Y55,"")</f>
      </c>
      <c r="W60" s="48">
        <f>IF(Originalschema!Z55&gt;0,Originalschema!Z55,"")</f>
      </c>
      <c r="X60" s="48">
        <f>IF(Originalschema!AA55&gt;0,Originalschema!AA55,"")</f>
      </c>
      <c r="Y60" s="48">
        <f>IF(Originalschema!AB55&gt;0,Originalschema!AB55,"")</f>
      </c>
      <c r="Z60" s="48">
        <f>IF(Originalschema!AC55&gt;0,Originalschema!AC55,"")</f>
      </c>
      <c r="AA60" s="48">
        <f>IF(Originalschema!AF55&gt;0,Originalschema!AF55,"")</f>
      </c>
      <c r="AB60" s="48">
        <f>IF(Originalschema!AG55&gt;0,Originalschema!AG55,"")</f>
      </c>
      <c r="AC60" s="48">
        <f>IF(Originalschema!AH55&gt;0,Originalschema!AH55,"")</f>
      </c>
      <c r="AD60" s="48">
        <f>IF(Originalschema!AI55&gt;0,Originalschema!AI55,"")</f>
      </c>
      <c r="AE60" s="48">
        <f t="shared" si="33"/>
        <v>0</v>
      </c>
      <c r="AF60" s="48">
        <f t="shared" si="34"/>
        <v>0</v>
      </c>
      <c r="AG60" s="48">
        <f t="shared" si="35"/>
        <v>0</v>
      </c>
      <c r="AH60" s="48">
        <f aca="true" t="shared" si="45" ref="AH60:AX60">+IF(AG60=AG59,AG61,AG60)</f>
        <v>0</v>
      </c>
      <c r="AI60" s="48">
        <f t="shared" si="45"/>
        <v>0</v>
      </c>
      <c r="AJ60" s="48">
        <f t="shared" si="45"/>
        <v>0</v>
      </c>
      <c r="AK60" s="48">
        <f t="shared" si="45"/>
        <v>0</v>
      </c>
      <c r="AL60" s="48">
        <f t="shared" si="45"/>
        <v>0</v>
      </c>
      <c r="AM60" s="48">
        <f t="shared" si="45"/>
        <v>0</v>
      </c>
      <c r="AN60" s="48">
        <f t="shared" si="45"/>
        <v>0</v>
      </c>
      <c r="AO60" s="48">
        <f t="shared" si="45"/>
        <v>0</v>
      </c>
      <c r="AP60" s="48">
        <f t="shared" si="45"/>
        <v>0</v>
      </c>
      <c r="AQ60" s="48">
        <f t="shared" si="45"/>
        <v>0</v>
      </c>
      <c r="AR60" s="48">
        <f t="shared" si="45"/>
        <v>0</v>
      </c>
      <c r="AS60" s="48">
        <f t="shared" si="45"/>
        <v>0</v>
      </c>
      <c r="AT60" s="48">
        <f t="shared" si="45"/>
        <v>0</v>
      </c>
      <c r="AU60" s="48">
        <f t="shared" si="45"/>
        <v>0</v>
      </c>
      <c r="AV60" s="48">
        <f t="shared" si="45"/>
        <v>0</v>
      </c>
      <c r="AW60" s="48">
        <f t="shared" si="45"/>
        <v>0</v>
      </c>
      <c r="AX60" s="48">
        <f t="shared" si="45"/>
        <v>0</v>
      </c>
      <c r="BA60" s="48">
        <f t="shared" si="37"/>
        <v>0</v>
      </c>
      <c r="BB60" s="48">
        <f t="shared" si="38"/>
        <v>0</v>
      </c>
      <c r="BC60" s="48">
        <f t="shared" si="39"/>
        <v>0</v>
      </c>
    </row>
    <row r="61" spans="12:55" ht="18">
      <c r="L61" s="48">
        <f>IF(Originalschema!M56&gt;0,Originalschema!M56,"")</f>
      </c>
      <c r="M61" s="48">
        <f>IF(Originalschema!N56&gt;0,Originalschema!N56,"")</f>
      </c>
      <c r="N61" s="48">
        <f>IF(Originalschema!O56&gt;0,Originalschema!O56,"")</f>
      </c>
      <c r="O61" s="48">
        <f>IF(Originalschema!P56&gt;0,Originalschema!P56,"")</f>
      </c>
      <c r="P61" s="48">
        <f>IF(Originalschema!Q56&gt;0,Originalschema!Q56,"")</f>
      </c>
      <c r="Q61" s="48">
        <f>IF(Originalschema!T56&gt;0,Originalschema!T56,"")</f>
      </c>
      <c r="R61" s="48">
        <f>IF(Originalschema!U56&gt;0,Originalschema!U56,"")</f>
      </c>
      <c r="S61" s="48">
        <f>IF(Originalschema!V56&gt;0,Originalschema!V56,"")</f>
      </c>
      <c r="T61" s="48">
        <f>IF(Originalschema!W56&gt;0,Originalschema!W56,"")</f>
      </c>
      <c r="U61" s="48">
        <f>IF(Originalschema!X56&gt;0,Originalschema!X56,"")</f>
      </c>
      <c r="V61" s="48">
        <f>IF(Originalschema!Y56&gt;0,Originalschema!Y56,"")</f>
      </c>
      <c r="W61" s="48">
        <f>IF(Originalschema!Z56&gt;0,Originalschema!Z56,"")</f>
      </c>
      <c r="X61" s="48">
        <f>IF(Originalschema!AA56&gt;0,Originalschema!AA56,"")</f>
      </c>
      <c r="Y61" s="48">
        <f>IF(Originalschema!AB56&gt;0,Originalschema!AB56,"")</f>
      </c>
      <c r="Z61" s="48">
        <f>IF(Originalschema!AC56&gt;0,Originalschema!AC56,"")</f>
      </c>
      <c r="AA61" s="48">
        <f>IF(Originalschema!AF56&gt;0,Originalschema!AF56,"")</f>
      </c>
      <c r="AB61" s="48">
        <f>IF(Originalschema!AG56&gt;0,Originalschema!AG56,"")</f>
      </c>
      <c r="AC61" s="48">
        <f>IF(Originalschema!AH56&gt;0,Originalschema!AH56,"")</f>
      </c>
      <c r="AD61" s="48">
        <f>IF(Originalschema!AI56&gt;0,Originalschema!AI56,"")</f>
      </c>
      <c r="AE61" s="48">
        <f t="shared" si="33"/>
        <v>0</v>
      </c>
      <c r="AF61" s="48">
        <f t="shared" si="34"/>
        <v>0</v>
      </c>
      <c r="AG61" s="48">
        <f t="shared" si="35"/>
        <v>0</v>
      </c>
      <c r="AH61" s="48">
        <f aca="true" t="shared" si="46" ref="AH61:AX61">+IF(AG61=AG60,AG62,AG61)</f>
        <v>0</v>
      </c>
      <c r="AI61" s="48">
        <f t="shared" si="46"/>
        <v>0</v>
      </c>
      <c r="AJ61" s="48">
        <f t="shared" si="46"/>
        <v>0</v>
      </c>
      <c r="AK61" s="48">
        <f t="shared" si="46"/>
        <v>0</v>
      </c>
      <c r="AL61" s="48">
        <f t="shared" si="46"/>
        <v>0</v>
      </c>
      <c r="AM61" s="48">
        <f t="shared" si="46"/>
        <v>0</v>
      </c>
      <c r="AN61" s="48">
        <f t="shared" si="46"/>
        <v>0</v>
      </c>
      <c r="AO61" s="48">
        <f t="shared" si="46"/>
        <v>0</v>
      </c>
      <c r="AP61" s="48">
        <f t="shared" si="46"/>
        <v>0</v>
      </c>
      <c r="AQ61" s="48">
        <f t="shared" si="46"/>
        <v>0</v>
      </c>
      <c r="AR61" s="48">
        <f t="shared" si="46"/>
        <v>0</v>
      </c>
      <c r="AS61" s="48">
        <f t="shared" si="46"/>
        <v>0</v>
      </c>
      <c r="AT61" s="48">
        <f t="shared" si="46"/>
        <v>0</v>
      </c>
      <c r="AU61" s="48">
        <f t="shared" si="46"/>
        <v>0</v>
      </c>
      <c r="AV61" s="48">
        <f t="shared" si="46"/>
        <v>0</v>
      </c>
      <c r="AW61" s="48">
        <f t="shared" si="46"/>
        <v>0</v>
      </c>
      <c r="AX61" s="48">
        <f t="shared" si="46"/>
        <v>0</v>
      </c>
      <c r="BA61" s="48">
        <f t="shared" si="37"/>
        <v>0</v>
      </c>
      <c r="BB61" s="48">
        <f t="shared" si="38"/>
        <v>0</v>
      </c>
      <c r="BC61" s="48">
        <f t="shared" si="39"/>
        <v>0</v>
      </c>
    </row>
    <row r="62" spans="12:55" ht="18">
      <c r="L62" s="48">
        <f>IF(Originalschema!M57&gt;0,Originalschema!M57,"")</f>
      </c>
      <c r="M62" s="48">
        <f>IF(Originalschema!N57&gt;0,Originalschema!N57,"")</f>
      </c>
      <c r="N62" s="48">
        <f>IF(Originalschema!O57&gt;0,Originalschema!O57,"")</f>
      </c>
      <c r="O62" s="48">
        <f>IF(Originalschema!P57&gt;0,Originalschema!P57,"")</f>
      </c>
      <c r="P62" s="48">
        <f>IF(Originalschema!Q57&gt;0,Originalschema!Q57,"")</f>
      </c>
      <c r="Q62" s="48">
        <f>IF(Originalschema!T57&gt;0,Originalschema!T57,"")</f>
      </c>
      <c r="R62" s="48">
        <f>IF(Originalschema!U57&gt;0,Originalschema!U57,"")</f>
      </c>
      <c r="S62" s="48">
        <f>IF(Originalschema!V57&gt;0,Originalschema!V57,"")</f>
      </c>
      <c r="T62" s="48">
        <f>IF(Originalschema!W57&gt;0,Originalschema!W57,"")</f>
      </c>
      <c r="U62" s="48">
        <f>IF(Originalschema!X57&gt;0,Originalschema!X57,"")</f>
      </c>
      <c r="V62" s="48">
        <f>IF(Originalschema!Y57&gt;0,Originalschema!Y57,"")</f>
      </c>
      <c r="W62" s="48">
        <f>IF(Originalschema!Z57&gt;0,Originalschema!Z57,"")</f>
      </c>
      <c r="X62" s="48">
        <f>IF(Originalschema!AA57&gt;0,Originalschema!AA57,"")</f>
      </c>
      <c r="Y62" s="48">
        <f>IF(Originalschema!AB57&gt;0,Originalschema!AB57,"")</f>
      </c>
      <c r="Z62" s="48">
        <f>IF(Originalschema!AC57&gt;0,Originalschema!AC57,"")</f>
      </c>
      <c r="AA62" s="48">
        <f>IF(Originalschema!AF57&gt;0,Originalschema!AF57,"")</f>
      </c>
      <c r="AB62" s="48">
        <f>IF(Originalschema!AG57&gt;0,Originalschema!AG57,"")</f>
      </c>
      <c r="AC62" s="48">
        <f>IF(Originalschema!AH57&gt;0,Originalschema!AH57,"")</f>
      </c>
      <c r="AD62" s="48">
        <f>IF(Originalschema!AI57&gt;0,Originalschema!AI57,"")</f>
      </c>
      <c r="AE62" s="48">
        <f t="shared" si="33"/>
        <v>0</v>
      </c>
      <c r="AF62" s="48">
        <f t="shared" si="34"/>
        <v>0</v>
      </c>
      <c r="AG62" s="48">
        <f t="shared" si="35"/>
        <v>0</v>
      </c>
      <c r="AH62" s="48">
        <f aca="true" t="shared" si="47" ref="AH62:AX62">+IF(AG62=AG61,AG63,AG62)</f>
        <v>0</v>
      </c>
      <c r="AI62" s="48">
        <f t="shared" si="47"/>
        <v>0</v>
      </c>
      <c r="AJ62" s="48">
        <f t="shared" si="47"/>
        <v>0</v>
      </c>
      <c r="AK62" s="48">
        <f t="shared" si="47"/>
        <v>0</v>
      </c>
      <c r="AL62" s="48">
        <f t="shared" si="47"/>
        <v>0</v>
      </c>
      <c r="AM62" s="48">
        <f t="shared" si="47"/>
        <v>0</v>
      </c>
      <c r="AN62" s="48">
        <f t="shared" si="47"/>
        <v>0</v>
      </c>
      <c r="AO62" s="48">
        <f t="shared" si="47"/>
        <v>0</v>
      </c>
      <c r="AP62" s="48">
        <f t="shared" si="47"/>
        <v>0</v>
      </c>
      <c r="AQ62" s="48">
        <f t="shared" si="47"/>
        <v>0</v>
      </c>
      <c r="AR62" s="48">
        <f t="shared" si="47"/>
        <v>0</v>
      </c>
      <c r="AS62" s="48">
        <f t="shared" si="47"/>
        <v>0</v>
      </c>
      <c r="AT62" s="48">
        <f t="shared" si="47"/>
        <v>0</v>
      </c>
      <c r="AU62" s="48">
        <f t="shared" si="47"/>
        <v>0</v>
      </c>
      <c r="AV62" s="48">
        <f t="shared" si="47"/>
        <v>0</v>
      </c>
      <c r="AW62" s="48">
        <f t="shared" si="47"/>
        <v>0</v>
      </c>
      <c r="AX62" s="48">
        <f t="shared" si="47"/>
        <v>0</v>
      </c>
      <c r="BA62" s="48">
        <f t="shared" si="37"/>
        <v>0</v>
      </c>
      <c r="BB62" s="48">
        <f t="shared" si="38"/>
        <v>0</v>
      </c>
      <c r="BC62" s="48">
        <f t="shared" si="39"/>
        <v>0</v>
      </c>
    </row>
    <row r="63" spans="12:55" ht="18">
      <c r="L63" s="48">
        <f>IF(Originalschema!M58&gt;0,Originalschema!M58,"")</f>
      </c>
      <c r="M63" s="48">
        <f>IF(Originalschema!N58&gt;0,Originalschema!N58,"")</f>
      </c>
      <c r="N63" s="48">
        <f>IF(Originalschema!O58&gt;0,Originalschema!O58,"")</f>
      </c>
      <c r="O63" s="48">
        <f>IF(Originalschema!P58&gt;0,Originalschema!P58,"")</f>
      </c>
      <c r="P63" s="48">
        <f>IF(Originalschema!Q58&gt;0,Originalschema!Q58,"")</f>
      </c>
      <c r="Q63" s="48">
        <f>IF(Originalschema!T58&gt;0,Originalschema!T58,"")</f>
      </c>
      <c r="R63" s="48">
        <f>IF(Originalschema!U58&gt;0,Originalschema!U58,"")</f>
      </c>
      <c r="S63" s="48">
        <f>IF(Originalschema!V58&gt;0,Originalschema!V58,"")</f>
      </c>
      <c r="T63" s="48">
        <f>IF(Originalschema!W58&gt;0,Originalschema!W58,"")</f>
      </c>
      <c r="U63" s="48">
        <f>IF(Originalschema!X58&gt;0,Originalschema!X58,"")</f>
      </c>
      <c r="V63" s="48">
        <f>IF(Originalschema!Y58&gt;0,Originalschema!Y58,"")</f>
      </c>
      <c r="W63" s="48">
        <f>IF(Originalschema!Z58&gt;0,Originalschema!Z58,"")</f>
      </c>
      <c r="X63" s="48">
        <f>IF(Originalschema!AA58&gt;0,Originalschema!AA58,"")</f>
      </c>
      <c r="Y63" s="48">
        <f>IF(Originalschema!AB58&gt;0,Originalschema!AB58,"")</f>
      </c>
      <c r="Z63" s="48">
        <f>IF(Originalschema!AC58&gt;0,Originalschema!AC58,"")</f>
      </c>
      <c r="AA63" s="48">
        <f>IF(Originalschema!AF58&gt;0,Originalschema!AF58,"")</f>
      </c>
      <c r="AB63" s="48">
        <f>IF(Originalschema!AG58&gt;0,Originalschema!AG58,"")</f>
      </c>
      <c r="AC63" s="48">
        <f>IF(Originalschema!AH58&gt;0,Originalschema!AH58,"")</f>
      </c>
      <c r="AD63" s="48">
        <f>IF(Originalschema!AI58&gt;0,Originalschema!AI58,"")</f>
      </c>
      <c r="AE63" s="48">
        <f t="shared" si="33"/>
        <v>0</v>
      </c>
      <c r="AF63" s="48">
        <f t="shared" si="34"/>
        <v>0</v>
      </c>
      <c r="AG63" s="48">
        <f t="shared" si="35"/>
        <v>0</v>
      </c>
      <c r="AH63" s="48">
        <f aca="true" t="shared" si="48" ref="AH63:AX63">+IF(AG63=AG62,AG64,AG63)</f>
        <v>0</v>
      </c>
      <c r="AI63" s="48">
        <f t="shared" si="48"/>
        <v>0</v>
      </c>
      <c r="AJ63" s="48">
        <f t="shared" si="48"/>
        <v>0</v>
      </c>
      <c r="AK63" s="48">
        <f t="shared" si="48"/>
        <v>0</v>
      </c>
      <c r="AL63" s="48">
        <f t="shared" si="48"/>
        <v>0</v>
      </c>
      <c r="AM63" s="48">
        <f t="shared" si="48"/>
        <v>0</v>
      </c>
      <c r="AN63" s="48">
        <f t="shared" si="48"/>
        <v>0</v>
      </c>
      <c r="AO63" s="48">
        <f t="shared" si="48"/>
        <v>0</v>
      </c>
      <c r="AP63" s="48">
        <f t="shared" si="48"/>
        <v>0</v>
      </c>
      <c r="AQ63" s="48">
        <f t="shared" si="48"/>
        <v>0</v>
      </c>
      <c r="AR63" s="48">
        <f t="shared" si="48"/>
        <v>0</v>
      </c>
      <c r="AS63" s="48">
        <f t="shared" si="48"/>
        <v>0</v>
      </c>
      <c r="AT63" s="48">
        <f t="shared" si="48"/>
        <v>0</v>
      </c>
      <c r="AU63" s="48">
        <f t="shared" si="48"/>
        <v>0</v>
      </c>
      <c r="AV63" s="48">
        <f t="shared" si="48"/>
        <v>0</v>
      </c>
      <c r="AW63" s="48">
        <f t="shared" si="48"/>
        <v>0</v>
      </c>
      <c r="AX63" s="48">
        <f t="shared" si="48"/>
        <v>0</v>
      </c>
      <c r="BA63" s="48">
        <f t="shared" si="37"/>
        <v>0</v>
      </c>
      <c r="BB63" s="48">
        <f t="shared" si="38"/>
        <v>0</v>
      </c>
      <c r="BC63" s="48">
        <f t="shared" si="39"/>
        <v>0</v>
      </c>
    </row>
    <row r="64" spans="12:55" ht="18">
      <c r="L64" s="48">
        <f>IF(Originalschema!M59&gt;0,Originalschema!M59,"")</f>
      </c>
      <c r="M64" s="48">
        <f>IF(Originalschema!N59&gt;0,Originalschema!N59,"")</f>
      </c>
      <c r="N64" s="48">
        <f>IF(Originalschema!O59&gt;0,Originalschema!O59,"")</f>
      </c>
      <c r="O64" s="48">
        <f>IF(Originalschema!P59&gt;0,Originalschema!P59,"")</f>
      </c>
      <c r="P64" s="48">
        <f>IF(Originalschema!Q59&gt;0,Originalschema!Q59,"")</f>
      </c>
      <c r="Q64" s="48">
        <f>IF(Originalschema!T59&gt;0,Originalschema!T59,"")</f>
      </c>
      <c r="R64" s="48">
        <f>IF(Originalschema!U59&gt;0,Originalschema!U59,"")</f>
      </c>
      <c r="S64" s="48">
        <f>IF(Originalschema!V59&gt;0,Originalschema!V59,"")</f>
      </c>
      <c r="T64" s="48">
        <f>IF(Originalschema!W59&gt;0,Originalschema!W59,"")</f>
      </c>
      <c r="U64" s="48">
        <f>IF(Originalschema!X59&gt;0,Originalschema!X59,"")</f>
      </c>
      <c r="V64" s="48">
        <f>IF(Originalschema!Y59&gt;0,Originalschema!Y59,"")</f>
      </c>
      <c r="W64" s="48">
        <f>IF(Originalschema!Z59&gt;0,Originalschema!Z59,"")</f>
      </c>
      <c r="X64" s="48">
        <f>IF(Originalschema!AA59&gt;0,Originalschema!AA59,"")</f>
      </c>
      <c r="Y64" s="48">
        <f>IF(Originalschema!AB59&gt;0,Originalschema!AB59,"")</f>
      </c>
      <c r="Z64" s="48">
        <f>IF(Originalschema!AC59&gt;0,Originalschema!AC59,"")</f>
      </c>
      <c r="AA64" s="48">
        <f>IF(Originalschema!AF59&gt;0,Originalschema!AF59,"")</f>
      </c>
      <c r="AB64" s="48">
        <f>IF(Originalschema!AG59&gt;0,Originalschema!AG59,"")</f>
      </c>
      <c r="AC64" s="48">
        <f>IF(Originalschema!AH59&gt;0,Originalschema!AH59,"")</f>
      </c>
      <c r="AD64" s="48">
        <f>IF(Originalschema!AI59&gt;0,Originalschema!AI59,"")</f>
      </c>
      <c r="AE64" s="48">
        <f t="shared" si="33"/>
        <v>0</v>
      </c>
      <c r="AF64" s="48">
        <f t="shared" si="34"/>
        <v>0</v>
      </c>
      <c r="AG64" s="48">
        <f t="shared" si="35"/>
        <v>0</v>
      </c>
      <c r="AH64" s="48">
        <f aca="true" t="shared" si="49" ref="AH64:AX64">+IF(AG64=AG63,AG65,AG64)</f>
        <v>0</v>
      </c>
      <c r="AI64" s="48">
        <f t="shared" si="49"/>
        <v>0</v>
      </c>
      <c r="AJ64" s="48">
        <f t="shared" si="49"/>
        <v>0</v>
      </c>
      <c r="AK64" s="48">
        <f t="shared" si="49"/>
        <v>0</v>
      </c>
      <c r="AL64" s="48">
        <f t="shared" si="49"/>
        <v>0</v>
      </c>
      <c r="AM64" s="48">
        <f t="shared" si="49"/>
        <v>0</v>
      </c>
      <c r="AN64" s="48">
        <f t="shared" si="49"/>
        <v>0</v>
      </c>
      <c r="AO64" s="48">
        <f t="shared" si="49"/>
        <v>0</v>
      </c>
      <c r="AP64" s="48">
        <f t="shared" si="49"/>
        <v>0</v>
      </c>
      <c r="AQ64" s="48">
        <f t="shared" si="49"/>
        <v>0</v>
      </c>
      <c r="AR64" s="48">
        <f t="shared" si="49"/>
        <v>0</v>
      </c>
      <c r="AS64" s="48">
        <f t="shared" si="49"/>
        <v>0</v>
      </c>
      <c r="AT64" s="48">
        <f t="shared" si="49"/>
        <v>0</v>
      </c>
      <c r="AU64" s="48">
        <f t="shared" si="49"/>
        <v>0</v>
      </c>
      <c r="AV64" s="48">
        <f t="shared" si="49"/>
        <v>0</v>
      </c>
      <c r="AW64" s="48">
        <f t="shared" si="49"/>
        <v>0</v>
      </c>
      <c r="AX64" s="48">
        <f t="shared" si="49"/>
        <v>0</v>
      </c>
      <c r="BA64" s="48">
        <f t="shared" si="37"/>
        <v>0</v>
      </c>
      <c r="BB64" s="48">
        <f t="shared" si="38"/>
        <v>0</v>
      </c>
      <c r="BC64" s="48">
        <f t="shared" si="39"/>
        <v>0</v>
      </c>
    </row>
    <row r="65" spans="12:55" ht="18">
      <c r="L65" s="48">
        <f>IF(Originalschema!M60&gt;0,Originalschema!M60,"")</f>
      </c>
      <c r="M65" s="48">
        <f>IF(Originalschema!N60&gt;0,Originalschema!N60,"")</f>
      </c>
      <c r="N65" s="48">
        <f>IF(Originalschema!O60&gt;0,Originalschema!O60,"")</f>
      </c>
      <c r="O65" s="48">
        <f>IF(Originalschema!P60&gt;0,Originalschema!P60,"")</f>
      </c>
      <c r="P65" s="48">
        <f>IF(Originalschema!Q60&gt;0,Originalschema!Q60,"")</f>
      </c>
      <c r="Q65" s="48">
        <f>IF(Originalschema!T60&gt;0,Originalschema!T60,"")</f>
      </c>
      <c r="R65" s="48">
        <f>IF(Originalschema!U60&gt;0,Originalschema!U60,"")</f>
      </c>
      <c r="S65" s="48">
        <f>IF(Originalschema!V60&gt;0,Originalschema!V60,"")</f>
      </c>
      <c r="T65" s="48">
        <f>IF(Originalschema!W60&gt;0,Originalschema!W60,"")</f>
      </c>
      <c r="U65" s="48">
        <f>IF(Originalschema!X60&gt;0,Originalschema!X60,"")</f>
      </c>
      <c r="V65" s="48">
        <f>IF(Originalschema!Y60&gt;0,Originalschema!Y60,"")</f>
      </c>
      <c r="W65" s="48">
        <f>IF(Originalschema!Z60&gt;0,Originalschema!Z60,"")</f>
      </c>
      <c r="X65" s="48">
        <f>IF(Originalschema!AA60&gt;0,Originalschema!AA60,"")</f>
      </c>
      <c r="Y65" s="48">
        <f>IF(Originalschema!AB60&gt;0,Originalschema!AB60,"")</f>
      </c>
      <c r="Z65" s="48">
        <f>IF(Originalschema!AC60&gt;0,Originalschema!AC60,"")</f>
      </c>
      <c r="AA65" s="48">
        <f>IF(Originalschema!AF60&gt;0,Originalschema!AF60,"")</f>
      </c>
      <c r="AB65" s="48">
        <f>IF(Originalschema!AG60&gt;0,Originalschema!AG60,"")</f>
      </c>
      <c r="AC65" s="48">
        <f>IF(Originalschema!AH60&gt;0,Originalschema!AH60,"")</f>
      </c>
      <c r="AD65" s="48">
        <f>IF(Originalschema!AI60&gt;0,Originalschema!AI60,"")</f>
      </c>
      <c r="AE65" s="48">
        <f t="shared" si="33"/>
        <v>0</v>
      </c>
      <c r="AF65" s="48">
        <f t="shared" si="34"/>
        <v>0</v>
      </c>
      <c r="AG65" s="48">
        <f t="shared" si="35"/>
        <v>0</v>
      </c>
      <c r="AH65" s="48">
        <f aca="true" t="shared" si="50" ref="AH65:AX65">+IF(AG65=AG64,AG66,AG65)</f>
        <v>0</v>
      </c>
      <c r="AI65" s="48">
        <f t="shared" si="50"/>
        <v>0</v>
      </c>
      <c r="AJ65" s="48">
        <f t="shared" si="50"/>
        <v>0</v>
      </c>
      <c r="AK65" s="48">
        <f t="shared" si="50"/>
        <v>0</v>
      </c>
      <c r="AL65" s="48">
        <f t="shared" si="50"/>
        <v>0</v>
      </c>
      <c r="AM65" s="48">
        <f t="shared" si="50"/>
        <v>0</v>
      </c>
      <c r="AN65" s="48">
        <f t="shared" si="50"/>
        <v>0</v>
      </c>
      <c r="AO65" s="48">
        <f t="shared" si="50"/>
        <v>0</v>
      </c>
      <c r="AP65" s="48">
        <f t="shared" si="50"/>
        <v>0</v>
      </c>
      <c r="AQ65" s="48">
        <f t="shared" si="50"/>
        <v>0</v>
      </c>
      <c r="AR65" s="48">
        <f t="shared" si="50"/>
        <v>0</v>
      </c>
      <c r="AS65" s="48">
        <f t="shared" si="50"/>
        <v>0</v>
      </c>
      <c r="AT65" s="48">
        <f t="shared" si="50"/>
        <v>0</v>
      </c>
      <c r="AU65" s="48">
        <f t="shared" si="50"/>
        <v>0</v>
      </c>
      <c r="AV65" s="48">
        <f t="shared" si="50"/>
        <v>0</v>
      </c>
      <c r="AW65" s="48">
        <f t="shared" si="50"/>
        <v>0</v>
      </c>
      <c r="AX65" s="48">
        <f t="shared" si="50"/>
        <v>0</v>
      </c>
      <c r="BA65" s="48">
        <f t="shared" si="37"/>
        <v>0</v>
      </c>
      <c r="BB65" s="48">
        <f t="shared" si="38"/>
        <v>0</v>
      </c>
      <c r="BC65" s="48">
        <f t="shared" si="39"/>
        <v>0</v>
      </c>
    </row>
    <row r="66" spans="12:55" ht="18">
      <c r="L66" s="48">
        <f>IF(Originalschema!M61&gt;0,Originalschema!M61,"")</f>
      </c>
      <c r="M66" s="48">
        <f>IF(Originalschema!N61&gt;0,Originalschema!N61,"")</f>
      </c>
      <c r="N66" s="48">
        <f>IF(Originalschema!O61&gt;0,Originalschema!O61,"")</f>
      </c>
      <c r="O66" s="48">
        <f>IF(Originalschema!P61&gt;0,Originalschema!P61,"")</f>
      </c>
      <c r="P66" s="48">
        <f>IF(Originalschema!Q61&gt;0,Originalschema!Q61,"")</f>
      </c>
      <c r="Q66" s="48">
        <f>IF(Originalschema!T61&gt;0,Originalschema!T61,"")</f>
      </c>
      <c r="R66" s="48">
        <f>IF(Originalschema!U61&gt;0,Originalschema!U61,"")</f>
      </c>
      <c r="S66" s="48">
        <f>IF(Originalschema!V61&gt;0,Originalschema!V61,"")</f>
      </c>
      <c r="T66" s="48">
        <f>IF(Originalschema!W61&gt;0,Originalschema!W61,"")</f>
      </c>
      <c r="U66" s="48">
        <f>IF(Originalschema!X61&gt;0,Originalschema!X61,"")</f>
      </c>
      <c r="V66" s="48">
        <f>IF(Originalschema!Y61&gt;0,Originalschema!Y61,"")</f>
      </c>
      <c r="W66" s="48">
        <f>IF(Originalschema!Z61&gt;0,Originalschema!Z61,"")</f>
      </c>
      <c r="X66" s="48">
        <f>IF(Originalschema!AA61&gt;0,Originalschema!AA61,"")</f>
      </c>
      <c r="Y66" s="48">
        <f>IF(Originalschema!AB61&gt;0,Originalschema!AB61,"")</f>
      </c>
      <c r="Z66" s="48">
        <f>IF(Originalschema!AC61&gt;0,Originalschema!AC61,"")</f>
      </c>
      <c r="AA66" s="48">
        <f>IF(Originalschema!AF61&gt;0,Originalschema!AF61,"")</f>
      </c>
      <c r="AB66" s="48">
        <f>IF(Originalschema!AG61&gt;0,Originalschema!AG61,"")</f>
      </c>
      <c r="AC66" s="48">
        <f>IF(Originalschema!AH61&gt;0,Originalschema!AH61,"")</f>
      </c>
      <c r="AD66" s="48">
        <f>IF(Originalschema!AI61&gt;0,Originalschema!AI61,"")</f>
      </c>
      <c r="AE66" s="48">
        <f t="shared" si="33"/>
        <v>0</v>
      </c>
      <c r="AF66" s="48">
        <f t="shared" si="34"/>
        <v>0</v>
      </c>
      <c r="AG66" s="48">
        <f t="shared" si="35"/>
        <v>0</v>
      </c>
      <c r="AH66" s="48">
        <f aca="true" t="shared" si="51" ref="AH66:AX66">+IF(AG66=AG65,AG67,AG66)</f>
        <v>0</v>
      </c>
      <c r="AI66" s="48">
        <f t="shared" si="51"/>
        <v>0</v>
      </c>
      <c r="AJ66" s="48">
        <f t="shared" si="51"/>
        <v>0</v>
      </c>
      <c r="AK66" s="48">
        <f t="shared" si="51"/>
        <v>0</v>
      </c>
      <c r="AL66" s="48">
        <f t="shared" si="51"/>
        <v>0</v>
      </c>
      <c r="AM66" s="48">
        <f t="shared" si="51"/>
        <v>0</v>
      </c>
      <c r="AN66" s="48">
        <f t="shared" si="51"/>
        <v>0</v>
      </c>
      <c r="AO66" s="48">
        <f t="shared" si="51"/>
        <v>0</v>
      </c>
      <c r="AP66" s="48">
        <f t="shared" si="51"/>
        <v>0</v>
      </c>
      <c r="AQ66" s="48">
        <f t="shared" si="51"/>
        <v>0</v>
      </c>
      <c r="AR66" s="48">
        <f t="shared" si="51"/>
        <v>0</v>
      </c>
      <c r="AS66" s="48">
        <f t="shared" si="51"/>
        <v>0</v>
      </c>
      <c r="AT66" s="48">
        <f t="shared" si="51"/>
        <v>0</v>
      </c>
      <c r="AU66" s="48">
        <f t="shared" si="51"/>
        <v>0</v>
      </c>
      <c r="AV66" s="48">
        <f t="shared" si="51"/>
        <v>0</v>
      </c>
      <c r="AW66" s="48">
        <f t="shared" si="51"/>
        <v>0</v>
      </c>
      <c r="AX66" s="48">
        <f t="shared" si="51"/>
        <v>0</v>
      </c>
      <c r="BA66" s="48">
        <f t="shared" si="37"/>
        <v>0</v>
      </c>
      <c r="BB66" s="48">
        <f t="shared" si="38"/>
        <v>0</v>
      </c>
      <c r="BC66" s="48">
        <f t="shared" si="39"/>
        <v>0</v>
      </c>
    </row>
    <row r="67" spans="12:55" ht="18">
      <c r="L67" s="48">
        <f>IF(Originalschema!M62&gt;0,Originalschema!M62,"")</f>
      </c>
      <c r="M67" s="48">
        <f>IF(Originalschema!N62&gt;0,Originalschema!N62,"")</f>
      </c>
      <c r="N67" s="48">
        <f>IF(Originalschema!O62&gt;0,Originalschema!O62,"")</f>
      </c>
      <c r="O67" s="48">
        <f>IF(Originalschema!P62&gt;0,Originalschema!P62,"")</f>
      </c>
      <c r="P67" s="48">
        <f>IF(Originalschema!Q62&gt;0,Originalschema!Q62,"")</f>
      </c>
      <c r="Q67" s="48">
        <f>IF(Originalschema!T62&gt;0,Originalschema!T62,"")</f>
      </c>
      <c r="R67" s="48">
        <f>IF(Originalschema!U62&gt;0,Originalschema!U62,"")</f>
      </c>
      <c r="S67" s="48">
        <f>IF(Originalschema!V62&gt;0,Originalschema!V62,"")</f>
      </c>
      <c r="T67" s="48">
        <f>IF(Originalschema!W62&gt;0,Originalschema!W62,"")</f>
      </c>
      <c r="U67" s="48">
        <f>IF(Originalschema!X62&gt;0,Originalschema!X62,"")</f>
      </c>
      <c r="V67" s="48">
        <f>IF(Originalschema!Y62&gt;0,Originalschema!Y62,"")</f>
      </c>
      <c r="W67" s="48">
        <f>IF(Originalschema!Z62&gt;0,Originalschema!Z62,"")</f>
      </c>
      <c r="X67" s="48">
        <f>IF(Originalschema!AA62&gt;0,Originalschema!AA62,"")</f>
      </c>
      <c r="Y67" s="48">
        <f>IF(Originalschema!AB62&gt;0,Originalschema!AB62,"")</f>
      </c>
      <c r="Z67" s="48">
        <f>IF(Originalschema!AC62&gt;0,Originalschema!AC62,"")</f>
      </c>
      <c r="AA67" s="48">
        <f>IF(Originalschema!AF62&gt;0,Originalschema!AF62,"")</f>
      </c>
      <c r="AB67" s="48">
        <f>IF(Originalschema!AG62&gt;0,Originalschema!AG62,"")</f>
      </c>
      <c r="AC67" s="48">
        <f>IF(Originalschema!AH62&gt;0,Originalschema!AH62,"")</f>
      </c>
      <c r="AD67" s="48">
        <f>IF(Originalschema!AI62&gt;0,Originalschema!AI62,"")</f>
      </c>
      <c r="AE67" s="48">
        <f t="shared" si="33"/>
        <v>0</v>
      </c>
      <c r="AF67" s="48">
        <f t="shared" si="34"/>
        <v>0</v>
      </c>
      <c r="AG67" s="48">
        <f t="shared" si="35"/>
        <v>0</v>
      </c>
      <c r="AH67" s="48">
        <f aca="true" t="shared" si="52" ref="AH67:AX67">+IF(AG67=AG66,AG68,AG67)</f>
        <v>0</v>
      </c>
      <c r="AI67" s="48">
        <f t="shared" si="52"/>
        <v>0</v>
      </c>
      <c r="AJ67" s="48">
        <f t="shared" si="52"/>
        <v>0</v>
      </c>
      <c r="AK67" s="48">
        <f t="shared" si="52"/>
        <v>0</v>
      </c>
      <c r="AL67" s="48">
        <f t="shared" si="52"/>
        <v>0</v>
      </c>
      <c r="AM67" s="48">
        <f t="shared" si="52"/>
        <v>0</v>
      </c>
      <c r="AN67" s="48">
        <f t="shared" si="52"/>
        <v>0</v>
      </c>
      <c r="AO67" s="48">
        <f t="shared" si="52"/>
        <v>0</v>
      </c>
      <c r="AP67" s="48">
        <f t="shared" si="52"/>
        <v>0</v>
      </c>
      <c r="AQ67" s="48">
        <f t="shared" si="52"/>
        <v>0</v>
      </c>
      <c r="AR67" s="48">
        <f t="shared" si="52"/>
        <v>0</v>
      </c>
      <c r="AS67" s="48">
        <f t="shared" si="52"/>
        <v>0</v>
      </c>
      <c r="AT67" s="48">
        <f t="shared" si="52"/>
        <v>0</v>
      </c>
      <c r="AU67" s="48">
        <f t="shared" si="52"/>
        <v>0</v>
      </c>
      <c r="AV67" s="48">
        <f t="shared" si="52"/>
        <v>0</v>
      </c>
      <c r="AW67" s="48">
        <f t="shared" si="52"/>
        <v>0</v>
      </c>
      <c r="AX67" s="48">
        <f t="shared" si="52"/>
        <v>0</v>
      </c>
      <c r="BA67" s="48">
        <f t="shared" si="37"/>
        <v>0</v>
      </c>
      <c r="BB67" s="48">
        <f t="shared" si="38"/>
        <v>0</v>
      </c>
      <c r="BC67" s="48">
        <f t="shared" si="39"/>
        <v>0</v>
      </c>
    </row>
    <row r="68" spans="12:55" ht="18">
      <c r="L68" s="48">
        <f>IF(Originalschema!M63&gt;0,Originalschema!M63,"")</f>
      </c>
      <c r="M68" s="48">
        <f>IF(Originalschema!N63&gt;0,Originalschema!N63,"")</f>
      </c>
      <c r="N68" s="48">
        <f>IF(Originalschema!O63&gt;0,Originalschema!O63,"")</f>
      </c>
      <c r="O68" s="48">
        <f>IF(Originalschema!P63&gt;0,Originalschema!P63,"")</f>
      </c>
      <c r="P68" s="48">
        <f>IF(Originalschema!Q63&gt;0,Originalschema!Q63,"")</f>
      </c>
      <c r="Q68" s="48">
        <f>IF(Originalschema!T63&gt;0,Originalschema!T63,"")</f>
      </c>
      <c r="R68" s="48">
        <f>IF(Originalschema!U63&gt;0,Originalschema!U63,"")</f>
      </c>
      <c r="S68" s="48">
        <f>IF(Originalschema!V63&gt;0,Originalschema!V63,"")</f>
      </c>
      <c r="T68" s="48">
        <f>IF(Originalschema!W63&gt;0,Originalschema!W63,"")</f>
      </c>
      <c r="U68" s="48">
        <f>IF(Originalschema!X63&gt;0,Originalschema!X63,"")</f>
      </c>
      <c r="V68" s="48">
        <f>IF(Originalschema!Y63&gt;0,Originalschema!Y63,"")</f>
      </c>
      <c r="W68" s="48">
        <f>IF(Originalschema!Z63&gt;0,Originalschema!Z63,"")</f>
      </c>
      <c r="X68" s="48">
        <f>IF(Originalschema!AA63&gt;0,Originalschema!AA63,"")</f>
      </c>
      <c r="Y68" s="48">
        <f>IF(Originalschema!AB63&gt;0,Originalschema!AB63,"")</f>
      </c>
      <c r="Z68" s="48">
        <f>IF(Originalschema!AC63&gt;0,Originalschema!AC63,"")</f>
      </c>
      <c r="AA68" s="48">
        <f>IF(Originalschema!AF63&gt;0,Originalschema!AF63,"")</f>
      </c>
      <c r="AB68" s="48">
        <f>IF(Originalschema!AG63&gt;0,Originalschema!AG63,"")</f>
      </c>
      <c r="AC68" s="48">
        <f>IF(Originalschema!AH63&gt;0,Originalschema!AH63,"")</f>
      </c>
      <c r="AD68" s="48">
        <f>IF(Originalschema!AI63&gt;0,Originalschema!AI63,"")</f>
      </c>
      <c r="AE68" s="48">
        <f t="shared" si="33"/>
        <v>0</v>
      </c>
      <c r="AF68" s="48">
        <f t="shared" si="34"/>
        <v>0</v>
      </c>
      <c r="AG68" s="48">
        <f t="shared" si="35"/>
        <v>0</v>
      </c>
      <c r="AH68" s="48">
        <f aca="true" t="shared" si="53" ref="AH68:AX68">+IF(AG68=AG67,AG69,AG68)</f>
        <v>0</v>
      </c>
      <c r="AI68" s="48">
        <f t="shared" si="53"/>
        <v>0</v>
      </c>
      <c r="AJ68" s="48">
        <f t="shared" si="53"/>
        <v>0</v>
      </c>
      <c r="AK68" s="48">
        <f t="shared" si="53"/>
        <v>0</v>
      </c>
      <c r="AL68" s="48">
        <f t="shared" si="53"/>
        <v>0</v>
      </c>
      <c r="AM68" s="48">
        <f t="shared" si="53"/>
        <v>0</v>
      </c>
      <c r="AN68" s="48">
        <f t="shared" si="53"/>
        <v>0</v>
      </c>
      <c r="AO68" s="48">
        <f t="shared" si="53"/>
        <v>0</v>
      </c>
      <c r="AP68" s="48">
        <f t="shared" si="53"/>
        <v>0</v>
      </c>
      <c r="AQ68" s="48">
        <f t="shared" si="53"/>
        <v>0</v>
      </c>
      <c r="AR68" s="48">
        <f t="shared" si="53"/>
        <v>0</v>
      </c>
      <c r="AS68" s="48">
        <f t="shared" si="53"/>
        <v>0</v>
      </c>
      <c r="AT68" s="48">
        <f t="shared" si="53"/>
        <v>0</v>
      </c>
      <c r="AU68" s="48">
        <f t="shared" si="53"/>
        <v>0</v>
      </c>
      <c r="AV68" s="48">
        <f t="shared" si="53"/>
        <v>0</v>
      </c>
      <c r="AW68" s="48">
        <f t="shared" si="53"/>
        <v>0</v>
      </c>
      <c r="AX68" s="48">
        <f t="shared" si="53"/>
        <v>0</v>
      </c>
      <c r="BA68" s="48">
        <f t="shared" si="37"/>
        <v>0</v>
      </c>
      <c r="BB68" s="48">
        <f t="shared" si="38"/>
        <v>0</v>
      </c>
      <c r="BC68" s="48">
        <f t="shared" si="39"/>
        <v>0</v>
      </c>
    </row>
    <row r="69" spans="12:55" ht="18">
      <c r="L69" s="48">
        <f>IF(Originalschema!M64&gt;0,Originalschema!M64,"")</f>
      </c>
      <c r="M69" s="48">
        <f>IF(Originalschema!N64&gt;0,Originalschema!N64,"")</f>
      </c>
      <c r="N69" s="48">
        <f>IF(Originalschema!O64&gt;0,Originalschema!O64,"")</f>
      </c>
      <c r="O69" s="48">
        <f>IF(Originalschema!P64&gt;0,Originalschema!P64,"")</f>
      </c>
      <c r="P69" s="48">
        <f>IF(Originalschema!Q64&gt;0,Originalschema!Q64,"")</f>
      </c>
      <c r="Q69" s="48">
        <f>IF(Originalschema!T64&gt;0,Originalschema!T64,"")</f>
      </c>
      <c r="R69" s="48">
        <f>IF(Originalschema!U64&gt;0,Originalschema!U64,"")</f>
      </c>
      <c r="S69" s="48">
        <f>IF(Originalschema!V64&gt;0,Originalschema!V64,"")</f>
      </c>
      <c r="T69" s="48">
        <f>IF(Originalschema!W64&gt;0,Originalschema!W64,"")</f>
      </c>
      <c r="U69" s="48">
        <f>IF(Originalschema!X64&gt;0,Originalschema!X64,"")</f>
      </c>
      <c r="V69" s="48">
        <f>IF(Originalschema!Y64&gt;0,Originalschema!Y64,"")</f>
      </c>
      <c r="W69" s="48">
        <f>IF(Originalschema!Z64&gt;0,Originalschema!Z64,"")</f>
      </c>
      <c r="X69" s="48">
        <f>IF(Originalschema!AA64&gt;0,Originalschema!AA64,"")</f>
      </c>
      <c r="Y69" s="48">
        <f>IF(Originalschema!AB64&gt;0,Originalschema!AB64,"")</f>
      </c>
      <c r="Z69" s="48">
        <f>IF(Originalschema!AC64&gt;0,Originalschema!AC64,"")</f>
      </c>
      <c r="AA69" s="48">
        <f>IF(Originalschema!AF64&gt;0,Originalschema!AF64,"")</f>
      </c>
      <c r="AB69" s="48">
        <f>IF(Originalschema!AG64&gt;0,Originalschema!AG64,"")</f>
      </c>
      <c r="AC69" s="48">
        <f>IF(Originalschema!AH64&gt;0,Originalschema!AH64,"")</f>
      </c>
      <c r="AD69" s="48">
        <f>IF(Originalschema!AI64&gt;0,Originalschema!AI64,"")</f>
      </c>
      <c r="AE69" s="48">
        <f t="shared" si="33"/>
        <v>0</v>
      </c>
      <c r="AF69" s="48">
        <f t="shared" si="34"/>
        <v>0</v>
      </c>
      <c r="AG69" s="48">
        <f t="shared" si="35"/>
        <v>0</v>
      </c>
      <c r="AH69" s="48">
        <f aca="true" t="shared" si="54" ref="AH69:AX69">+IF(AG69=AG68,AG70,AG69)</f>
        <v>0</v>
      </c>
      <c r="AI69" s="48">
        <f t="shared" si="54"/>
        <v>0</v>
      </c>
      <c r="AJ69" s="48">
        <f t="shared" si="54"/>
        <v>0</v>
      </c>
      <c r="AK69" s="48">
        <f t="shared" si="54"/>
        <v>0</v>
      </c>
      <c r="AL69" s="48">
        <f t="shared" si="54"/>
        <v>0</v>
      </c>
      <c r="AM69" s="48">
        <f t="shared" si="54"/>
        <v>0</v>
      </c>
      <c r="AN69" s="48">
        <f t="shared" si="54"/>
        <v>0</v>
      </c>
      <c r="AO69" s="48">
        <f t="shared" si="54"/>
        <v>0</v>
      </c>
      <c r="AP69" s="48">
        <f t="shared" si="54"/>
        <v>0</v>
      </c>
      <c r="AQ69" s="48">
        <f t="shared" si="54"/>
        <v>0</v>
      </c>
      <c r="AR69" s="48">
        <f t="shared" si="54"/>
        <v>0</v>
      </c>
      <c r="AS69" s="48">
        <f t="shared" si="54"/>
        <v>0</v>
      </c>
      <c r="AT69" s="48">
        <f t="shared" si="54"/>
        <v>0</v>
      </c>
      <c r="AU69" s="48">
        <f t="shared" si="54"/>
        <v>0</v>
      </c>
      <c r="AV69" s="48">
        <f t="shared" si="54"/>
        <v>0</v>
      </c>
      <c r="AW69" s="48">
        <f t="shared" si="54"/>
        <v>0</v>
      </c>
      <c r="AX69" s="48">
        <f t="shared" si="54"/>
        <v>0</v>
      </c>
      <c r="BA69" s="48">
        <f t="shared" si="37"/>
        <v>0</v>
      </c>
      <c r="BB69" s="48">
        <f t="shared" si="38"/>
        <v>0</v>
      </c>
      <c r="BC69" s="48">
        <f t="shared" si="39"/>
        <v>0</v>
      </c>
    </row>
    <row r="70" spans="53:55" ht="18">
      <c r="BA70" s="48">
        <f t="shared" si="37"/>
        <v>0</v>
      </c>
      <c r="BB70" s="48">
        <f t="shared" si="38"/>
        <v>0</v>
      </c>
      <c r="BC70" s="48">
        <f t="shared" si="39"/>
        <v>0</v>
      </c>
    </row>
    <row r="71" spans="53:55" ht="18">
      <c r="BA71" s="48">
        <f t="shared" si="37"/>
        <v>0</v>
      </c>
      <c r="BB71" s="48">
        <f t="shared" si="38"/>
        <v>0</v>
      </c>
      <c r="BC71" s="48">
        <f t="shared" si="39"/>
        <v>0</v>
      </c>
    </row>
    <row r="72" spans="53:55" ht="18">
      <c r="BA72" s="48">
        <f t="shared" si="37"/>
        <v>0</v>
      </c>
      <c r="BB72" s="48">
        <f t="shared" si="38"/>
        <v>0</v>
      </c>
      <c r="BC72" s="48">
        <f t="shared" si="39"/>
        <v>0</v>
      </c>
    </row>
  </sheetData>
  <sheetProtection sheet="1" objects="1" scenarios="1"/>
  <mergeCells count="1">
    <mergeCell ref="H9:J9"/>
  </mergeCells>
  <conditionalFormatting sqref="L1:AO65536 AP10:AX69 AY10:AZ51 BA10:BC72">
    <cfRule type="cellIs" priority="1" dxfId="0" operator="equal" stopIfTrue="1">
      <formula>TRUE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B13"/>
  <sheetViews>
    <sheetView showGridLines="0"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1" sqref="B11"/>
    </sheetView>
  </sheetViews>
  <sheetFormatPr defaultColWidth="0" defaultRowHeight="12.75" customHeight="1" zeroHeight="1"/>
  <cols>
    <col min="1" max="1" width="24.140625" style="8" customWidth="1"/>
    <col min="2" max="2" width="56.57421875" style="9" customWidth="1"/>
    <col min="3" max="16384" width="0" style="9" hidden="1" customWidth="1"/>
  </cols>
  <sheetData>
    <row r="1" spans="1:2" ht="73.5" customHeight="1">
      <c r="A1" s="10" t="s">
        <v>25</v>
      </c>
      <c r="B1" s="11" t="s">
        <v>26</v>
      </c>
    </row>
    <row r="2" spans="1:2" ht="48.75" customHeight="1">
      <c r="A2" s="12" t="s">
        <v>27</v>
      </c>
      <c r="B2" s="13" t="s">
        <v>79</v>
      </c>
    </row>
    <row r="3" spans="1:2" ht="48.75" customHeight="1">
      <c r="A3" s="12" t="s">
        <v>28</v>
      </c>
      <c r="B3" s="13" t="s">
        <v>80</v>
      </c>
    </row>
    <row r="4" spans="1:2" ht="48.75" customHeight="1">
      <c r="A4" s="12" t="s">
        <v>29</v>
      </c>
      <c r="B4" s="13" t="s">
        <v>77</v>
      </c>
    </row>
    <row r="5" spans="1:2" ht="48.75" customHeight="1">
      <c r="A5" s="12" t="s">
        <v>30</v>
      </c>
      <c r="B5" s="13" t="s">
        <v>81</v>
      </c>
    </row>
    <row r="6" spans="1:2" ht="48.75" customHeight="1">
      <c r="A6" s="12" t="s">
        <v>31</v>
      </c>
      <c r="B6" s="13" t="s">
        <v>82</v>
      </c>
    </row>
    <row r="7" spans="1:2" ht="48.75" customHeight="1">
      <c r="A7" s="12" t="s">
        <v>32</v>
      </c>
      <c r="B7" s="13"/>
    </row>
    <row r="8" spans="1:2" ht="48.75" customHeight="1">
      <c r="A8" s="12" t="s">
        <v>33</v>
      </c>
      <c r="B8" s="13"/>
    </row>
    <row r="9" spans="1:2" ht="48.75" customHeight="1">
      <c r="A9" s="12" t="s">
        <v>34</v>
      </c>
      <c r="B9" s="13" t="s">
        <v>83</v>
      </c>
    </row>
    <row r="10" spans="1:2" ht="48.75" customHeight="1">
      <c r="A10" s="12" t="s">
        <v>35</v>
      </c>
      <c r="B10" s="13" t="s">
        <v>84</v>
      </c>
    </row>
    <row r="11" spans="1:2" ht="48.75" customHeight="1">
      <c r="A11" s="12" t="s">
        <v>36</v>
      </c>
      <c r="B11" s="13" t="s">
        <v>85</v>
      </c>
    </row>
    <row r="12" spans="1:2" ht="48.75" customHeight="1">
      <c r="A12" s="12" t="s">
        <v>37</v>
      </c>
      <c r="B12" s="13" t="s">
        <v>86</v>
      </c>
    </row>
    <row r="13" spans="1:2" ht="48.75" customHeight="1">
      <c r="A13" s="12" t="s">
        <v>38</v>
      </c>
      <c r="B13" s="13" t="s">
        <v>87</v>
      </c>
    </row>
  </sheetData>
  <sheetProtection sheet="1" objects="1" scenarios="1"/>
  <printOptions/>
  <pageMargins left="0.75" right="0.30972222222222223" top="2.0701388888888888" bottom="1" header="0.5" footer="0.5"/>
  <pageSetup fitToHeight="1" fitToWidth="1" horizontalDpi="300" verticalDpi="300" orientation="portrait" paperSize="9"/>
  <headerFooter alignWithMargins="0">
    <oddHeader>&amp;C&amp;18&amp;ELottning &amp;F</oddHeader>
    <oddFooter>&amp;R&amp;8&amp;D Carola Sääski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"/>
  <dimension ref="A1:T24"/>
  <sheetViews>
    <sheetView showGridLines="0" zoomScalePageLayoutView="0" workbookViewId="0" topLeftCell="A65536">
      <selection activeCell="I25" sqref="I25"/>
    </sheetView>
  </sheetViews>
  <sheetFormatPr defaultColWidth="9.140625" defaultRowHeight="12.75" zeroHeight="1"/>
  <cols>
    <col min="1" max="1" width="3.00390625" style="3" customWidth="1"/>
    <col min="2" max="3" width="3.28125" style="3" customWidth="1"/>
    <col min="4" max="4" width="9.28125" style="3" customWidth="1"/>
    <col min="5" max="5" width="3.00390625" style="3" customWidth="1"/>
    <col min="6" max="7" width="3.28125" style="3" customWidth="1"/>
    <col min="8" max="8" width="9.140625" style="3" customWidth="1"/>
    <col min="9" max="9" width="12.8515625" style="3" customWidth="1"/>
    <col min="10" max="11" width="3.28125" style="14" customWidth="1"/>
    <col min="12" max="13" width="9.140625" style="3" customWidth="1"/>
    <col min="14" max="15" width="9.140625" style="15" customWidth="1"/>
    <col min="16" max="16" width="9.140625" style="3" customWidth="1"/>
    <col min="17" max="18" width="9.140625" style="16" customWidth="1"/>
    <col min="19" max="16384" width="9.140625" style="3" customWidth="1"/>
  </cols>
  <sheetData>
    <row r="1" spans="9:13" ht="12.75" hidden="1">
      <c r="I1" s="3" t="s">
        <v>5</v>
      </c>
      <c r="M1" s="3" t="s">
        <v>39</v>
      </c>
    </row>
    <row r="2" spans="1:20" ht="12.75" hidden="1">
      <c r="A2" s="3">
        <f>+IF(Inställningar!$B$6="nej",Spelordning!E2,Spelordning!I2)</f>
        <v>1</v>
      </c>
      <c r="B2" s="3" t="str">
        <f>+IF(Inställningar!$B$6="nej",Spelordning!F2,Spelordning!J2)</f>
        <v>A1</v>
      </c>
      <c r="C2" s="3" t="str">
        <f>+IF(Inställningar!$B$6="nej",Spelordning!G2,Spelordning!K2)</f>
        <v>A2</v>
      </c>
      <c r="E2" s="3">
        <v>1</v>
      </c>
      <c r="F2" s="3" t="s">
        <v>27</v>
      </c>
      <c r="G2" s="3" t="s">
        <v>28</v>
      </c>
      <c r="I2" s="3">
        <v>1</v>
      </c>
      <c r="J2" s="17" t="str">
        <f>IF(Lottning!$B$8="vakant",N2,"A1")</f>
        <v>A1</v>
      </c>
      <c r="K2" s="17" t="str">
        <f>IF(Lottning!$B$8="vakant",O2,"A2")</f>
        <v>A2</v>
      </c>
      <c r="M2" s="3">
        <v>1</v>
      </c>
      <c r="N2" s="18" t="s">
        <v>27</v>
      </c>
      <c r="O2" s="19" t="s">
        <v>28</v>
      </c>
      <c r="P2" s="20"/>
      <c r="T2" s="20"/>
    </row>
    <row r="3" spans="1:20" ht="12.75" hidden="1">
      <c r="A3" s="3">
        <f>+IF(Inställningar!$B$6="nej",Spelordning!E3,Spelordning!I3)</f>
        <v>2</v>
      </c>
      <c r="B3" s="3" t="str">
        <f>+IF(Inställningar!$B$6="nej",Spelordning!F3,Spelordning!J3)</f>
        <v>A3</v>
      </c>
      <c r="C3" s="3" t="str">
        <f>+IF(Inställningar!$B$6="nej",Spelordning!G3,Spelordning!K3)</f>
        <v>A4</v>
      </c>
      <c r="E3" s="3">
        <v>2</v>
      </c>
      <c r="F3" s="3" t="s">
        <v>29</v>
      </c>
      <c r="G3" s="3" t="s">
        <v>30</v>
      </c>
      <c r="I3" s="3">
        <v>2</v>
      </c>
      <c r="J3" s="17" t="str">
        <f>IF(Lottning!$B$8="vakant",N3,"A3")</f>
        <v>A3</v>
      </c>
      <c r="K3" s="17" t="str">
        <f>IF(Lottning!$B$8="vakant",O3,"A4")</f>
        <v>A4</v>
      </c>
      <c r="M3" s="3">
        <v>2</v>
      </c>
      <c r="N3" s="21" t="s">
        <v>29</v>
      </c>
      <c r="O3" s="22" t="s">
        <v>30</v>
      </c>
      <c r="P3" s="20"/>
      <c r="T3" s="20"/>
    </row>
    <row r="4" spans="1:20" ht="12.75" hidden="1">
      <c r="A4" s="3">
        <f>+IF(Inställningar!$B$6="nej",Spelordning!E4,Spelordning!I4)</f>
        <v>3</v>
      </c>
      <c r="B4" s="3" t="str">
        <f>+IF(Inställningar!$B$6="nej",Spelordning!F4,Spelordning!J4)</f>
        <v>B1</v>
      </c>
      <c r="C4" s="3" t="str">
        <f>+IF(Inställningar!$B$6="nej",Spelordning!G4,Spelordning!K4)</f>
        <v>B2</v>
      </c>
      <c r="E4" s="3">
        <v>3</v>
      </c>
      <c r="F4" s="3" t="s">
        <v>34</v>
      </c>
      <c r="G4" s="3" t="s">
        <v>35</v>
      </c>
      <c r="I4" s="3">
        <v>3</v>
      </c>
      <c r="J4" s="17" t="str">
        <f>IF(Lottning!$B$8="vakant",N4,"A5")</f>
        <v>A5</v>
      </c>
      <c r="K4" s="17" t="str">
        <f>IF(Lottning!$B$8="vakant",O4,"A6")</f>
        <v>A6</v>
      </c>
      <c r="M4" s="3">
        <v>3</v>
      </c>
      <c r="N4" s="23" t="s">
        <v>31</v>
      </c>
      <c r="O4" s="16" t="s">
        <v>32</v>
      </c>
      <c r="P4" s="24"/>
      <c r="T4" s="20"/>
    </row>
    <row r="5" spans="1:20" ht="12.75" hidden="1">
      <c r="A5" s="3">
        <f>+IF(Inställningar!$B$6="nej",Spelordning!E5,Spelordning!I5)</f>
        <v>4</v>
      </c>
      <c r="B5" s="3" t="str">
        <f>+IF(Inställningar!$B$6="nej",Spelordning!F5,Spelordning!J5)</f>
        <v>B3</v>
      </c>
      <c r="C5" s="3" t="str">
        <f>+IF(Inställningar!$B$6="nej",Spelordning!G5,Spelordning!K5)</f>
        <v>B4</v>
      </c>
      <c r="E5" s="3">
        <v>4</v>
      </c>
      <c r="F5" s="3" t="s">
        <v>36</v>
      </c>
      <c r="G5" s="3" t="s">
        <v>37</v>
      </c>
      <c r="I5" s="3">
        <v>4</v>
      </c>
      <c r="J5" s="17" t="str">
        <f>IF(Lottning!$B$8="vakant",N5,"A7")</f>
        <v>A7</v>
      </c>
      <c r="K5" s="17" t="str">
        <f>IF(Lottning!$B$8="vakant",O5,"A1")</f>
        <v>A1</v>
      </c>
      <c r="M5" s="3">
        <v>4</v>
      </c>
      <c r="N5" s="18" t="s">
        <v>27</v>
      </c>
      <c r="O5" s="21" t="s">
        <v>29</v>
      </c>
      <c r="P5" s="20"/>
      <c r="T5" s="20"/>
    </row>
    <row r="6" spans="1:20" ht="12.75" hidden="1">
      <c r="A6" s="3">
        <f>+IF(Inställningar!$B$6="nej",Spelordning!E6,Spelordning!I6)</f>
        <v>5</v>
      </c>
      <c r="B6" s="3" t="str">
        <f>+IF(Inställningar!$B$6="nej",Spelordning!F6,Spelordning!J6)</f>
        <v>A5</v>
      </c>
      <c r="C6" s="3" t="str">
        <f>+IF(Inställningar!$B$6="nej",Spelordning!G6,Spelordning!K6)</f>
        <v>A1</v>
      </c>
      <c r="E6" s="3">
        <v>5</v>
      </c>
      <c r="F6" s="3" t="s">
        <v>31</v>
      </c>
      <c r="G6" s="3" t="s">
        <v>27</v>
      </c>
      <c r="I6" s="3">
        <v>5</v>
      </c>
      <c r="J6" s="17" t="str">
        <f>IF(Lottning!$B$8="vakant",N6,"A2")</f>
        <v>A2</v>
      </c>
      <c r="K6" s="17" t="str">
        <f>IF(Lottning!$B$8="vakant",O6,"A3")</f>
        <v>A3</v>
      </c>
      <c r="M6" s="3">
        <v>5</v>
      </c>
      <c r="N6" s="19" t="s">
        <v>28</v>
      </c>
      <c r="O6" s="23" t="s">
        <v>31</v>
      </c>
      <c r="P6" s="20"/>
      <c r="T6" s="20"/>
    </row>
    <row r="7" spans="1:20" ht="12.75" hidden="1">
      <c r="A7" s="3">
        <f>+IF(Inställningar!$B$6="nej",Spelordning!E7,Spelordning!I7)</f>
        <v>6</v>
      </c>
      <c r="B7" s="3" t="str">
        <f>+IF(Inställningar!$B$6="nej",Spelordning!F7,Spelordning!J7)</f>
        <v>A2</v>
      </c>
      <c r="C7" s="3" t="str">
        <f>+IF(Inställningar!$B$6="nej",Spelordning!G7,Spelordning!K7)</f>
        <v>A3</v>
      </c>
      <c r="E7" s="3">
        <v>6</v>
      </c>
      <c r="F7" s="3" t="s">
        <v>28</v>
      </c>
      <c r="G7" s="3" t="s">
        <v>29</v>
      </c>
      <c r="I7" s="3">
        <v>6</v>
      </c>
      <c r="J7" s="17" t="str">
        <f>IF(Lottning!$B$8="vakant",N7,"A4")</f>
        <v>A4</v>
      </c>
      <c r="K7" s="17" t="str">
        <f>IF(Lottning!$B$8="vakant",O7,"A5")</f>
        <v>A5</v>
      </c>
      <c r="M7" s="3">
        <v>6</v>
      </c>
      <c r="N7" s="22" t="s">
        <v>30</v>
      </c>
      <c r="O7" s="16" t="s">
        <v>32</v>
      </c>
      <c r="P7" s="24"/>
      <c r="T7" s="20"/>
    </row>
    <row r="8" spans="1:20" ht="12.75" hidden="1">
      <c r="A8" s="3">
        <f>+IF(Inställningar!$B$6="nej",Spelordning!E8,Spelordning!I8)</f>
        <v>7</v>
      </c>
      <c r="B8" s="3" t="str">
        <f>+IF(Inställningar!$B$6="nej",Spelordning!F8,Spelordning!J8)</f>
        <v>B5</v>
      </c>
      <c r="C8" s="3" t="str">
        <f>+IF(Inställningar!$B$6="nej",Spelordning!G8,Spelordning!K8)</f>
        <v>B1</v>
      </c>
      <c r="E8" s="3">
        <v>7</v>
      </c>
      <c r="F8" s="3" t="s">
        <v>38</v>
      </c>
      <c r="G8" s="3" t="s">
        <v>34</v>
      </c>
      <c r="I8" s="3">
        <v>7</v>
      </c>
      <c r="J8" s="17" t="str">
        <f>IF(Lottning!$B$8="vakant",N8,"A6")</f>
        <v>A6</v>
      </c>
      <c r="K8" s="17" t="str">
        <f>IF(Lottning!$B$8="vakant",O8,"A7")</f>
        <v>A7</v>
      </c>
      <c r="M8" s="3">
        <v>7</v>
      </c>
      <c r="N8" s="21" t="s">
        <v>29</v>
      </c>
      <c r="O8" s="23" t="s">
        <v>31</v>
      </c>
      <c r="P8" s="20"/>
      <c r="T8" s="20"/>
    </row>
    <row r="9" spans="1:20" ht="12.75" hidden="1">
      <c r="A9" s="3">
        <f>+IF(Inställningar!$B$6="nej",Spelordning!E9,Spelordning!I9)</f>
        <v>8</v>
      </c>
      <c r="B9" s="3" t="str">
        <f>+IF(Inställningar!$B$6="nej",Spelordning!F9,Spelordning!J9)</f>
        <v>B2</v>
      </c>
      <c r="C9" s="3" t="str">
        <f>+IF(Inställningar!$B$6="nej",Spelordning!G9,Spelordning!K9)</f>
        <v>B3</v>
      </c>
      <c r="E9" s="3">
        <v>8</v>
      </c>
      <c r="F9" s="3" t="s">
        <v>35</v>
      </c>
      <c r="G9" s="3" t="s">
        <v>36</v>
      </c>
      <c r="I9" s="3">
        <v>8</v>
      </c>
      <c r="J9" s="17" t="str">
        <f>IF(Lottning!$B$8="vakant",N9,"A1")</f>
        <v>A1</v>
      </c>
      <c r="K9" s="17" t="str">
        <f>IF(Lottning!$B$8="vakant",O9,"A3")</f>
        <v>A3</v>
      </c>
      <c r="M9" s="3">
        <v>8</v>
      </c>
      <c r="N9" s="18" t="s">
        <v>27</v>
      </c>
      <c r="O9" s="22" t="s">
        <v>30</v>
      </c>
      <c r="P9" s="20"/>
      <c r="T9" s="20"/>
    </row>
    <row r="10" spans="1:20" ht="12.75" hidden="1">
      <c r="A10" s="3">
        <f>+IF(Inställningar!$B$6="nej",Spelordning!E10,Spelordning!I10)</f>
        <v>9</v>
      </c>
      <c r="B10" s="3" t="str">
        <f>+IF(Inställningar!$B$6="nej",Spelordning!F10,Spelordning!J10)</f>
        <v>A4</v>
      </c>
      <c r="C10" s="3" t="str">
        <f>+IF(Inställningar!$B$6="nej",Spelordning!G10,Spelordning!K10)</f>
        <v>A5</v>
      </c>
      <c r="E10" s="3">
        <v>9</v>
      </c>
      <c r="F10" s="3" t="s">
        <v>30</v>
      </c>
      <c r="G10" s="3" t="s">
        <v>31</v>
      </c>
      <c r="I10" s="3">
        <v>9</v>
      </c>
      <c r="J10" s="17" t="str">
        <f>IF(Lottning!$B$8="vakant",N10,"A2")</f>
        <v>A2</v>
      </c>
      <c r="K10" s="17" t="str">
        <f>IF(Lottning!$B$8="vakant",O10,"A4")</f>
        <v>A4</v>
      </c>
      <c r="M10" s="3">
        <v>9</v>
      </c>
      <c r="N10" s="16" t="s">
        <v>32</v>
      </c>
      <c r="O10" s="19" t="s">
        <v>28</v>
      </c>
      <c r="P10" s="24"/>
      <c r="T10" s="20"/>
    </row>
    <row r="11" spans="1:20" ht="12.75" hidden="1">
      <c r="A11" s="3">
        <f>+IF(Inställningar!$B$6="nej",Spelordning!E11,Spelordning!I11)</f>
        <v>10</v>
      </c>
      <c r="B11" s="3" t="str">
        <f>+IF(Inställningar!$B$6="nej",Spelordning!F11,Spelordning!J11)</f>
        <v>A1</v>
      </c>
      <c r="C11" s="3" t="str">
        <f>+IF(Inställningar!$B$6="nej",Spelordning!G11,Spelordning!K11)</f>
        <v>A3</v>
      </c>
      <c r="E11" s="3">
        <v>10</v>
      </c>
      <c r="F11" s="3" t="s">
        <v>27</v>
      </c>
      <c r="G11" s="3" t="s">
        <v>29</v>
      </c>
      <c r="I11" s="3">
        <v>10</v>
      </c>
      <c r="J11" s="17" t="str">
        <f>IF(Lottning!$B$8="vakant",N11,"A5")</f>
        <v>A5</v>
      </c>
      <c r="K11" s="17" t="str">
        <f>IF(Lottning!$B$8="vakant",O11,"A7")</f>
        <v>A7</v>
      </c>
      <c r="M11" s="3">
        <v>10</v>
      </c>
      <c r="N11" s="18" t="s">
        <v>27</v>
      </c>
      <c r="O11" s="23" t="s">
        <v>31</v>
      </c>
      <c r="P11" s="20"/>
      <c r="T11" s="20"/>
    </row>
    <row r="12" spans="1:20" ht="12.75" hidden="1">
      <c r="A12" s="3">
        <f>+IF(Inställningar!$B$6="nej",Spelordning!E12,Spelordning!I12)</f>
        <v>11</v>
      </c>
      <c r="B12" s="3" t="str">
        <f>+IF(Inställningar!$B$6="nej",Spelordning!F12,Spelordning!J12)</f>
        <v>B4</v>
      </c>
      <c r="C12" s="3" t="str">
        <f>+IF(Inställningar!$B$6="nej",Spelordning!G12,Spelordning!K12)</f>
        <v>B5</v>
      </c>
      <c r="E12" s="3">
        <v>11</v>
      </c>
      <c r="F12" s="3" t="s">
        <v>37</v>
      </c>
      <c r="G12" s="3" t="s">
        <v>38</v>
      </c>
      <c r="I12" s="3">
        <v>11</v>
      </c>
      <c r="J12" s="17" t="str">
        <f>IF(Lottning!$B$8="vakant",N12,"A6")</f>
        <v>A6</v>
      </c>
      <c r="K12" s="17" t="str">
        <f>IF(Lottning!$B$8="vakant",O12,"A4")</f>
        <v>A4</v>
      </c>
      <c r="M12" s="3">
        <v>11</v>
      </c>
      <c r="N12" s="16" t="s">
        <v>32</v>
      </c>
      <c r="O12" s="21" t="s">
        <v>29</v>
      </c>
      <c r="P12" s="20"/>
      <c r="T12" s="20"/>
    </row>
    <row r="13" spans="1:20" ht="12.75" hidden="1">
      <c r="A13" s="3">
        <f>+IF(Inställningar!$B$6="nej",Spelordning!E13,Spelordning!I13)</f>
        <v>12</v>
      </c>
      <c r="B13" s="3" t="str">
        <f>+IF(Inställningar!$B$6="nej",Spelordning!F13,Spelordning!J13)</f>
        <v>B1</v>
      </c>
      <c r="C13" s="3" t="str">
        <f>+IF(Inställningar!$B$6="nej",Spelordning!G13,Spelordning!K13)</f>
        <v>B3</v>
      </c>
      <c r="E13" s="3">
        <v>12</v>
      </c>
      <c r="F13" s="3" t="s">
        <v>34</v>
      </c>
      <c r="G13" s="3" t="s">
        <v>36</v>
      </c>
      <c r="I13" s="3">
        <v>12</v>
      </c>
      <c r="J13" s="17" t="str">
        <f>IF(Lottning!$B$8="vakant",N13,"A1")</f>
        <v>A1</v>
      </c>
      <c r="K13" s="17" t="str">
        <f>IF(Lottning!$B$8="vakant",O13,"A5")</f>
        <v>A5</v>
      </c>
      <c r="M13" s="3">
        <v>12</v>
      </c>
      <c r="N13" s="19" t="s">
        <v>28</v>
      </c>
      <c r="O13" s="22" t="s">
        <v>30</v>
      </c>
      <c r="P13" s="24"/>
      <c r="T13" s="20"/>
    </row>
    <row r="14" spans="1:20" ht="12.75" hidden="1">
      <c r="A14" s="3">
        <f>+IF(Inställningar!$B$6="nej",Spelordning!E14,Spelordning!I14)</f>
        <v>13</v>
      </c>
      <c r="B14" s="3" t="str">
        <f>+IF(Inställningar!$B$6="nej",Spelordning!F14,Spelordning!J14)</f>
        <v>A5</v>
      </c>
      <c r="C14" s="3" t="str">
        <f>+IF(Inställningar!$B$6="nej",Spelordning!G14,Spelordning!K14)</f>
        <v>A2</v>
      </c>
      <c r="E14" s="3">
        <v>13</v>
      </c>
      <c r="F14" s="3" t="s">
        <v>31</v>
      </c>
      <c r="G14" s="3" t="s">
        <v>28</v>
      </c>
      <c r="I14" s="3">
        <v>13</v>
      </c>
      <c r="J14" s="17" t="str">
        <f>IF(Lottning!$B$8="vakant",N14,"A3")</f>
        <v>A3</v>
      </c>
      <c r="K14" s="17" t="str">
        <f>IF(Lottning!$B$8="vakant",O14,"A7")</f>
        <v>A7</v>
      </c>
      <c r="M14" s="3">
        <v>13</v>
      </c>
      <c r="N14" s="18" t="s">
        <v>27</v>
      </c>
      <c r="O14" s="16" t="s">
        <v>32</v>
      </c>
      <c r="P14" s="20"/>
      <c r="T14" s="20"/>
    </row>
    <row r="15" spans="1:20" ht="12.75" hidden="1">
      <c r="A15" s="3">
        <f>+IF(Inställningar!$B$6="nej",Spelordning!E15,Spelordning!I15)</f>
        <v>14</v>
      </c>
      <c r="B15" s="3" t="str">
        <f>+IF(Inställningar!$B$6="nej",Spelordning!F15,Spelordning!J15)</f>
        <v>A4</v>
      </c>
      <c r="C15" s="3" t="str">
        <f>+IF(Inställningar!$B$6="nej",Spelordning!G15,Spelordning!K15)</f>
        <v>A1</v>
      </c>
      <c r="E15" s="3">
        <v>14</v>
      </c>
      <c r="F15" s="3" t="s">
        <v>30</v>
      </c>
      <c r="G15" s="3" t="s">
        <v>27</v>
      </c>
      <c r="I15" s="3">
        <v>14</v>
      </c>
      <c r="J15" s="17" t="str">
        <f>IF(Lottning!$B$8="vakant",N15,"A6")</f>
        <v>A6</v>
      </c>
      <c r="K15" s="17" t="str">
        <f>IF(Lottning!$B$8="vakant",O15,"A2")</f>
        <v>A2</v>
      </c>
      <c r="M15" s="3">
        <v>14</v>
      </c>
      <c r="N15" s="22" t="s">
        <v>30</v>
      </c>
      <c r="O15" s="23" t="s">
        <v>31</v>
      </c>
      <c r="T15" s="20"/>
    </row>
    <row r="16" spans="1:20" ht="12.75" hidden="1">
      <c r="A16" s="3">
        <f>+IF(Inställningar!$B$6="nej",Spelordning!E16,Spelordning!I16)</f>
        <v>15</v>
      </c>
      <c r="B16" s="3" t="str">
        <f>+IF(Inställningar!$B$6="nej",Spelordning!F16,Spelordning!J16)</f>
        <v>B5</v>
      </c>
      <c r="C16" s="3" t="str">
        <f>+IF(Inställningar!$B$6="nej",Spelordning!G16,Spelordning!K16)</f>
        <v>B2</v>
      </c>
      <c r="E16" s="3">
        <v>15</v>
      </c>
      <c r="F16" s="3" t="s">
        <v>38</v>
      </c>
      <c r="G16" s="3" t="s">
        <v>35</v>
      </c>
      <c r="I16" s="3">
        <v>15</v>
      </c>
      <c r="J16" s="17" t="str">
        <f>IF(Lottning!$B$8="vakant",N16,"A1")</f>
        <v>A1</v>
      </c>
      <c r="K16" s="17" t="str">
        <f>IF(Lottning!$B$8="vakant",O16,"A4")</f>
        <v>A4</v>
      </c>
      <c r="M16" s="3">
        <v>15</v>
      </c>
      <c r="N16" s="21" t="s">
        <v>29</v>
      </c>
      <c r="O16" s="19" t="s">
        <v>28</v>
      </c>
      <c r="P16" s="24"/>
      <c r="T16" s="20"/>
    </row>
    <row r="17" spans="1:20" ht="12.75" hidden="1">
      <c r="A17" s="3">
        <f>+IF(Inställningar!$B$6="nej",Spelordning!E17,Spelordning!I17)</f>
        <v>16</v>
      </c>
      <c r="B17" s="3" t="str">
        <f>+IF(Inställningar!$B$6="nej",Spelordning!F17,Spelordning!J17)</f>
        <v>B4</v>
      </c>
      <c r="C17" s="3" t="str">
        <f>+IF(Inställningar!$B$6="nej",Spelordning!G17,Spelordning!K17)</f>
        <v>B1</v>
      </c>
      <c r="E17" s="3">
        <v>16</v>
      </c>
      <c r="F17" s="3" t="s">
        <v>37</v>
      </c>
      <c r="G17" s="3" t="s">
        <v>34</v>
      </c>
      <c r="I17" s="3">
        <v>16</v>
      </c>
      <c r="J17" s="17" t="str">
        <f>IF(Lottning!$B$8="vakant","A7","A2")</f>
        <v>A2</v>
      </c>
      <c r="K17" s="17" t="str">
        <f>IF(Lottning!$B$8="vakant","A7","A5")</f>
        <v>A5</v>
      </c>
      <c r="N17" s="16"/>
      <c r="O17" s="16"/>
      <c r="T17" s="20"/>
    </row>
    <row r="18" spans="1:20" ht="12.75" hidden="1">
      <c r="A18" s="3">
        <f>+IF(Inställningar!$B$6="nej",Spelordning!E18,Spelordning!I18)</f>
        <v>17</v>
      </c>
      <c r="B18" s="3" t="str">
        <f>+IF(Inställningar!$B$6="nej",Spelordning!F18,Spelordning!J18)</f>
        <v>A3</v>
      </c>
      <c r="C18" s="3" t="str">
        <f>+IF(Inställningar!$B$6="nej",Spelordning!G18,Spelordning!K18)</f>
        <v>A5</v>
      </c>
      <c r="E18" s="3">
        <v>17</v>
      </c>
      <c r="F18" s="3" t="s">
        <v>29</v>
      </c>
      <c r="G18" s="3" t="s">
        <v>31</v>
      </c>
      <c r="I18" s="3">
        <v>17</v>
      </c>
      <c r="J18" s="17" t="str">
        <f>IF(Lottning!$B$8="vakant","A7","A3")</f>
        <v>A3</v>
      </c>
      <c r="K18" s="17" t="str">
        <f>IF(Lottning!$B$8="vakant","A7","A6")</f>
        <v>A6</v>
      </c>
      <c r="N18" s="16"/>
      <c r="O18" s="16"/>
      <c r="P18" s="20"/>
      <c r="T18" s="20"/>
    </row>
    <row r="19" spans="1:20" ht="12.75" hidden="1">
      <c r="A19" s="3">
        <f>+IF(Inställningar!$B$6="nej",Spelordning!E19,Spelordning!I19)</f>
        <v>18</v>
      </c>
      <c r="B19" s="3" t="str">
        <f>+IF(Inställningar!$B$6="nej",Spelordning!F19,Spelordning!J19)</f>
        <v>A2</v>
      </c>
      <c r="C19" s="3" t="str">
        <f>+IF(Inställningar!$B$6="nej",Spelordning!G19,Spelordning!K19)</f>
        <v>A4</v>
      </c>
      <c r="E19" s="3">
        <v>18</v>
      </c>
      <c r="F19" s="3" t="s">
        <v>28</v>
      </c>
      <c r="G19" s="3" t="s">
        <v>30</v>
      </c>
      <c r="I19" s="3">
        <v>18</v>
      </c>
      <c r="J19" s="17" t="str">
        <f>IF(Lottning!$B$8="vakant","A7","A7")</f>
        <v>A7</v>
      </c>
      <c r="K19" s="17" t="str">
        <f>IF(Lottning!$B$8="vakant","A7","A2")</f>
        <v>A2</v>
      </c>
      <c r="N19" s="16"/>
      <c r="O19" s="16"/>
      <c r="P19" s="20"/>
      <c r="T19" s="20"/>
    </row>
    <row r="20" spans="1:20" ht="12.75" hidden="1">
      <c r="A20" s="3">
        <f>+IF(Inställningar!$B$6="nej",Spelordning!E20,Spelordning!I20)</f>
        <v>19</v>
      </c>
      <c r="B20" s="3" t="str">
        <f>+IF(Inställningar!$B$6="nej",Spelordning!F20,Spelordning!J20)</f>
        <v>B3</v>
      </c>
      <c r="C20" s="3" t="str">
        <f>+IF(Inställningar!$B$6="nej",Spelordning!G20,Spelordning!K20)</f>
        <v>B5</v>
      </c>
      <c r="E20" s="3">
        <v>19</v>
      </c>
      <c r="F20" s="3" t="s">
        <v>36</v>
      </c>
      <c r="G20" s="3" t="s">
        <v>38</v>
      </c>
      <c r="I20" s="3">
        <v>19</v>
      </c>
      <c r="J20" s="17" t="str">
        <f>IF(Lottning!$B$8="vakant","A7","A5")</f>
        <v>A5</v>
      </c>
      <c r="K20" s="17" t="str">
        <f>IF(Lottning!$B$8="vakant","A7","A3")</f>
        <v>A3</v>
      </c>
      <c r="O20" s="25"/>
      <c r="P20" s="20"/>
      <c r="S20" s="20"/>
      <c r="T20" s="20"/>
    </row>
    <row r="21" spans="1:20" ht="12.75" hidden="1">
      <c r="A21" s="3">
        <f>+IF(Inställningar!$B$6="nej",Spelordning!E21,Spelordning!I21)</f>
        <v>20</v>
      </c>
      <c r="B21" s="3" t="str">
        <f>+IF(Inställningar!$B$6="nej",Spelordning!F21,Spelordning!J21)</f>
        <v>B2</v>
      </c>
      <c r="C21" s="3" t="str">
        <f>+IF(Inställningar!$B$6="nej",Spelordning!G21,Spelordning!K21)</f>
        <v>B4</v>
      </c>
      <c r="E21" s="3">
        <v>20</v>
      </c>
      <c r="F21" s="3" t="s">
        <v>35</v>
      </c>
      <c r="G21" s="3" t="s">
        <v>37</v>
      </c>
      <c r="I21" s="3">
        <v>20</v>
      </c>
      <c r="J21" s="17" t="str">
        <f>IF(Lottning!$B$8="vakant","A7","A1")</f>
        <v>A1</v>
      </c>
      <c r="K21" s="17" t="str">
        <f>IF(Lottning!$B$8="vakant","A7","A6")</f>
        <v>A6</v>
      </c>
      <c r="O21" s="25"/>
      <c r="P21" s="20"/>
      <c r="S21" s="20"/>
      <c r="T21" s="20"/>
    </row>
    <row r="22" spans="1:11" ht="12.75" hidden="1">
      <c r="A22" s="3">
        <f>+IF(Inställningar!$B$6="nej",Spelordning!E22,Spelordning!I22)</f>
        <v>0</v>
      </c>
      <c r="B22" s="3">
        <f>+IF(Inställningar!$B$6="nej",Spelordning!F22,Spelordning!J22)</f>
        <v>0</v>
      </c>
      <c r="C22" s="3">
        <f>+IF(Inställningar!$B$6="nej",Spelordning!G22,Spelordning!K22)</f>
        <v>0</v>
      </c>
      <c r="I22" s="3">
        <v>21</v>
      </c>
      <c r="J22" s="17" t="str">
        <f>IF(Lottning!$B$8="vakant","A7","A4")</f>
        <v>A4</v>
      </c>
      <c r="K22" s="17" t="str">
        <f>IF(Lottning!$B$8="vakant","A7","A7")</f>
        <v>A7</v>
      </c>
    </row>
    <row r="24" ht="12.75" hidden="1">
      <c r="I24" s="3" t="s">
        <v>40</v>
      </c>
    </row>
  </sheetData>
  <sheetProtection sheet="1" objects="1" scenarios="1"/>
  <conditionalFormatting sqref="N2:O16 N18:O19 Q1:R1 Q20:R65536">
    <cfRule type="cellIs" priority="1" dxfId="14" operator="equal" stopIfTrue="1">
      <formula>1</formula>
    </cfRule>
    <cfRule type="cellIs" priority="2" dxfId="13" operator="equal" stopIfTrue="1">
      <formula>2</formula>
    </cfRule>
    <cfRule type="cellIs" priority="3" dxfId="12" operator="equal" stopIfTrue="1">
      <formula>3</formula>
    </cfRule>
  </conditionalFormatting>
  <conditionalFormatting sqref="A6:A65536 D23 E6:E65536">
    <cfRule type="cellIs" priority="4" dxfId="1" operator="equal" stopIfTrue="1">
      <formula>"A3"</formula>
    </cfRule>
  </conditionalFormatting>
  <conditionalFormatting sqref="D19:D22 D24:D65536">
    <cfRule type="cellIs" priority="5" dxfId="1" operator="equal" stopIfTrue="1">
      <formula>"A1"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2"/>
  <dimension ref="A1:G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5.57421875" style="3" customWidth="1"/>
    <col min="3" max="3" width="7.140625" style="3" customWidth="1"/>
    <col min="4" max="4" width="9.140625" style="3" customWidth="1"/>
    <col min="5" max="5" width="12.8515625" style="3" customWidth="1"/>
    <col min="6" max="16384" width="9.140625" style="3" customWidth="1"/>
  </cols>
  <sheetData>
    <row r="1" spans="1:7" ht="12.75">
      <c r="A1" s="3">
        <v>1</v>
      </c>
      <c r="B1" s="26"/>
      <c r="C1" s="26"/>
      <c r="F1" s="26"/>
      <c r="G1" s="26"/>
    </row>
    <row r="2" spans="1:7" ht="12.75">
      <c r="A2" s="3">
        <v>2</v>
      </c>
      <c r="B2" s="26"/>
      <c r="C2" s="26"/>
      <c r="F2" s="26"/>
      <c r="G2" s="26"/>
    </row>
    <row r="3" spans="1:7" ht="12.75">
      <c r="A3" s="3">
        <v>3</v>
      </c>
      <c r="B3" s="26"/>
      <c r="C3" s="26"/>
      <c r="F3" s="26"/>
      <c r="G3" s="26"/>
    </row>
    <row r="4" spans="1:7" ht="12.75">
      <c r="A4" s="3">
        <v>4</v>
      </c>
      <c r="B4" s="26"/>
      <c r="C4" s="26"/>
      <c r="F4" s="26"/>
      <c r="G4" s="26"/>
    </row>
    <row r="5" spans="1:7" ht="12.75">
      <c r="A5" s="3">
        <v>5</v>
      </c>
      <c r="B5" s="26"/>
      <c r="C5" s="26"/>
      <c r="F5" s="26"/>
      <c r="G5" s="26"/>
    </row>
    <row r="6" spans="1:7" ht="12.75">
      <c r="A6" s="3">
        <v>6</v>
      </c>
      <c r="B6" s="26"/>
      <c r="C6" s="26"/>
      <c r="F6" s="26"/>
      <c r="G6" s="26"/>
    </row>
    <row r="7" spans="1:7" ht="12.75">
      <c r="A7" s="3">
        <v>7</v>
      </c>
      <c r="B7" s="26"/>
      <c r="C7" s="26"/>
      <c r="F7" s="26"/>
      <c r="G7" s="26"/>
    </row>
    <row r="8" spans="1:7" ht="12.75">
      <c r="A8" s="3">
        <v>8</v>
      </c>
      <c r="B8" s="26"/>
      <c r="C8" s="26"/>
      <c r="F8" s="26"/>
      <c r="G8" s="26"/>
    </row>
    <row r="9" spans="1:7" ht="12.75">
      <c r="A9" s="3">
        <v>9</v>
      </c>
      <c r="B9" s="26"/>
      <c r="C9" s="26"/>
      <c r="F9" s="26"/>
      <c r="G9" s="26"/>
    </row>
    <row r="10" spans="1:7" ht="12.75">
      <c r="A10" s="3">
        <v>10</v>
      </c>
      <c r="B10" s="26"/>
      <c r="C10" s="26"/>
      <c r="F10" s="26"/>
      <c r="G10" s="26"/>
    </row>
    <row r="11" spans="1:7" ht="12.75">
      <c r="A11" s="3">
        <v>11</v>
      </c>
      <c r="B11" s="26"/>
      <c r="C11" s="26"/>
      <c r="F11" s="26"/>
      <c r="G11" s="26"/>
    </row>
    <row r="12" spans="1:7" ht="12.75">
      <c r="A12" s="3">
        <v>12</v>
      </c>
      <c r="B12" s="26"/>
      <c r="C12" s="26"/>
      <c r="F12" s="26"/>
      <c r="G12" s="26"/>
    </row>
    <row r="13" spans="1:7" ht="12.75">
      <c r="A13" s="3">
        <v>13</v>
      </c>
      <c r="B13" s="26"/>
      <c r="C13" s="26"/>
      <c r="F13" s="26"/>
      <c r="G13" s="26"/>
    </row>
    <row r="14" spans="1:7" ht="12.75">
      <c r="A14" s="3">
        <v>14</v>
      </c>
      <c r="B14" s="26"/>
      <c r="C14" s="26"/>
      <c r="F14" s="26"/>
      <c r="G14" s="26"/>
    </row>
    <row r="15" spans="1:7" ht="12.75">
      <c r="A15" s="3">
        <v>15</v>
      </c>
      <c r="B15" s="26"/>
      <c r="C15" s="26"/>
      <c r="F15" s="26"/>
      <c r="G15" s="26"/>
    </row>
    <row r="16" spans="1:7" ht="12.75">
      <c r="A16" s="3">
        <v>16</v>
      </c>
      <c r="B16" s="26"/>
      <c r="C16" s="26"/>
      <c r="F16" s="26"/>
      <c r="G16" s="26"/>
    </row>
    <row r="17" spans="1:7" ht="12.75">
      <c r="A17" s="3">
        <v>17</v>
      </c>
      <c r="B17" s="26"/>
      <c r="C17" s="26"/>
      <c r="F17" s="26"/>
      <c r="G17" s="26"/>
    </row>
    <row r="18" spans="1:7" ht="12.75">
      <c r="A18" s="3">
        <v>18</v>
      </c>
      <c r="B18" s="26"/>
      <c r="C18" s="26"/>
      <c r="F18" s="26"/>
      <c r="G18" s="26"/>
    </row>
    <row r="19" spans="1:7" ht="12.75">
      <c r="A19" s="3">
        <v>19</v>
      </c>
      <c r="B19" s="26"/>
      <c r="C19" s="26"/>
      <c r="F19" s="26"/>
      <c r="G19" s="26"/>
    </row>
    <row r="20" spans="1:7" ht="12.75">
      <c r="A20" s="3">
        <v>20</v>
      </c>
      <c r="B20" s="26"/>
      <c r="C20" s="26"/>
      <c r="F20" s="26"/>
      <c r="G20" s="26"/>
    </row>
    <row r="21" spans="1:7" ht="12.75">
      <c r="A21" s="3">
        <v>21</v>
      </c>
      <c r="B21" s="26"/>
      <c r="C21" s="26"/>
      <c r="F21" s="26"/>
      <c r="G21" s="26"/>
    </row>
    <row r="22" spans="1:7" ht="12.75">
      <c r="A22" s="3" t="s">
        <v>41</v>
      </c>
      <c r="B22" s="26"/>
      <c r="C22" s="26"/>
      <c r="F22" s="26"/>
      <c r="G22" s="26"/>
    </row>
    <row r="23" spans="1:7" ht="12.75">
      <c r="A23" s="3" t="s">
        <v>42</v>
      </c>
      <c r="B23" s="26"/>
      <c r="C23" s="26"/>
      <c r="F23" s="26"/>
      <c r="G23" s="26"/>
    </row>
    <row r="24" spans="1:7" ht="12.75">
      <c r="A24" s="3" t="s">
        <v>43</v>
      </c>
      <c r="B24" s="26"/>
      <c r="C24" s="26"/>
      <c r="F24" s="26"/>
      <c r="G24" s="26"/>
    </row>
    <row r="25" spans="1:7" ht="12.75">
      <c r="A25" s="3" t="s">
        <v>44</v>
      </c>
      <c r="B25" s="26"/>
      <c r="C25" s="26"/>
      <c r="F25" s="26"/>
      <c r="G25" s="26"/>
    </row>
    <row r="26" spans="6:7" ht="12.75">
      <c r="F26" s="26"/>
      <c r="G26" s="26"/>
    </row>
  </sheetData>
  <sheetProtection sheet="1" objects="1" scenario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/>
  <dimension ref="A1:C12"/>
  <sheetViews>
    <sheetView showGridLines="0" zoomScalePageLayoutView="0" workbookViewId="0" topLeftCell="A65536">
      <selection activeCell="A1" sqref="A1"/>
    </sheetView>
  </sheetViews>
  <sheetFormatPr defaultColWidth="9.140625" defaultRowHeight="12.75" zeroHeight="1"/>
  <cols>
    <col min="1" max="1" width="5.00390625" style="27" customWidth="1"/>
    <col min="2" max="2" width="28.421875" style="27" customWidth="1"/>
    <col min="3" max="3" width="3.28125" style="27" customWidth="1"/>
    <col min="4" max="16384" width="9.140625" style="27" customWidth="1"/>
  </cols>
  <sheetData>
    <row r="1" spans="1:3" ht="20.25" hidden="1">
      <c r="A1" s="27" t="s">
        <v>27</v>
      </c>
      <c r="B1" s="27" t="str">
        <f>+VLOOKUP(A1,Lottning!$A$2:$B$13,2,FALSE)</f>
        <v>Svalövs BK 2</v>
      </c>
      <c r="C1" s="27" t="s">
        <v>45</v>
      </c>
    </row>
    <row r="2" spans="1:3" ht="20.25" hidden="1">
      <c r="A2" s="27" t="s">
        <v>28</v>
      </c>
      <c r="B2" s="27" t="str">
        <f>+VLOOKUP(A2,Lottning!$A$2:$B$13,2,FALSE)</f>
        <v>Dösjöbro IF 1</v>
      </c>
      <c r="C2" s="27" t="s">
        <v>45</v>
      </c>
    </row>
    <row r="3" spans="1:3" ht="20.25" hidden="1">
      <c r="A3" s="27" t="s">
        <v>29</v>
      </c>
      <c r="B3" s="27" t="str">
        <f>+VLOOKUP(A3,Lottning!$A$2:$B$13,2,FALSE)</f>
        <v>IK Wormo</v>
      </c>
      <c r="C3" s="27" t="s">
        <v>45</v>
      </c>
    </row>
    <row r="4" spans="1:3" ht="20.25" hidden="1">
      <c r="A4" s="27" t="s">
        <v>30</v>
      </c>
      <c r="B4" s="27" t="str">
        <f>+VLOOKUP(A4,Lottning!$A$2:$B$13,2,FALSE)</f>
        <v>Häljarps IF 2</v>
      </c>
      <c r="C4" s="27" t="s">
        <v>45</v>
      </c>
    </row>
    <row r="5" spans="1:3" ht="20.25" hidden="1">
      <c r="A5" s="27" t="s">
        <v>31</v>
      </c>
      <c r="B5" s="27" t="str">
        <f>+VLOOKUP(A5,Lottning!$A$2:$B$13,2,FALSE)</f>
        <v>Åstorps FF 1</v>
      </c>
      <c r="C5" s="27" t="s">
        <v>45</v>
      </c>
    </row>
    <row r="6" spans="1:3" ht="20.25" hidden="1">
      <c r="A6" s="27" t="s">
        <v>32</v>
      </c>
      <c r="B6" s="27">
        <f>+VLOOKUP(A6,Lottning!$A$2:$B$13,2,FALSE)</f>
        <v>0</v>
      </c>
      <c r="C6" s="27" t="s">
        <v>45</v>
      </c>
    </row>
    <row r="7" spans="1:3" ht="20.25" hidden="1">
      <c r="A7" s="27" t="s">
        <v>33</v>
      </c>
      <c r="B7" s="27">
        <f>+VLOOKUP(A7,Lottning!$A$2:$B$13,2,FALSE)</f>
        <v>0</v>
      </c>
      <c r="C7" s="27" t="s">
        <v>45</v>
      </c>
    </row>
    <row r="8" spans="1:3" ht="20.25" hidden="1">
      <c r="A8" s="27" t="str">
        <f>+IF(Lottning!A9&gt;0,Lottning!A9,"")</f>
        <v>B1</v>
      </c>
      <c r="B8" s="27" t="str">
        <f>+VLOOKUP(A8,Lottning!$A$2:$B$13,2,FALSE)</f>
        <v>Häljarps IF 1</v>
      </c>
      <c r="C8" s="27" t="s">
        <v>46</v>
      </c>
    </row>
    <row r="9" spans="1:3" ht="20.25" hidden="1">
      <c r="A9" s="27" t="str">
        <f>+IF(Lottning!A10&gt;0,Lottning!A10,"")</f>
        <v>B2</v>
      </c>
      <c r="B9" s="27" t="str">
        <f>+VLOOKUP(A9,Lottning!$A$2:$B$13,2,FALSE)</f>
        <v>Dösjöbro IF 2</v>
      </c>
      <c r="C9" s="27" t="s">
        <v>46</v>
      </c>
    </row>
    <row r="10" spans="1:3" ht="20.25" hidden="1">
      <c r="A10" s="27" t="str">
        <f>+IF(Lottning!A11&gt;0,Lottning!A11,"")</f>
        <v>B3</v>
      </c>
      <c r="B10" s="27" t="str">
        <f>+VLOOKUP(A10,Lottning!$A$2:$B$13,2,FALSE)</f>
        <v>Åstorps FF 2</v>
      </c>
      <c r="C10" s="27" t="s">
        <v>46</v>
      </c>
    </row>
    <row r="11" spans="1:3" ht="20.25" hidden="1">
      <c r="A11" s="27" t="str">
        <f>+IF(Lottning!A12&gt;0,Lottning!A12,"")</f>
        <v>B4</v>
      </c>
      <c r="B11" s="27" t="str">
        <f>+VLOOKUP(A11,Lottning!$A$2:$B$13,2,FALSE)</f>
        <v>Billesholms GIF</v>
      </c>
      <c r="C11" s="27" t="s">
        <v>46</v>
      </c>
    </row>
    <row r="12" spans="1:3" ht="20.25" hidden="1">
      <c r="A12" s="27" t="str">
        <f>+IF(Lottning!A13&gt;0,Lottning!A13,"")</f>
        <v>B5</v>
      </c>
      <c r="B12" s="27" t="str">
        <f>+VLOOKUP(A12,Lottning!$A$2:$B$13,2,FALSE)</f>
        <v>Svalövs BK 1</v>
      </c>
      <c r="C12" s="27" t="s">
        <v>46</v>
      </c>
    </row>
  </sheetData>
  <sheetProtection sheet="1" objects="1" scenario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1:AV66"/>
  <sheetViews>
    <sheetView showGridLines="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C5" sqref="C5"/>
    </sheetView>
  </sheetViews>
  <sheetFormatPr defaultColWidth="0" defaultRowHeight="12.75" zeroHeight="1"/>
  <cols>
    <col min="1" max="1" width="15.7109375" style="28" customWidth="1"/>
    <col min="2" max="2" width="6.57421875" style="29" customWidth="1"/>
    <col min="3" max="3" width="1.1484375" style="30" customWidth="1"/>
    <col min="4" max="4" width="1.57421875" style="31" customWidth="1"/>
    <col min="5" max="5" width="1.1484375" style="30" customWidth="1"/>
    <col min="6" max="6" width="17.8515625" style="30" customWidth="1"/>
    <col min="7" max="7" width="5.421875" style="30" customWidth="1"/>
    <col min="8" max="8" width="17.8515625" style="30" customWidth="1"/>
    <col min="9" max="9" width="1.1484375" style="32" customWidth="1"/>
    <col min="10" max="10" width="3.421875" style="32" customWidth="1"/>
    <col min="11" max="11" width="1.1484375" style="32" customWidth="1"/>
    <col min="12" max="12" width="13.8515625" style="32" customWidth="1"/>
    <col min="13" max="48" width="0" style="33" hidden="1" customWidth="1"/>
    <col min="49" max="16384" width="0" style="34" hidden="1" customWidth="1"/>
  </cols>
  <sheetData>
    <row r="1" spans="2:48" s="32" customFormat="1" ht="18">
      <c r="B1" s="35"/>
      <c r="C1" s="30"/>
      <c r="D1" s="31"/>
      <c r="E1" s="30"/>
      <c r="F1" s="36" t="str">
        <f>+IF(Inställningar!$B$6="nej","GRUPP A","DELTAGANDE LAG")</f>
        <v>GRUPP A</v>
      </c>
      <c r="G1" s="36"/>
      <c r="H1" s="36" t="str">
        <f>+IF(Inställningar!$B$6="nej","GRUPP B","")</f>
        <v>GRUPP B</v>
      </c>
      <c r="I1" s="30"/>
      <c r="J1" s="30"/>
      <c r="K1" s="30"/>
      <c r="L1" s="35"/>
      <c r="M1" s="37"/>
      <c r="N1" s="38"/>
      <c r="O1" s="38"/>
      <c r="P1" s="38"/>
      <c r="Q1" s="38"/>
      <c r="R1" s="38"/>
      <c r="S1" s="38"/>
      <c r="T1" s="38"/>
      <c r="U1" s="38"/>
      <c r="V1" s="38"/>
      <c r="W1" s="38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</row>
    <row r="2" spans="6:12" ht="18">
      <c r="F2" s="39" t="str">
        <f>+IF(Inställningar!$B$6="nej",(Grupper!B1),Lottning!B2)</f>
        <v>Svalövs BK 2</v>
      </c>
      <c r="G2" s="39"/>
      <c r="H2" s="39" t="str">
        <f>+IF(Inställningar!$B$6="nej",(Grupper!B8),"")</f>
        <v>Häljarps IF 1</v>
      </c>
      <c r="I2" s="40"/>
      <c r="J2" s="30"/>
      <c r="K2" s="30"/>
      <c r="L2" s="30"/>
    </row>
    <row r="3" spans="6:12" ht="18">
      <c r="F3" s="39" t="str">
        <f>+IF(Inställningar!$B$6="nej",(Grupper!B2),Lottning!B3)</f>
        <v>Dösjöbro IF 1</v>
      </c>
      <c r="G3" s="39"/>
      <c r="H3" s="39" t="str">
        <f>+IF(Inställningar!$B$6="nej",(Grupper!B9),"")</f>
        <v>Dösjöbro IF 2</v>
      </c>
      <c r="I3" s="40"/>
      <c r="J3" s="30"/>
      <c r="K3" s="30"/>
      <c r="L3" s="30"/>
    </row>
    <row r="4" spans="6:12" ht="18">
      <c r="F4" s="39" t="str">
        <f>+IF(Inställningar!$B$6="nej",(Grupper!B3),Lottning!B4)</f>
        <v>IK Wormo</v>
      </c>
      <c r="G4" s="39"/>
      <c r="H4" s="39" t="str">
        <f>+IF(Inställningar!$B$6="nej",(Grupper!B10),"")</f>
        <v>Åstorps FF 2</v>
      </c>
      <c r="I4" s="40"/>
      <c r="J4" s="30"/>
      <c r="K4" s="30"/>
      <c r="L4" s="28"/>
    </row>
    <row r="5" spans="6:12" ht="18">
      <c r="F5" s="39" t="str">
        <f>+IF(Inställningar!$B$6="nej",(Grupper!B4),Lottning!B5)</f>
        <v>Häljarps IF 2</v>
      </c>
      <c r="G5" s="39"/>
      <c r="H5" s="39" t="str">
        <f>+IF(Inställningar!$B$6="nej",(Grupper!B11),"")</f>
        <v>Billesholms GIF</v>
      </c>
      <c r="I5" s="40"/>
      <c r="J5" s="30"/>
      <c r="K5" s="30"/>
      <c r="L5" s="30"/>
    </row>
    <row r="6" spans="6:12" ht="18">
      <c r="F6" s="39" t="str">
        <f>+IF(Inställningar!$B$6="nej",(Grupper!B5),Lottning!B6)</f>
        <v>Åstorps FF 1</v>
      </c>
      <c r="G6" s="39"/>
      <c r="H6" s="39" t="str">
        <f>+IF(Inställningar!$B$6="nej",(Grupper!B12),"")</f>
        <v>Svalövs BK 1</v>
      </c>
      <c r="I6" s="40"/>
      <c r="J6" s="30"/>
      <c r="K6" s="30"/>
      <c r="L6" s="30"/>
    </row>
    <row r="7" spans="6:12" ht="18">
      <c r="F7" s="39">
        <f>+IF(Inställningar!$B$6="ja",(Grupper!B6),"")</f>
      </c>
      <c r="I7" s="30"/>
      <c r="J7" s="30"/>
      <c r="K7" s="30"/>
      <c r="L7" s="30"/>
    </row>
    <row r="8" spans="6:48" ht="18">
      <c r="F8" s="39">
        <f>(IF(Inställningar!$B$6="ja",(Grupper!B7),""))</f>
      </c>
      <c r="I8" s="30"/>
      <c r="J8" s="30"/>
      <c r="K8" s="30"/>
      <c r="L8" s="30"/>
      <c r="M8" s="33" t="s">
        <v>47</v>
      </c>
      <c r="N8" s="33" t="s">
        <v>47</v>
      </c>
      <c r="O8" s="33" t="s">
        <v>47</v>
      </c>
      <c r="P8" s="33" t="s">
        <v>47</v>
      </c>
      <c r="Q8" s="33" t="s">
        <v>47</v>
      </c>
      <c r="R8" s="33" t="s">
        <v>47</v>
      </c>
      <c r="S8" s="33" t="s">
        <v>47</v>
      </c>
      <c r="T8" s="33" t="s">
        <v>47</v>
      </c>
      <c r="U8" s="33" t="s">
        <v>47</v>
      </c>
      <c r="V8" s="33" t="s">
        <v>47</v>
      </c>
      <c r="W8" s="33" t="s">
        <v>47</v>
      </c>
      <c r="X8" s="33" t="s">
        <v>47</v>
      </c>
      <c r="Y8" s="33" t="s">
        <v>48</v>
      </c>
      <c r="Z8" s="33" t="s">
        <v>48</v>
      </c>
      <c r="AA8" s="33" t="s">
        <v>48</v>
      </c>
      <c r="AB8" s="33" t="s">
        <v>48</v>
      </c>
      <c r="AC8" s="33" t="s">
        <v>48</v>
      </c>
      <c r="AD8" s="33" t="s">
        <v>48</v>
      </c>
      <c r="AE8" s="33" t="s">
        <v>48</v>
      </c>
      <c r="AF8" s="33" t="s">
        <v>48</v>
      </c>
      <c r="AG8" s="33" t="s">
        <v>48</v>
      </c>
      <c r="AH8" s="33" t="s">
        <v>48</v>
      </c>
      <c r="AI8" s="33" t="s">
        <v>48</v>
      </c>
      <c r="AJ8" s="33" t="s">
        <v>48</v>
      </c>
      <c r="AK8" s="33" t="s">
        <v>49</v>
      </c>
      <c r="AL8" s="33" t="s">
        <v>49</v>
      </c>
      <c r="AM8" s="33" t="s">
        <v>49</v>
      </c>
      <c r="AN8" s="33" t="s">
        <v>49</v>
      </c>
      <c r="AO8" s="33" t="s">
        <v>49</v>
      </c>
      <c r="AP8" s="33" t="s">
        <v>49</v>
      </c>
      <c r="AQ8" s="33" t="s">
        <v>49</v>
      </c>
      <c r="AR8" s="33" t="s">
        <v>49</v>
      </c>
      <c r="AS8" s="33" t="s">
        <v>49</v>
      </c>
      <c r="AT8" s="33" t="s">
        <v>49</v>
      </c>
      <c r="AU8" s="33" t="s">
        <v>49</v>
      </c>
      <c r="AV8" s="33" t="s">
        <v>49</v>
      </c>
    </row>
    <row r="9" spans="1:48" s="42" customFormat="1" ht="18">
      <c r="A9" s="28" t="s">
        <v>50</v>
      </c>
      <c r="B9" s="29" t="s">
        <v>51</v>
      </c>
      <c r="C9" s="29" t="s">
        <v>52</v>
      </c>
      <c r="D9" s="36"/>
      <c r="E9" s="29" t="s">
        <v>53</v>
      </c>
      <c r="F9" s="29"/>
      <c r="G9" s="29"/>
      <c r="H9" s="29"/>
      <c r="I9" s="121" t="s">
        <v>54</v>
      </c>
      <c r="J9" s="121"/>
      <c r="K9" s="121"/>
      <c r="L9" s="2" t="s">
        <v>55</v>
      </c>
      <c r="M9" s="41" t="str">
        <f>+$F$2</f>
        <v>Svalövs BK 2</v>
      </c>
      <c r="N9" s="41" t="str">
        <f>+$F$3</f>
        <v>Dösjöbro IF 1</v>
      </c>
      <c r="O9" s="41" t="str">
        <f>+$F$4</f>
        <v>IK Wormo</v>
      </c>
      <c r="P9" s="41" t="str">
        <f>+$F$5</f>
        <v>Häljarps IF 2</v>
      </c>
      <c r="Q9" s="41" t="str">
        <f>+$F$6</f>
        <v>Åstorps FF 1</v>
      </c>
      <c r="R9" s="41">
        <f>F7</f>
      </c>
      <c r="S9" s="41">
        <f>F8</f>
      </c>
      <c r="T9" s="41" t="str">
        <f>+$H$2</f>
        <v>Häljarps IF 1</v>
      </c>
      <c r="U9" s="41" t="str">
        <f>+$H$3</f>
        <v>Dösjöbro IF 2</v>
      </c>
      <c r="V9" s="41" t="str">
        <f>+$H$4</f>
        <v>Åstorps FF 2</v>
      </c>
      <c r="W9" s="41" t="str">
        <f>+$H$5</f>
        <v>Billesholms GIF</v>
      </c>
      <c r="X9" s="41" t="str">
        <f>+H$6</f>
        <v>Svalövs BK 1</v>
      </c>
      <c r="Y9" s="41" t="str">
        <f>+$F$2</f>
        <v>Svalövs BK 2</v>
      </c>
      <c r="Z9" s="41" t="str">
        <f>+$F$3</f>
        <v>Dösjöbro IF 1</v>
      </c>
      <c r="AA9" s="41" t="str">
        <f>+$F$4</f>
        <v>IK Wormo</v>
      </c>
      <c r="AB9" s="41" t="str">
        <f>+$F$5</f>
        <v>Häljarps IF 2</v>
      </c>
      <c r="AC9" s="41" t="str">
        <f>+$F$6</f>
        <v>Åstorps FF 1</v>
      </c>
      <c r="AD9" s="41">
        <f>F7</f>
      </c>
      <c r="AE9" s="41">
        <f>F8</f>
      </c>
      <c r="AF9" s="41" t="str">
        <f>+$H$2</f>
        <v>Häljarps IF 1</v>
      </c>
      <c r="AG9" s="41" t="str">
        <f>+$H$3</f>
        <v>Dösjöbro IF 2</v>
      </c>
      <c r="AH9" s="41" t="str">
        <f>+$H$4</f>
        <v>Åstorps FF 2</v>
      </c>
      <c r="AI9" s="41" t="str">
        <f>+$H$5</f>
        <v>Billesholms GIF</v>
      </c>
      <c r="AJ9" s="41" t="str">
        <f>+$H$6</f>
        <v>Svalövs BK 1</v>
      </c>
      <c r="AK9" s="41" t="str">
        <f>+$F$2</f>
        <v>Svalövs BK 2</v>
      </c>
      <c r="AL9" s="41" t="str">
        <f>+$F$3</f>
        <v>Dösjöbro IF 1</v>
      </c>
      <c r="AM9" s="41" t="str">
        <f>+$F$4</f>
        <v>IK Wormo</v>
      </c>
      <c r="AN9" s="41" t="str">
        <f>+$F$5</f>
        <v>Häljarps IF 2</v>
      </c>
      <c r="AO9" s="41" t="str">
        <f>+$F$6</f>
        <v>Åstorps FF 1</v>
      </c>
      <c r="AP9" s="41">
        <f>F7</f>
      </c>
      <c r="AQ9" s="41">
        <f>F8</f>
      </c>
      <c r="AR9" s="41" t="str">
        <f>+$H$2</f>
        <v>Häljarps IF 1</v>
      </c>
      <c r="AS9" s="41" t="str">
        <f>+$H$3</f>
        <v>Dösjöbro IF 2</v>
      </c>
      <c r="AT9" s="41" t="str">
        <f>+$H$4</f>
        <v>Åstorps FF 2</v>
      </c>
      <c r="AU9" s="41" t="str">
        <f>+$H$5</f>
        <v>Billesholms GIF</v>
      </c>
      <c r="AV9" s="41" t="str">
        <f>+$H$6</f>
        <v>Svalövs BK 1</v>
      </c>
    </row>
    <row r="10" spans="1:48" s="3" customFormat="1" ht="5.25" customHeight="1">
      <c r="A10" s="43"/>
      <c r="B10" s="44"/>
      <c r="C10" s="45"/>
      <c r="D10" s="46"/>
      <c r="E10" s="45"/>
      <c r="F10" s="47"/>
      <c r="G10" s="46"/>
      <c r="H10" s="47"/>
      <c r="I10" s="47"/>
      <c r="J10" s="46"/>
      <c r="K10" s="47"/>
      <c r="L10" s="47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</row>
    <row r="11" spans="1:48" ht="18">
      <c r="A11" s="49">
        <f>(IF(Inställningar!$B$6="NEJ",Matchnummer!A1,Matchnummer!A1))</f>
        <v>1</v>
      </c>
      <c r="B11" s="50" t="str">
        <f>+VLOOKUP(F11,Grupper!$B$1:$C$12,2,FALSE)</f>
        <v>A</v>
      </c>
      <c r="C11" s="51">
        <f>IF(AND(Lottning!$B$2&gt;0,OR(F11=F10,F11=H10,H11=F10,H11=H10)),Inställningar!$B$8+Inställningar!$B$4,Inställningar!$B$8)</f>
        <v>0.3333333333333333</v>
      </c>
      <c r="D11" s="31" t="s">
        <v>56</v>
      </c>
      <c r="E11" s="51">
        <f>IF(AND(Lottning!$B$2&gt;0,OR(F11=F10,F11=H10,H11=F10,H11=H10)),C11+Inställningar!$B$3+Inställningar!$B$4,C11+Inställningar!$B$1)</f>
        <v>0.3423611111111111</v>
      </c>
      <c r="F11" s="30" t="str">
        <f>+VLOOKUP(Spelordning!B2,Lottning!$A$1:$B$13,2,FALSE)</f>
        <v>Svalövs BK 2</v>
      </c>
      <c r="G11" s="31" t="s">
        <v>56</v>
      </c>
      <c r="H11" s="30" t="str">
        <f>+VLOOKUP(Spelordning!C2,Lottning!$A$1:$B$13,2,FALSE)</f>
        <v>Dösjöbro IF 1</v>
      </c>
      <c r="J11" s="31" t="s">
        <v>56</v>
      </c>
      <c r="L11" s="52"/>
      <c r="M11" s="33">
        <f aca="true" t="shared" si="0" ref="M11:X18">IF($L11="X",(OR(AND(M$9=$F11,$I11&gt;$K11,$L11="X"),AND(M$9=$H11,$K11&gt;$I11,$L11="X"))),0)</f>
        <v>0</v>
      </c>
      <c r="N11" s="33">
        <f t="shared" si="0"/>
        <v>0</v>
      </c>
      <c r="O11" s="33">
        <f t="shared" si="0"/>
        <v>0</v>
      </c>
      <c r="P11" s="33">
        <f t="shared" si="0"/>
        <v>0</v>
      </c>
      <c r="Q11" s="33">
        <f t="shared" si="0"/>
        <v>0</v>
      </c>
      <c r="R11" s="33">
        <f t="shared" si="0"/>
        <v>0</v>
      </c>
      <c r="S11" s="33">
        <f t="shared" si="0"/>
        <v>0</v>
      </c>
      <c r="T11" s="33">
        <f t="shared" si="0"/>
        <v>0</v>
      </c>
      <c r="U11" s="33">
        <f t="shared" si="0"/>
        <v>0</v>
      </c>
      <c r="V11" s="33">
        <f t="shared" si="0"/>
        <v>0</v>
      </c>
      <c r="W11" s="33">
        <f t="shared" si="0"/>
        <v>0</v>
      </c>
      <c r="X11" s="33">
        <f t="shared" si="0"/>
        <v>0</v>
      </c>
      <c r="Y11" s="33">
        <f aca="true" t="shared" si="1" ref="Y11:AJ18">IF($L11="X",(OR(AND(Y$9=$F11,$I11&lt;$K11,$L11="X"),AND(Y$9=$H11,$K11&lt;$I11,$L11="X"))),0)</f>
        <v>0</v>
      </c>
      <c r="Z11" s="33">
        <f t="shared" si="1"/>
        <v>0</v>
      </c>
      <c r="AA11" s="33">
        <f t="shared" si="1"/>
        <v>0</v>
      </c>
      <c r="AB11" s="33">
        <f t="shared" si="1"/>
        <v>0</v>
      </c>
      <c r="AC11" s="33">
        <f t="shared" si="1"/>
        <v>0</v>
      </c>
      <c r="AD11" s="33">
        <f t="shared" si="1"/>
        <v>0</v>
      </c>
      <c r="AE11" s="33">
        <f t="shared" si="1"/>
        <v>0</v>
      </c>
      <c r="AF11" s="33">
        <f t="shared" si="1"/>
        <v>0</v>
      </c>
      <c r="AG11" s="33">
        <f t="shared" si="1"/>
        <v>0</v>
      </c>
      <c r="AH11" s="33">
        <f t="shared" si="1"/>
        <v>0</v>
      </c>
      <c r="AI11" s="33">
        <f t="shared" si="1"/>
        <v>0</v>
      </c>
      <c r="AJ11" s="33">
        <f t="shared" si="1"/>
        <v>0</v>
      </c>
      <c r="AK11" s="33">
        <f aca="true" t="shared" si="2" ref="AK11:AV18">IF($L11="X",(OR(AND(AK$9=$F11,$I11=$K11,$L11="X"),AND(AK$9=$H11,$K11=$I11,$L11="X"))),0)</f>
        <v>0</v>
      </c>
      <c r="AL11" s="33">
        <f t="shared" si="2"/>
        <v>0</v>
      </c>
      <c r="AM11" s="33">
        <f t="shared" si="2"/>
        <v>0</v>
      </c>
      <c r="AN11" s="33">
        <f t="shared" si="2"/>
        <v>0</v>
      </c>
      <c r="AO11" s="33">
        <f t="shared" si="2"/>
        <v>0</v>
      </c>
      <c r="AP11" s="33">
        <f t="shared" si="2"/>
        <v>0</v>
      </c>
      <c r="AQ11" s="33">
        <f t="shared" si="2"/>
        <v>0</v>
      </c>
      <c r="AR11" s="33">
        <f t="shared" si="2"/>
        <v>0</v>
      </c>
      <c r="AS11" s="33">
        <f t="shared" si="2"/>
        <v>0</v>
      </c>
      <c r="AT11" s="33">
        <f t="shared" si="2"/>
        <v>0</v>
      </c>
      <c r="AU11" s="33">
        <f t="shared" si="2"/>
        <v>0</v>
      </c>
      <c r="AV11" s="33">
        <f t="shared" si="2"/>
        <v>0</v>
      </c>
    </row>
    <row r="12" spans="1:48" ht="18">
      <c r="A12" s="49">
        <f>(IF(Inställningar!$B$6="NEJ",Matchnummer!A2,Matchnummer!A2))</f>
        <v>2</v>
      </c>
      <c r="B12" s="50" t="str">
        <f>+VLOOKUP(F12,Grupper!$B$1:$C$12,2,FALSE)</f>
        <v>A</v>
      </c>
      <c r="C12" s="51">
        <f>IF(AND(Lottning!$B$2&gt;0,OR(F12=F11,F12=H11,H12=F11,H12=H11)),E11+Inställningar!$B$3+Inställningar!$B$4,E11+Inställningar!$B$3)</f>
        <v>0.34305555555555556</v>
      </c>
      <c r="D12" s="31" t="s">
        <v>56</v>
      </c>
      <c r="E12" s="51">
        <f>IF(AND(Lottning!$B$2&gt;0,OR(F12=F11,F12=H11,H12=F11,H12=H11)),C12+Inställningar!$B$3+Inställningar!$B$4,C12+Inställningar!$B$1)</f>
        <v>0.35208333333333336</v>
      </c>
      <c r="F12" s="30" t="str">
        <f>+VLOOKUP(Spelordning!B3,Lottning!$A$1:$B$13,2,FALSE)</f>
        <v>IK Wormo</v>
      </c>
      <c r="G12" s="31" t="s">
        <v>56</v>
      </c>
      <c r="H12" s="30" t="str">
        <f>+VLOOKUP(Spelordning!C3,Lottning!$A$1:$B$13,2,FALSE)</f>
        <v>Häljarps IF 2</v>
      </c>
      <c r="J12" s="31" t="s">
        <v>56</v>
      </c>
      <c r="L12" s="52"/>
      <c r="M12" s="33">
        <f t="shared" si="0"/>
        <v>0</v>
      </c>
      <c r="N12" s="33">
        <f t="shared" si="0"/>
        <v>0</v>
      </c>
      <c r="O12" s="33">
        <f t="shared" si="0"/>
        <v>0</v>
      </c>
      <c r="P12" s="33">
        <f t="shared" si="0"/>
        <v>0</v>
      </c>
      <c r="Q12" s="33">
        <f t="shared" si="0"/>
        <v>0</v>
      </c>
      <c r="R12" s="33">
        <f t="shared" si="0"/>
        <v>0</v>
      </c>
      <c r="S12" s="33">
        <f t="shared" si="0"/>
        <v>0</v>
      </c>
      <c r="T12" s="33">
        <f t="shared" si="0"/>
        <v>0</v>
      </c>
      <c r="U12" s="33">
        <f t="shared" si="0"/>
        <v>0</v>
      </c>
      <c r="V12" s="33">
        <f t="shared" si="0"/>
        <v>0</v>
      </c>
      <c r="W12" s="33">
        <f t="shared" si="0"/>
        <v>0</v>
      </c>
      <c r="X12" s="33">
        <f t="shared" si="0"/>
        <v>0</v>
      </c>
      <c r="Y12" s="33">
        <f t="shared" si="1"/>
        <v>0</v>
      </c>
      <c r="Z12" s="33">
        <f t="shared" si="1"/>
        <v>0</v>
      </c>
      <c r="AA12" s="33">
        <f t="shared" si="1"/>
        <v>0</v>
      </c>
      <c r="AB12" s="33">
        <f t="shared" si="1"/>
        <v>0</v>
      </c>
      <c r="AC12" s="33">
        <f t="shared" si="1"/>
        <v>0</v>
      </c>
      <c r="AD12" s="33">
        <f t="shared" si="1"/>
        <v>0</v>
      </c>
      <c r="AE12" s="33">
        <f t="shared" si="1"/>
        <v>0</v>
      </c>
      <c r="AF12" s="33">
        <f t="shared" si="1"/>
        <v>0</v>
      </c>
      <c r="AG12" s="33">
        <f t="shared" si="1"/>
        <v>0</v>
      </c>
      <c r="AH12" s="33">
        <f t="shared" si="1"/>
        <v>0</v>
      </c>
      <c r="AI12" s="33">
        <f t="shared" si="1"/>
        <v>0</v>
      </c>
      <c r="AJ12" s="33">
        <f t="shared" si="1"/>
        <v>0</v>
      </c>
      <c r="AK12" s="33">
        <f t="shared" si="2"/>
        <v>0</v>
      </c>
      <c r="AL12" s="33">
        <f t="shared" si="2"/>
        <v>0</v>
      </c>
      <c r="AM12" s="33">
        <f t="shared" si="2"/>
        <v>0</v>
      </c>
      <c r="AN12" s="33">
        <f t="shared" si="2"/>
        <v>0</v>
      </c>
      <c r="AO12" s="33">
        <f t="shared" si="2"/>
        <v>0</v>
      </c>
      <c r="AP12" s="33">
        <f t="shared" si="2"/>
        <v>0</v>
      </c>
      <c r="AQ12" s="33">
        <f t="shared" si="2"/>
        <v>0</v>
      </c>
      <c r="AR12" s="33">
        <f t="shared" si="2"/>
        <v>0</v>
      </c>
      <c r="AS12" s="33">
        <f t="shared" si="2"/>
        <v>0</v>
      </c>
      <c r="AT12" s="33">
        <f t="shared" si="2"/>
        <v>0</v>
      </c>
      <c r="AU12" s="33">
        <f t="shared" si="2"/>
        <v>0</v>
      </c>
      <c r="AV12" s="33">
        <f t="shared" si="2"/>
        <v>0</v>
      </c>
    </row>
    <row r="13" spans="1:48" ht="18">
      <c r="A13" s="49">
        <f>(IF(Inställningar!$B$6="NEJ",Matchnummer!A3,Matchnummer!A3))</f>
        <v>3</v>
      </c>
      <c r="B13" s="50" t="str">
        <f>+VLOOKUP(F13,Grupper!$B$1:$C$12,2,FALSE)</f>
        <v>B</v>
      </c>
      <c r="C13" s="51">
        <f>IF(AND(Lottning!$B$2&gt;0,OR(F13=F12,F13=H12,H13=F12,H13=H12)),E12+Inställningar!$B$3+Inställningar!$B$4,E12+Inställningar!$B$3)</f>
        <v>0.3527777777777778</v>
      </c>
      <c r="D13" s="31" t="s">
        <v>56</v>
      </c>
      <c r="E13" s="51">
        <f>IF(AND(Lottning!$B$2&gt;0,OR(F13=F12,F13=H12,H13=F12,H13=H12)),C13+Inställningar!$B$3+Inställningar!$B$4,C13+Inställningar!$B$1)</f>
        <v>0.3618055555555556</v>
      </c>
      <c r="F13" s="30" t="str">
        <f>+VLOOKUP(Spelordning!B4,Lottning!$A$1:$B$13,2,FALSE)</f>
        <v>Häljarps IF 1</v>
      </c>
      <c r="G13" s="31" t="s">
        <v>56</v>
      </c>
      <c r="H13" s="30" t="str">
        <f>+VLOOKUP(Spelordning!C4,Lottning!$A$1:$B$13,2,FALSE)</f>
        <v>Dösjöbro IF 2</v>
      </c>
      <c r="J13" s="31" t="s">
        <v>56</v>
      </c>
      <c r="L13" s="52"/>
      <c r="M13" s="33">
        <f t="shared" si="0"/>
        <v>0</v>
      </c>
      <c r="N13" s="33">
        <f t="shared" si="0"/>
        <v>0</v>
      </c>
      <c r="O13" s="33">
        <f t="shared" si="0"/>
        <v>0</v>
      </c>
      <c r="P13" s="33">
        <f t="shared" si="0"/>
        <v>0</v>
      </c>
      <c r="Q13" s="33">
        <f t="shared" si="0"/>
        <v>0</v>
      </c>
      <c r="R13" s="33">
        <f t="shared" si="0"/>
        <v>0</v>
      </c>
      <c r="S13" s="33">
        <f t="shared" si="0"/>
        <v>0</v>
      </c>
      <c r="T13" s="33">
        <f t="shared" si="0"/>
        <v>0</v>
      </c>
      <c r="U13" s="33">
        <f t="shared" si="0"/>
        <v>0</v>
      </c>
      <c r="V13" s="33">
        <f t="shared" si="0"/>
        <v>0</v>
      </c>
      <c r="W13" s="33">
        <f t="shared" si="0"/>
        <v>0</v>
      </c>
      <c r="X13" s="33">
        <f t="shared" si="0"/>
        <v>0</v>
      </c>
      <c r="Y13" s="33">
        <f t="shared" si="1"/>
        <v>0</v>
      </c>
      <c r="Z13" s="33">
        <f t="shared" si="1"/>
        <v>0</v>
      </c>
      <c r="AA13" s="33">
        <f t="shared" si="1"/>
        <v>0</v>
      </c>
      <c r="AB13" s="33">
        <f t="shared" si="1"/>
        <v>0</v>
      </c>
      <c r="AC13" s="33">
        <f t="shared" si="1"/>
        <v>0</v>
      </c>
      <c r="AD13" s="33">
        <f t="shared" si="1"/>
        <v>0</v>
      </c>
      <c r="AE13" s="33">
        <f t="shared" si="1"/>
        <v>0</v>
      </c>
      <c r="AF13" s="33">
        <f t="shared" si="1"/>
        <v>0</v>
      </c>
      <c r="AG13" s="33">
        <f t="shared" si="1"/>
        <v>0</v>
      </c>
      <c r="AH13" s="33">
        <f t="shared" si="1"/>
        <v>0</v>
      </c>
      <c r="AI13" s="33">
        <f t="shared" si="1"/>
        <v>0</v>
      </c>
      <c r="AJ13" s="33">
        <f t="shared" si="1"/>
        <v>0</v>
      </c>
      <c r="AK13" s="33">
        <f t="shared" si="2"/>
        <v>0</v>
      </c>
      <c r="AL13" s="33">
        <f t="shared" si="2"/>
        <v>0</v>
      </c>
      <c r="AM13" s="33">
        <f t="shared" si="2"/>
        <v>0</v>
      </c>
      <c r="AN13" s="33">
        <f t="shared" si="2"/>
        <v>0</v>
      </c>
      <c r="AO13" s="33">
        <f t="shared" si="2"/>
        <v>0</v>
      </c>
      <c r="AP13" s="33">
        <f t="shared" si="2"/>
        <v>0</v>
      </c>
      <c r="AQ13" s="33">
        <f t="shared" si="2"/>
        <v>0</v>
      </c>
      <c r="AR13" s="33">
        <f t="shared" si="2"/>
        <v>0</v>
      </c>
      <c r="AS13" s="33">
        <f t="shared" si="2"/>
        <v>0</v>
      </c>
      <c r="AT13" s="33">
        <f t="shared" si="2"/>
        <v>0</v>
      </c>
      <c r="AU13" s="33">
        <f t="shared" si="2"/>
        <v>0</v>
      </c>
      <c r="AV13" s="33">
        <f t="shared" si="2"/>
        <v>0</v>
      </c>
    </row>
    <row r="14" spans="1:48" ht="18">
      <c r="A14" s="49">
        <f>(IF(Inställningar!$B$6="NEJ",Matchnummer!A4,Matchnummer!A4))</f>
        <v>4</v>
      </c>
      <c r="B14" s="50" t="str">
        <f>+VLOOKUP(F14,Grupper!$B$1:$C$12,2,FALSE)</f>
        <v>B</v>
      </c>
      <c r="C14" s="51">
        <f>IF(AND(Lottning!$B$2&gt;0,OR(F14=F13,F14=H13,H14=F13,H14=H13)),E13+Inställningar!$B$3+Inställningar!$B$4,E13+Inställningar!$B$3)</f>
        <v>0.36250000000000004</v>
      </c>
      <c r="D14" s="31" t="s">
        <v>56</v>
      </c>
      <c r="E14" s="51">
        <f>IF(AND(Lottning!$B$2&gt;0,OR(F14=F13,F14=H13,H14=F13,H14=H13)),C14+Inställningar!$B$3+Inställningar!$B$4,C14+Inställningar!$B$1)</f>
        <v>0.37152777777777785</v>
      </c>
      <c r="F14" s="30" t="str">
        <f>+VLOOKUP(Spelordning!B5,Lottning!$A$1:$B$13,2,FALSE)</f>
        <v>Åstorps FF 2</v>
      </c>
      <c r="G14" s="31" t="s">
        <v>56</v>
      </c>
      <c r="H14" s="30" t="str">
        <f>+VLOOKUP(Spelordning!C5,Lottning!$A$1:$B$13,2,FALSE)</f>
        <v>Billesholms GIF</v>
      </c>
      <c r="J14" s="31" t="s">
        <v>56</v>
      </c>
      <c r="L14" s="52"/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0</v>
      </c>
      <c r="Q14" s="33">
        <f t="shared" si="0"/>
        <v>0</v>
      </c>
      <c r="R14" s="33">
        <f t="shared" si="0"/>
        <v>0</v>
      </c>
      <c r="S14" s="33">
        <f t="shared" si="0"/>
        <v>0</v>
      </c>
      <c r="T14" s="33">
        <f t="shared" si="0"/>
        <v>0</v>
      </c>
      <c r="U14" s="33">
        <f t="shared" si="0"/>
        <v>0</v>
      </c>
      <c r="V14" s="33">
        <f t="shared" si="0"/>
        <v>0</v>
      </c>
      <c r="W14" s="33">
        <f t="shared" si="0"/>
        <v>0</v>
      </c>
      <c r="X14" s="33">
        <f t="shared" si="0"/>
        <v>0</v>
      </c>
      <c r="Y14" s="33">
        <f t="shared" si="1"/>
        <v>0</v>
      </c>
      <c r="Z14" s="33">
        <f t="shared" si="1"/>
        <v>0</v>
      </c>
      <c r="AA14" s="33">
        <f t="shared" si="1"/>
        <v>0</v>
      </c>
      <c r="AB14" s="33">
        <f t="shared" si="1"/>
        <v>0</v>
      </c>
      <c r="AC14" s="33">
        <f t="shared" si="1"/>
        <v>0</v>
      </c>
      <c r="AD14" s="33">
        <f t="shared" si="1"/>
        <v>0</v>
      </c>
      <c r="AE14" s="33">
        <f t="shared" si="1"/>
        <v>0</v>
      </c>
      <c r="AF14" s="33">
        <f t="shared" si="1"/>
        <v>0</v>
      </c>
      <c r="AG14" s="33">
        <f t="shared" si="1"/>
        <v>0</v>
      </c>
      <c r="AH14" s="33">
        <f t="shared" si="1"/>
        <v>0</v>
      </c>
      <c r="AI14" s="33">
        <f t="shared" si="1"/>
        <v>0</v>
      </c>
      <c r="AJ14" s="33">
        <f t="shared" si="1"/>
        <v>0</v>
      </c>
      <c r="AK14" s="33">
        <f t="shared" si="2"/>
        <v>0</v>
      </c>
      <c r="AL14" s="33">
        <f t="shared" si="2"/>
        <v>0</v>
      </c>
      <c r="AM14" s="33">
        <f t="shared" si="2"/>
        <v>0</v>
      </c>
      <c r="AN14" s="33">
        <f t="shared" si="2"/>
        <v>0</v>
      </c>
      <c r="AO14" s="33">
        <f t="shared" si="2"/>
        <v>0</v>
      </c>
      <c r="AP14" s="33">
        <f t="shared" si="2"/>
        <v>0</v>
      </c>
      <c r="AQ14" s="33">
        <f t="shared" si="2"/>
        <v>0</v>
      </c>
      <c r="AR14" s="33">
        <f t="shared" si="2"/>
        <v>0</v>
      </c>
      <c r="AS14" s="33">
        <f t="shared" si="2"/>
        <v>0</v>
      </c>
      <c r="AT14" s="33">
        <f t="shared" si="2"/>
        <v>0</v>
      </c>
      <c r="AU14" s="33">
        <f t="shared" si="2"/>
        <v>0</v>
      </c>
      <c r="AV14" s="33">
        <f t="shared" si="2"/>
        <v>0</v>
      </c>
    </row>
    <row r="15" spans="1:48" s="3" customFormat="1" ht="5.25" customHeight="1">
      <c r="A15" s="43"/>
      <c r="B15" s="44"/>
      <c r="C15" s="45"/>
      <c r="D15" s="46"/>
      <c r="E15" s="45"/>
      <c r="F15" s="47"/>
      <c r="G15" s="46"/>
      <c r="H15" s="47"/>
      <c r="I15" s="47"/>
      <c r="J15" s="46"/>
      <c r="K15" s="47"/>
      <c r="L15" s="47"/>
      <c r="M15" s="33">
        <f t="shared" si="0"/>
        <v>0</v>
      </c>
      <c r="N15" s="33">
        <f t="shared" si="0"/>
        <v>0</v>
      </c>
      <c r="O15" s="33">
        <f t="shared" si="0"/>
        <v>0</v>
      </c>
      <c r="P15" s="33">
        <f t="shared" si="0"/>
        <v>0</v>
      </c>
      <c r="Q15" s="33">
        <f t="shared" si="0"/>
        <v>0</v>
      </c>
      <c r="R15" s="33">
        <f t="shared" si="0"/>
        <v>0</v>
      </c>
      <c r="S15" s="33">
        <f t="shared" si="0"/>
        <v>0</v>
      </c>
      <c r="T15" s="33">
        <f t="shared" si="0"/>
        <v>0</v>
      </c>
      <c r="U15" s="33">
        <f t="shared" si="0"/>
        <v>0</v>
      </c>
      <c r="V15" s="33">
        <f t="shared" si="0"/>
        <v>0</v>
      </c>
      <c r="W15" s="33">
        <f t="shared" si="0"/>
        <v>0</v>
      </c>
      <c r="X15" s="33">
        <f t="shared" si="0"/>
        <v>0</v>
      </c>
      <c r="Y15" s="33">
        <f t="shared" si="1"/>
        <v>0</v>
      </c>
      <c r="Z15" s="33">
        <f t="shared" si="1"/>
        <v>0</v>
      </c>
      <c r="AA15" s="33">
        <f t="shared" si="1"/>
        <v>0</v>
      </c>
      <c r="AB15" s="33">
        <f t="shared" si="1"/>
        <v>0</v>
      </c>
      <c r="AC15" s="33">
        <f t="shared" si="1"/>
        <v>0</v>
      </c>
      <c r="AD15" s="33">
        <f t="shared" si="1"/>
        <v>0</v>
      </c>
      <c r="AE15" s="33">
        <f t="shared" si="1"/>
        <v>0</v>
      </c>
      <c r="AF15" s="33">
        <f t="shared" si="1"/>
        <v>0</v>
      </c>
      <c r="AG15" s="33">
        <f t="shared" si="1"/>
        <v>0</v>
      </c>
      <c r="AH15" s="33">
        <f t="shared" si="1"/>
        <v>0</v>
      </c>
      <c r="AI15" s="33">
        <f t="shared" si="1"/>
        <v>0</v>
      </c>
      <c r="AJ15" s="33">
        <f t="shared" si="1"/>
        <v>0</v>
      </c>
      <c r="AK15" s="33">
        <f t="shared" si="2"/>
        <v>0</v>
      </c>
      <c r="AL15" s="33">
        <f t="shared" si="2"/>
        <v>0</v>
      </c>
      <c r="AM15" s="33">
        <f t="shared" si="2"/>
        <v>0</v>
      </c>
      <c r="AN15" s="33">
        <f t="shared" si="2"/>
        <v>0</v>
      </c>
      <c r="AO15" s="33">
        <f t="shared" si="2"/>
        <v>0</v>
      </c>
      <c r="AP15" s="33">
        <f t="shared" si="2"/>
        <v>0</v>
      </c>
      <c r="AQ15" s="33">
        <f t="shared" si="2"/>
        <v>0</v>
      </c>
      <c r="AR15" s="33">
        <f t="shared" si="2"/>
        <v>0</v>
      </c>
      <c r="AS15" s="33">
        <f t="shared" si="2"/>
        <v>0</v>
      </c>
      <c r="AT15" s="33">
        <f t="shared" si="2"/>
        <v>0</v>
      </c>
      <c r="AU15" s="33">
        <f t="shared" si="2"/>
        <v>0</v>
      </c>
      <c r="AV15" s="33">
        <f t="shared" si="2"/>
        <v>0</v>
      </c>
    </row>
    <row r="16" spans="1:48" ht="18">
      <c r="A16" s="49">
        <f>(IF(Inställningar!$B$6="NEJ",Matchnummer!A5,Matchnummer!A5))</f>
        <v>5</v>
      </c>
      <c r="B16" s="50" t="str">
        <f>+VLOOKUP(F16,Grupper!$B$1:$C$12,2,FALSE)</f>
        <v>A</v>
      </c>
      <c r="C16" s="51">
        <f>IF(AND(Lottning!$B$2&gt;0,OR(F16=F14,F16=H14,H16=F14,H16=H14)),E14+Inställningar!$B$3+Inställningar!$B$4,E14+Inställningar!$B$3)</f>
        <v>0.3722222222222223</v>
      </c>
      <c r="D16" s="31" t="s">
        <v>56</v>
      </c>
      <c r="E16" s="51">
        <f>IF(AND(Lottning!$B$2&gt;0,OR(F16=F15,F16=H15,H16=F15,H16=H15)),C16+Inställningar!$B$3+Inställningar!$B$4,C16+Inställningar!$B$1)</f>
        <v>0.3812500000000001</v>
      </c>
      <c r="F16" s="30" t="str">
        <f>+VLOOKUP(Spelordning!B6,Lottning!$A$1:$B$13,2,FALSE)</f>
        <v>Åstorps FF 1</v>
      </c>
      <c r="G16" s="31" t="s">
        <v>56</v>
      </c>
      <c r="H16" s="30" t="str">
        <f>+VLOOKUP(Spelordning!C6,Lottning!$A$1:$B$13,2,FALSE)</f>
        <v>Svalövs BK 2</v>
      </c>
      <c r="J16" s="31" t="s">
        <v>56</v>
      </c>
      <c r="L16" s="52"/>
      <c r="M16" s="33">
        <f t="shared" si="0"/>
        <v>0</v>
      </c>
      <c r="N16" s="33">
        <f t="shared" si="0"/>
        <v>0</v>
      </c>
      <c r="O16" s="33">
        <f t="shared" si="0"/>
        <v>0</v>
      </c>
      <c r="P16" s="33">
        <f t="shared" si="0"/>
        <v>0</v>
      </c>
      <c r="Q16" s="33">
        <f t="shared" si="0"/>
        <v>0</v>
      </c>
      <c r="R16" s="33">
        <f t="shared" si="0"/>
        <v>0</v>
      </c>
      <c r="S16" s="33">
        <f t="shared" si="0"/>
        <v>0</v>
      </c>
      <c r="T16" s="33">
        <f t="shared" si="0"/>
        <v>0</v>
      </c>
      <c r="U16" s="33">
        <f t="shared" si="0"/>
        <v>0</v>
      </c>
      <c r="V16" s="33">
        <f t="shared" si="0"/>
        <v>0</v>
      </c>
      <c r="W16" s="33">
        <f t="shared" si="0"/>
        <v>0</v>
      </c>
      <c r="X16" s="33">
        <f t="shared" si="0"/>
        <v>0</v>
      </c>
      <c r="Y16" s="33">
        <f t="shared" si="1"/>
        <v>0</v>
      </c>
      <c r="Z16" s="33">
        <f t="shared" si="1"/>
        <v>0</v>
      </c>
      <c r="AA16" s="33">
        <f t="shared" si="1"/>
        <v>0</v>
      </c>
      <c r="AB16" s="33">
        <f t="shared" si="1"/>
        <v>0</v>
      </c>
      <c r="AC16" s="33">
        <f t="shared" si="1"/>
        <v>0</v>
      </c>
      <c r="AD16" s="33">
        <f t="shared" si="1"/>
        <v>0</v>
      </c>
      <c r="AE16" s="33">
        <f t="shared" si="1"/>
        <v>0</v>
      </c>
      <c r="AF16" s="33">
        <f t="shared" si="1"/>
        <v>0</v>
      </c>
      <c r="AG16" s="33">
        <f t="shared" si="1"/>
        <v>0</v>
      </c>
      <c r="AH16" s="33">
        <f t="shared" si="1"/>
        <v>0</v>
      </c>
      <c r="AI16" s="33">
        <f t="shared" si="1"/>
        <v>0</v>
      </c>
      <c r="AJ16" s="33">
        <f t="shared" si="1"/>
        <v>0</v>
      </c>
      <c r="AK16" s="33">
        <f t="shared" si="2"/>
        <v>0</v>
      </c>
      <c r="AL16" s="33">
        <f t="shared" si="2"/>
        <v>0</v>
      </c>
      <c r="AM16" s="33">
        <f t="shared" si="2"/>
        <v>0</v>
      </c>
      <c r="AN16" s="33">
        <f t="shared" si="2"/>
        <v>0</v>
      </c>
      <c r="AO16" s="33">
        <f t="shared" si="2"/>
        <v>0</v>
      </c>
      <c r="AP16" s="33">
        <f t="shared" si="2"/>
        <v>0</v>
      </c>
      <c r="AQ16" s="33">
        <f t="shared" si="2"/>
        <v>0</v>
      </c>
      <c r="AR16" s="33">
        <f t="shared" si="2"/>
        <v>0</v>
      </c>
      <c r="AS16" s="33">
        <f t="shared" si="2"/>
        <v>0</v>
      </c>
      <c r="AT16" s="33">
        <f t="shared" si="2"/>
        <v>0</v>
      </c>
      <c r="AU16" s="33">
        <f t="shared" si="2"/>
        <v>0</v>
      </c>
      <c r="AV16" s="33">
        <f t="shared" si="2"/>
        <v>0</v>
      </c>
    </row>
    <row r="17" spans="1:48" ht="18">
      <c r="A17" s="49">
        <f>(IF(Inställningar!$B$6="NEJ",Matchnummer!A6,Matchnummer!A6))</f>
        <v>6</v>
      </c>
      <c r="B17" s="50" t="str">
        <f>+VLOOKUP(F17,Grupper!$B$1:$C$12,2,FALSE)</f>
        <v>A</v>
      </c>
      <c r="C17" s="51">
        <f>IF(AND(Lottning!$B$2&gt;0,OR(F17=F15,F17=H15,H17=F15,H17=H15)),E16+Inställningar!$B$3+Inställningar!$B$4,E16+Inställningar!$B$3)</f>
        <v>0.38194444444444453</v>
      </c>
      <c r="D17" s="31" t="s">
        <v>56</v>
      </c>
      <c r="E17" s="51">
        <f>IF(AND(Lottning!$B$2&gt;0,OR(F17=F16,F17=H16,H17=F16,H17=H16)),C17+Inställningar!$B$3+Inställningar!$B$4,C17+Inställningar!$B$1)</f>
        <v>0.39097222222222233</v>
      </c>
      <c r="F17" s="30" t="str">
        <f>+VLOOKUP(Spelordning!B7,Lottning!$A$1:$B$13,2,FALSE)</f>
        <v>Dösjöbro IF 1</v>
      </c>
      <c r="G17" s="31" t="s">
        <v>56</v>
      </c>
      <c r="H17" s="30" t="str">
        <f>+VLOOKUP(Spelordning!C7,Lottning!$A$1:$B$13,2,FALSE)</f>
        <v>IK Wormo</v>
      </c>
      <c r="J17" s="31" t="s">
        <v>56</v>
      </c>
      <c r="L17" s="52"/>
      <c r="M17" s="33">
        <f t="shared" si="0"/>
        <v>0</v>
      </c>
      <c r="N17" s="33">
        <f t="shared" si="0"/>
        <v>0</v>
      </c>
      <c r="O17" s="33">
        <f t="shared" si="0"/>
        <v>0</v>
      </c>
      <c r="P17" s="33">
        <f t="shared" si="0"/>
        <v>0</v>
      </c>
      <c r="Q17" s="33">
        <f t="shared" si="0"/>
        <v>0</v>
      </c>
      <c r="R17" s="33">
        <f t="shared" si="0"/>
        <v>0</v>
      </c>
      <c r="S17" s="33">
        <f t="shared" si="0"/>
        <v>0</v>
      </c>
      <c r="T17" s="33">
        <f t="shared" si="0"/>
        <v>0</v>
      </c>
      <c r="U17" s="33">
        <f t="shared" si="0"/>
        <v>0</v>
      </c>
      <c r="V17" s="33">
        <f t="shared" si="0"/>
        <v>0</v>
      </c>
      <c r="W17" s="33">
        <f t="shared" si="0"/>
        <v>0</v>
      </c>
      <c r="X17" s="33">
        <f t="shared" si="0"/>
        <v>0</v>
      </c>
      <c r="Y17" s="33">
        <f t="shared" si="1"/>
        <v>0</v>
      </c>
      <c r="Z17" s="33">
        <f t="shared" si="1"/>
        <v>0</v>
      </c>
      <c r="AA17" s="33">
        <f t="shared" si="1"/>
        <v>0</v>
      </c>
      <c r="AB17" s="33">
        <f t="shared" si="1"/>
        <v>0</v>
      </c>
      <c r="AC17" s="33">
        <f t="shared" si="1"/>
        <v>0</v>
      </c>
      <c r="AD17" s="33">
        <f t="shared" si="1"/>
        <v>0</v>
      </c>
      <c r="AE17" s="33">
        <f t="shared" si="1"/>
        <v>0</v>
      </c>
      <c r="AF17" s="33">
        <f t="shared" si="1"/>
        <v>0</v>
      </c>
      <c r="AG17" s="33">
        <f t="shared" si="1"/>
        <v>0</v>
      </c>
      <c r="AH17" s="33">
        <f t="shared" si="1"/>
        <v>0</v>
      </c>
      <c r="AI17" s="33">
        <f t="shared" si="1"/>
        <v>0</v>
      </c>
      <c r="AJ17" s="33">
        <f t="shared" si="1"/>
        <v>0</v>
      </c>
      <c r="AK17" s="33">
        <f t="shared" si="2"/>
        <v>0</v>
      </c>
      <c r="AL17" s="33">
        <f t="shared" si="2"/>
        <v>0</v>
      </c>
      <c r="AM17" s="33">
        <f t="shared" si="2"/>
        <v>0</v>
      </c>
      <c r="AN17" s="33">
        <f t="shared" si="2"/>
        <v>0</v>
      </c>
      <c r="AO17" s="33">
        <f t="shared" si="2"/>
        <v>0</v>
      </c>
      <c r="AP17" s="33">
        <f t="shared" si="2"/>
        <v>0</v>
      </c>
      <c r="AQ17" s="33">
        <f t="shared" si="2"/>
        <v>0</v>
      </c>
      <c r="AR17" s="33">
        <f t="shared" si="2"/>
        <v>0</v>
      </c>
      <c r="AS17" s="33">
        <f t="shared" si="2"/>
        <v>0</v>
      </c>
      <c r="AT17" s="33">
        <f t="shared" si="2"/>
        <v>0</v>
      </c>
      <c r="AU17" s="33">
        <f t="shared" si="2"/>
        <v>0</v>
      </c>
      <c r="AV17" s="33">
        <f t="shared" si="2"/>
        <v>0</v>
      </c>
    </row>
    <row r="18" spans="1:48" ht="18">
      <c r="A18" s="49">
        <f>(IF(Inställningar!$B$6="NEJ",Matchnummer!A7,Matchnummer!A7))</f>
        <v>7</v>
      </c>
      <c r="B18" s="50" t="str">
        <f>+VLOOKUP(F18,Grupper!$B$1:$C$12,2,FALSE)</f>
        <v>B</v>
      </c>
      <c r="C18" s="51">
        <f>IF(AND(Lottning!$B$2&gt;0,OR(F18=F16,F18=H16,H18=F16,H18=H16)),E17+Inställningar!$B$3+Inställningar!$B$4,E17+Inställningar!$B$3)</f>
        <v>0.3916666666666668</v>
      </c>
      <c r="D18" s="31" t="s">
        <v>56</v>
      </c>
      <c r="E18" s="51">
        <f>IF(AND(Lottning!$B$2&gt;0,OR(F18=F17,F18=H17,H18=F17,H18=H17)),C18+Inställningar!$B$3+Inställningar!$B$4,C18+Inställningar!$B$1)</f>
        <v>0.4006944444444446</v>
      </c>
      <c r="F18" s="30" t="str">
        <f>+VLOOKUP(Spelordning!B8,Lottning!$A$1:$B$13,2,FALSE)</f>
        <v>Svalövs BK 1</v>
      </c>
      <c r="G18" s="31" t="s">
        <v>56</v>
      </c>
      <c r="H18" s="30" t="str">
        <f>+VLOOKUP(Spelordning!C8,Lottning!$A$1:$B$13,2,FALSE)</f>
        <v>Häljarps IF 1</v>
      </c>
      <c r="J18" s="31" t="s">
        <v>56</v>
      </c>
      <c r="L18" s="52"/>
      <c r="M18" s="33">
        <f t="shared" si="0"/>
        <v>0</v>
      </c>
      <c r="N18" s="33">
        <f t="shared" si="0"/>
        <v>0</v>
      </c>
      <c r="O18" s="33">
        <f t="shared" si="0"/>
        <v>0</v>
      </c>
      <c r="P18" s="33">
        <f t="shared" si="0"/>
        <v>0</v>
      </c>
      <c r="Q18" s="33">
        <f t="shared" si="0"/>
        <v>0</v>
      </c>
      <c r="R18" s="33">
        <f t="shared" si="0"/>
        <v>0</v>
      </c>
      <c r="S18" s="33">
        <f t="shared" si="0"/>
        <v>0</v>
      </c>
      <c r="T18" s="33">
        <f t="shared" si="0"/>
        <v>0</v>
      </c>
      <c r="U18" s="33">
        <f t="shared" si="0"/>
        <v>0</v>
      </c>
      <c r="V18" s="33">
        <f t="shared" si="0"/>
        <v>0</v>
      </c>
      <c r="W18" s="33">
        <f t="shared" si="0"/>
        <v>0</v>
      </c>
      <c r="X18" s="33">
        <f t="shared" si="0"/>
        <v>0</v>
      </c>
      <c r="Y18" s="33">
        <f t="shared" si="1"/>
        <v>0</v>
      </c>
      <c r="Z18" s="33">
        <f t="shared" si="1"/>
        <v>0</v>
      </c>
      <c r="AA18" s="33">
        <f t="shared" si="1"/>
        <v>0</v>
      </c>
      <c r="AB18" s="33">
        <f t="shared" si="1"/>
        <v>0</v>
      </c>
      <c r="AC18" s="33">
        <f t="shared" si="1"/>
        <v>0</v>
      </c>
      <c r="AD18" s="33">
        <f t="shared" si="1"/>
        <v>0</v>
      </c>
      <c r="AE18" s="33">
        <f t="shared" si="1"/>
        <v>0</v>
      </c>
      <c r="AF18" s="33">
        <f t="shared" si="1"/>
        <v>0</v>
      </c>
      <c r="AG18" s="33">
        <f t="shared" si="1"/>
        <v>0</v>
      </c>
      <c r="AH18" s="33">
        <f t="shared" si="1"/>
        <v>0</v>
      </c>
      <c r="AI18" s="33">
        <f t="shared" si="1"/>
        <v>0</v>
      </c>
      <c r="AJ18" s="33">
        <f t="shared" si="1"/>
        <v>0</v>
      </c>
      <c r="AK18" s="33">
        <f t="shared" si="2"/>
        <v>0</v>
      </c>
      <c r="AL18" s="33">
        <f t="shared" si="2"/>
        <v>0</v>
      </c>
      <c r="AM18" s="33">
        <f t="shared" si="2"/>
        <v>0</v>
      </c>
      <c r="AN18" s="33">
        <f t="shared" si="2"/>
        <v>0</v>
      </c>
      <c r="AO18" s="33">
        <f t="shared" si="2"/>
        <v>0</v>
      </c>
      <c r="AP18" s="33">
        <f t="shared" si="2"/>
        <v>0</v>
      </c>
      <c r="AQ18" s="33">
        <f t="shared" si="2"/>
        <v>0</v>
      </c>
      <c r="AR18" s="33">
        <f t="shared" si="2"/>
        <v>0</v>
      </c>
      <c r="AS18" s="33">
        <f t="shared" si="2"/>
        <v>0</v>
      </c>
      <c r="AT18" s="33">
        <f t="shared" si="2"/>
        <v>0</v>
      </c>
      <c r="AU18" s="33">
        <f t="shared" si="2"/>
        <v>0</v>
      </c>
      <c r="AV18" s="33">
        <f t="shared" si="2"/>
        <v>0</v>
      </c>
    </row>
    <row r="19" spans="1:48" ht="18">
      <c r="A19" s="49">
        <f>(IF(Inställningar!$B$6="NEJ",Matchnummer!A8,Matchnummer!A8))</f>
        <v>8</v>
      </c>
      <c r="B19" s="50" t="str">
        <f>+VLOOKUP(F19,Grupper!$B$1:$C$12,2,FALSE)</f>
        <v>B</v>
      </c>
      <c r="C19" s="51">
        <f>IF(AND(Lottning!$B$2&gt;0,OR(F19=F17,F19=H17,H19=F17,H19=H17)),E18+Inställningar!$B$3+Inställningar!$B$4,E18+Inställningar!$B$3)</f>
        <v>0.401388888888889</v>
      </c>
      <c r="D19" s="31" t="s">
        <v>56</v>
      </c>
      <c r="E19" s="51">
        <f>IF(AND(Lottning!$B$2&gt;0,OR(F19=F18,F19=H18,H19=F18,H19=H18)),C19+Inställningar!$B$3+Inställningar!$B$4,C19+Inställningar!$B$1)</f>
        <v>0.4104166666666668</v>
      </c>
      <c r="F19" s="30" t="str">
        <f>+VLOOKUP(Spelordning!B9,Lottning!$A$1:$B$13,2,FALSE)</f>
        <v>Dösjöbro IF 2</v>
      </c>
      <c r="G19" s="31" t="s">
        <v>56</v>
      </c>
      <c r="H19" s="30" t="str">
        <f>+VLOOKUP(Spelordning!C9,Lottning!$A$1:$B$13,2,FALSE)</f>
        <v>Åstorps FF 2</v>
      </c>
      <c r="J19" s="31" t="s">
        <v>56</v>
      </c>
      <c r="L19" s="52"/>
      <c r="M19" s="33">
        <f>IF($L19="X",(OR(AND(M$9=$F19,$I19&gt;$K19,$L19="X"),AND(M$9=$H19,$K19&gt;$I19,$L19="X"))),0)</f>
        <v>0</v>
      </c>
      <c r="N19" s="33">
        <f>IF($L19="X",(OR(AND(N$9=$F19,$I19&gt;$K19,$L19="X"),AND(N$9=$H19,$K19&gt;$I19,$L19="X"))),0)</f>
        <v>0</v>
      </c>
      <c r="O19" s="33">
        <f>IF($L19="X",(OR(AND(O$9=$F19,$I19&gt;$K19,$L19="X"),AND(O$9=$H19,$K19&gt;$I19,$L19="X"))),0)</f>
        <v>0</v>
      </c>
      <c r="P19" s="33">
        <f aca="true" t="shared" si="3" ref="N19:X37">IF($L19="X",(OR(AND(P$9=$F19,$I19&gt;$K19,$L19="X"),AND(P$9=$H19,$K19&gt;$I19,$L19="X"))),0)</f>
        <v>0</v>
      </c>
      <c r="Q19" s="33">
        <f t="shared" si="3"/>
        <v>0</v>
      </c>
      <c r="R19" s="33">
        <f t="shared" si="3"/>
        <v>0</v>
      </c>
      <c r="S19" s="33">
        <f t="shared" si="3"/>
        <v>0</v>
      </c>
      <c r="T19" s="33">
        <f t="shared" si="3"/>
        <v>0</v>
      </c>
      <c r="U19" s="33">
        <f t="shared" si="3"/>
        <v>0</v>
      </c>
      <c r="V19" s="33">
        <f t="shared" si="3"/>
        <v>0</v>
      </c>
      <c r="W19" s="33">
        <f t="shared" si="3"/>
        <v>0</v>
      </c>
      <c r="X19" s="33">
        <f t="shared" si="3"/>
        <v>0</v>
      </c>
      <c r="Y19" s="33">
        <f>IF($L19="X",(OR(AND(Y$9=$F19,$I19&lt;$K19,$L19="X"),AND(Y$9=$H19,$K19&lt;$I19,$L19="X"))),0)</f>
        <v>0</v>
      </c>
      <c r="Z19" s="33">
        <f>IF($L19="X",(OR(AND(Z$9=$F19,$I19&lt;$K19,$L19="X"),AND(Z$9=$H19,$K19&lt;$I19,$L19="X"))),0)</f>
        <v>0</v>
      </c>
      <c r="AA19" s="33">
        <f>IF($L19="X",(OR(AND(AA$9=$F19,$I19&lt;$K19,$L19="X"),AND(AA$9=$H19,$K19&lt;$I19,$L19="X"))),0)</f>
        <v>0</v>
      </c>
      <c r="AB19" s="33">
        <f aca="true" t="shared" si="4" ref="Z19:AJ37">IF($L19="X",(OR(AND(AB$9=$F19,$I19&lt;$K19,$L19="X"),AND(AB$9=$H19,$K19&lt;$I19,$L19="X"))),0)</f>
        <v>0</v>
      </c>
      <c r="AC19" s="33">
        <f t="shared" si="4"/>
        <v>0</v>
      </c>
      <c r="AD19" s="33">
        <f t="shared" si="4"/>
        <v>0</v>
      </c>
      <c r="AE19" s="33">
        <f t="shared" si="4"/>
        <v>0</v>
      </c>
      <c r="AF19" s="33">
        <f t="shared" si="4"/>
        <v>0</v>
      </c>
      <c r="AG19" s="33">
        <f t="shared" si="4"/>
        <v>0</v>
      </c>
      <c r="AH19" s="33">
        <f t="shared" si="4"/>
        <v>0</v>
      </c>
      <c r="AI19" s="33">
        <f t="shared" si="4"/>
        <v>0</v>
      </c>
      <c r="AJ19" s="33">
        <f t="shared" si="4"/>
        <v>0</v>
      </c>
      <c r="AK19" s="33">
        <f>IF($L19="X",(OR(AND(AK$9=$F19,$I19=$K19,$L19="X"),AND(AK$9=$H19,$K19=$I19,$L19="X"))),0)</f>
        <v>0</v>
      </c>
      <c r="AL19" s="33">
        <f>IF($L19="X",(OR(AND(AL$9=$F19,$I19=$K19,$L19="X"),AND(AL$9=$H19,$K19=$I19,$L19="X"))),0)</f>
        <v>0</v>
      </c>
      <c r="AM19" s="33">
        <f>IF($L19="X",(OR(AND(AM$9=$F19,$I19=$K19,$L19="X"),AND(AM$9=$H19,$K19=$I19,$L19="X"))),0)</f>
        <v>0</v>
      </c>
      <c r="AN19" s="33">
        <f aca="true" t="shared" si="5" ref="AL19:AV37">IF($L19="X",(OR(AND(AN$9=$F19,$I19=$K19,$L19="X"),AND(AN$9=$H19,$K19=$I19,$L19="X"))),0)</f>
        <v>0</v>
      </c>
      <c r="AO19" s="33">
        <f t="shared" si="5"/>
        <v>0</v>
      </c>
      <c r="AP19" s="33">
        <f t="shared" si="5"/>
        <v>0</v>
      </c>
      <c r="AQ19" s="33">
        <f t="shared" si="5"/>
        <v>0</v>
      </c>
      <c r="AR19" s="33">
        <f t="shared" si="5"/>
        <v>0</v>
      </c>
      <c r="AS19" s="33">
        <f t="shared" si="5"/>
        <v>0</v>
      </c>
      <c r="AT19" s="33">
        <f t="shared" si="5"/>
        <v>0</v>
      </c>
      <c r="AU19" s="33">
        <f t="shared" si="5"/>
        <v>0</v>
      </c>
      <c r="AV19" s="33">
        <f t="shared" si="5"/>
        <v>0</v>
      </c>
    </row>
    <row r="20" spans="1:48" s="3" customFormat="1" ht="5.25" customHeight="1">
      <c r="A20" s="43"/>
      <c r="B20" s="44"/>
      <c r="C20" s="45"/>
      <c r="D20" s="46"/>
      <c r="E20" s="45"/>
      <c r="F20" s="47"/>
      <c r="G20" s="46"/>
      <c r="H20" s="47"/>
      <c r="I20" s="47"/>
      <c r="J20" s="46"/>
      <c r="K20" s="47"/>
      <c r="L20" s="47"/>
      <c r="M20" s="33">
        <f aca="true" t="shared" si="6" ref="M20:M37">IF($L20="X",(OR(AND(M$9=$F20,$I20&gt;$K20,$L20="X"),AND(M$9=$H20,$K20&gt;$I20,$L20="X"))),0)</f>
        <v>0</v>
      </c>
      <c r="N20" s="33">
        <f t="shared" si="3"/>
        <v>0</v>
      </c>
      <c r="O20" s="33">
        <f t="shared" si="3"/>
        <v>0</v>
      </c>
      <c r="P20" s="33">
        <f t="shared" si="3"/>
        <v>0</v>
      </c>
      <c r="Q20" s="33">
        <f t="shared" si="3"/>
        <v>0</v>
      </c>
      <c r="R20" s="33">
        <f t="shared" si="3"/>
        <v>0</v>
      </c>
      <c r="S20" s="33">
        <f t="shared" si="3"/>
        <v>0</v>
      </c>
      <c r="T20" s="33">
        <f t="shared" si="3"/>
        <v>0</v>
      </c>
      <c r="U20" s="33">
        <f t="shared" si="3"/>
        <v>0</v>
      </c>
      <c r="V20" s="33">
        <f t="shared" si="3"/>
        <v>0</v>
      </c>
      <c r="W20" s="33">
        <f t="shared" si="3"/>
        <v>0</v>
      </c>
      <c r="X20" s="33">
        <f t="shared" si="3"/>
        <v>0</v>
      </c>
      <c r="Y20" s="33">
        <f aca="true" t="shared" si="7" ref="Y20:Y37">IF($L20="X",(OR(AND(Y$9=$F20,$I20&lt;$K20,$L20="X"),AND(Y$9=$H20,$K20&lt;$I20,$L20="X"))),0)</f>
        <v>0</v>
      </c>
      <c r="Z20" s="33">
        <f t="shared" si="4"/>
        <v>0</v>
      </c>
      <c r="AA20" s="33">
        <f t="shared" si="4"/>
        <v>0</v>
      </c>
      <c r="AB20" s="33">
        <f t="shared" si="4"/>
        <v>0</v>
      </c>
      <c r="AC20" s="33">
        <f t="shared" si="4"/>
        <v>0</v>
      </c>
      <c r="AD20" s="33">
        <f t="shared" si="4"/>
        <v>0</v>
      </c>
      <c r="AE20" s="33">
        <f t="shared" si="4"/>
        <v>0</v>
      </c>
      <c r="AF20" s="33">
        <f t="shared" si="4"/>
        <v>0</v>
      </c>
      <c r="AG20" s="33">
        <f t="shared" si="4"/>
        <v>0</v>
      </c>
      <c r="AH20" s="33">
        <f t="shared" si="4"/>
        <v>0</v>
      </c>
      <c r="AI20" s="33">
        <f t="shared" si="4"/>
        <v>0</v>
      </c>
      <c r="AJ20" s="33">
        <f t="shared" si="4"/>
        <v>0</v>
      </c>
      <c r="AK20" s="33">
        <f aca="true" t="shared" si="8" ref="AK20:AK37">IF($L20="X",(OR(AND(AK$9=$F20,$I20=$K20,$L20="X"),AND(AK$9=$H20,$K20=$I20,$L20="X"))),0)</f>
        <v>0</v>
      </c>
      <c r="AL20" s="33">
        <f t="shared" si="5"/>
        <v>0</v>
      </c>
      <c r="AM20" s="33">
        <f t="shared" si="5"/>
        <v>0</v>
      </c>
      <c r="AN20" s="33">
        <f t="shared" si="5"/>
        <v>0</v>
      </c>
      <c r="AO20" s="33">
        <f t="shared" si="5"/>
        <v>0</v>
      </c>
      <c r="AP20" s="33">
        <f t="shared" si="5"/>
        <v>0</v>
      </c>
      <c r="AQ20" s="33">
        <f t="shared" si="5"/>
        <v>0</v>
      </c>
      <c r="AR20" s="33">
        <f t="shared" si="5"/>
        <v>0</v>
      </c>
      <c r="AS20" s="33">
        <f t="shared" si="5"/>
        <v>0</v>
      </c>
      <c r="AT20" s="33">
        <f t="shared" si="5"/>
        <v>0</v>
      </c>
      <c r="AU20" s="33">
        <f t="shared" si="5"/>
        <v>0</v>
      </c>
      <c r="AV20" s="33">
        <f t="shared" si="5"/>
        <v>0</v>
      </c>
    </row>
    <row r="21" spans="1:48" ht="18">
      <c r="A21" s="49">
        <f>(IF(Inställningar!$B$6="NEJ",Matchnummer!A9,Matchnummer!A9))</f>
        <v>9</v>
      </c>
      <c r="B21" s="50" t="str">
        <f>+VLOOKUP(F21,Grupper!$B$1:$C$12,2,FALSE)</f>
        <v>A</v>
      </c>
      <c r="C21" s="51">
        <f>IF(AND(Lottning!$B$2&gt;0,OR(F21=F19,F21=H19,H21=F19,H21=H19)),E19+Inställningar!$B$3+Inställningar!$B$4,E19+Inställningar!$B$3)</f>
        <v>0.41111111111111126</v>
      </c>
      <c r="D21" s="31" t="s">
        <v>56</v>
      </c>
      <c r="E21" s="51">
        <f>IF(AND(Lottning!$B$2&gt;0,OR(F21=F20,F21=H20,H21=F20,H21=H20)),C21+Inställningar!$B$3+Inställningar!$B$4,C21+Inställningar!$B$1)</f>
        <v>0.42013888888888906</v>
      </c>
      <c r="F21" s="30" t="str">
        <f>+VLOOKUP(Spelordning!B10,Lottning!$A$1:$B$13,2,FALSE)</f>
        <v>Häljarps IF 2</v>
      </c>
      <c r="G21" s="31" t="s">
        <v>56</v>
      </c>
      <c r="H21" s="30" t="str">
        <f>+VLOOKUP(Spelordning!C10,Lottning!$A$1:$B$13,2,FALSE)</f>
        <v>Åstorps FF 1</v>
      </c>
      <c r="J21" s="31" t="s">
        <v>56</v>
      </c>
      <c r="L21" s="52"/>
      <c r="M21" s="33">
        <f t="shared" si="6"/>
        <v>0</v>
      </c>
      <c r="N21" s="33">
        <f t="shared" si="3"/>
        <v>0</v>
      </c>
      <c r="O21" s="33">
        <f t="shared" si="3"/>
        <v>0</v>
      </c>
      <c r="P21" s="33">
        <f t="shared" si="3"/>
        <v>0</v>
      </c>
      <c r="Q21" s="33">
        <f t="shared" si="3"/>
        <v>0</v>
      </c>
      <c r="R21" s="33">
        <f t="shared" si="3"/>
        <v>0</v>
      </c>
      <c r="S21" s="33">
        <f t="shared" si="3"/>
        <v>0</v>
      </c>
      <c r="T21" s="33">
        <f t="shared" si="3"/>
        <v>0</v>
      </c>
      <c r="U21" s="33">
        <f t="shared" si="3"/>
        <v>0</v>
      </c>
      <c r="V21" s="33">
        <f t="shared" si="3"/>
        <v>0</v>
      </c>
      <c r="W21" s="33">
        <f t="shared" si="3"/>
        <v>0</v>
      </c>
      <c r="X21" s="33">
        <f t="shared" si="3"/>
        <v>0</v>
      </c>
      <c r="Y21" s="33">
        <f t="shared" si="7"/>
        <v>0</v>
      </c>
      <c r="Z21" s="33">
        <f t="shared" si="4"/>
        <v>0</v>
      </c>
      <c r="AA21" s="33">
        <f t="shared" si="4"/>
        <v>0</v>
      </c>
      <c r="AB21" s="33">
        <f t="shared" si="4"/>
        <v>0</v>
      </c>
      <c r="AC21" s="33">
        <f t="shared" si="4"/>
        <v>0</v>
      </c>
      <c r="AD21" s="33">
        <f t="shared" si="4"/>
        <v>0</v>
      </c>
      <c r="AE21" s="33">
        <f t="shared" si="4"/>
        <v>0</v>
      </c>
      <c r="AF21" s="33">
        <f t="shared" si="4"/>
        <v>0</v>
      </c>
      <c r="AG21" s="33">
        <f t="shared" si="4"/>
        <v>0</v>
      </c>
      <c r="AH21" s="33">
        <f t="shared" si="4"/>
        <v>0</v>
      </c>
      <c r="AI21" s="33">
        <f t="shared" si="4"/>
        <v>0</v>
      </c>
      <c r="AJ21" s="33">
        <f t="shared" si="4"/>
        <v>0</v>
      </c>
      <c r="AK21" s="33">
        <f t="shared" si="8"/>
        <v>0</v>
      </c>
      <c r="AL21" s="33">
        <f t="shared" si="5"/>
        <v>0</v>
      </c>
      <c r="AM21" s="33">
        <f t="shared" si="5"/>
        <v>0</v>
      </c>
      <c r="AN21" s="33">
        <f t="shared" si="5"/>
        <v>0</v>
      </c>
      <c r="AO21" s="33">
        <f t="shared" si="5"/>
        <v>0</v>
      </c>
      <c r="AP21" s="33">
        <f t="shared" si="5"/>
        <v>0</v>
      </c>
      <c r="AQ21" s="33">
        <f t="shared" si="5"/>
        <v>0</v>
      </c>
      <c r="AR21" s="33">
        <f t="shared" si="5"/>
        <v>0</v>
      </c>
      <c r="AS21" s="33">
        <f t="shared" si="5"/>
        <v>0</v>
      </c>
      <c r="AT21" s="33">
        <f t="shared" si="5"/>
        <v>0</v>
      </c>
      <c r="AU21" s="33">
        <f t="shared" si="5"/>
        <v>0</v>
      </c>
      <c r="AV21" s="33">
        <f t="shared" si="5"/>
        <v>0</v>
      </c>
    </row>
    <row r="22" spans="1:48" ht="18">
      <c r="A22" s="49">
        <f>(IF(Inställningar!$B$6="NEJ",Matchnummer!A10,Matchnummer!A10))</f>
        <v>10</v>
      </c>
      <c r="B22" s="50" t="str">
        <f>+VLOOKUP(F22,Grupper!$B$1:$C$12,2,FALSE)</f>
        <v>A</v>
      </c>
      <c r="C22" s="51">
        <f>IF(AND(Lottning!$B$2&gt;0,OR(F22=F20,F22=H20,H22=F20,H22=H20)),E21+Inställningar!$B$3+Inställningar!$B$4,E21+Inställningar!$B$3)</f>
        <v>0.4208333333333335</v>
      </c>
      <c r="D22" s="31" t="s">
        <v>56</v>
      </c>
      <c r="E22" s="51">
        <f>IF(AND(Lottning!$B$2&gt;0,OR(F22=F21,F22=H21,H22=F21,H22=H21)),C22+Inställningar!$B$3+Inställningar!$B$4,C22+Inställningar!$B$1)</f>
        <v>0.4298611111111113</v>
      </c>
      <c r="F22" s="30" t="str">
        <f>+VLOOKUP(Spelordning!B11,Lottning!$A$1:$B$13,2,FALSE)</f>
        <v>Svalövs BK 2</v>
      </c>
      <c r="G22" s="31" t="s">
        <v>56</v>
      </c>
      <c r="H22" s="30" t="str">
        <f>+VLOOKUP(Spelordning!C11,Lottning!$A$1:$B$13,2,FALSE)</f>
        <v>IK Wormo</v>
      </c>
      <c r="J22" s="31" t="s">
        <v>56</v>
      </c>
      <c r="L22" s="52"/>
      <c r="M22" s="33">
        <f t="shared" si="6"/>
        <v>0</v>
      </c>
      <c r="N22" s="33">
        <f t="shared" si="3"/>
        <v>0</v>
      </c>
      <c r="O22" s="33">
        <f t="shared" si="3"/>
        <v>0</v>
      </c>
      <c r="P22" s="33">
        <f t="shared" si="3"/>
        <v>0</v>
      </c>
      <c r="Q22" s="33">
        <f t="shared" si="3"/>
        <v>0</v>
      </c>
      <c r="R22" s="33">
        <f t="shared" si="3"/>
        <v>0</v>
      </c>
      <c r="S22" s="33">
        <f t="shared" si="3"/>
        <v>0</v>
      </c>
      <c r="T22" s="33">
        <f t="shared" si="3"/>
        <v>0</v>
      </c>
      <c r="U22" s="33">
        <f t="shared" si="3"/>
        <v>0</v>
      </c>
      <c r="V22" s="33">
        <f t="shared" si="3"/>
        <v>0</v>
      </c>
      <c r="W22" s="33">
        <f t="shared" si="3"/>
        <v>0</v>
      </c>
      <c r="X22" s="33">
        <f t="shared" si="3"/>
        <v>0</v>
      </c>
      <c r="Y22" s="33">
        <f t="shared" si="7"/>
        <v>0</v>
      </c>
      <c r="Z22" s="33">
        <f t="shared" si="4"/>
        <v>0</v>
      </c>
      <c r="AA22" s="33">
        <f t="shared" si="4"/>
        <v>0</v>
      </c>
      <c r="AB22" s="33">
        <f t="shared" si="4"/>
        <v>0</v>
      </c>
      <c r="AC22" s="33">
        <f t="shared" si="4"/>
        <v>0</v>
      </c>
      <c r="AD22" s="33">
        <f t="shared" si="4"/>
        <v>0</v>
      </c>
      <c r="AE22" s="33">
        <f t="shared" si="4"/>
        <v>0</v>
      </c>
      <c r="AF22" s="33">
        <f t="shared" si="4"/>
        <v>0</v>
      </c>
      <c r="AG22" s="33">
        <f t="shared" si="4"/>
        <v>0</v>
      </c>
      <c r="AH22" s="33">
        <f t="shared" si="4"/>
        <v>0</v>
      </c>
      <c r="AI22" s="33">
        <f t="shared" si="4"/>
        <v>0</v>
      </c>
      <c r="AJ22" s="33">
        <f t="shared" si="4"/>
        <v>0</v>
      </c>
      <c r="AK22" s="33">
        <f t="shared" si="8"/>
        <v>0</v>
      </c>
      <c r="AL22" s="33">
        <f t="shared" si="5"/>
        <v>0</v>
      </c>
      <c r="AM22" s="33">
        <f t="shared" si="5"/>
        <v>0</v>
      </c>
      <c r="AN22" s="33">
        <f t="shared" si="5"/>
        <v>0</v>
      </c>
      <c r="AO22" s="33">
        <f t="shared" si="5"/>
        <v>0</v>
      </c>
      <c r="AP22" s="33">
        <f t="shared" si="5"/>
        <v>0</v>
      </c>
      <c r="AQ22" s="33">
        <f t="shared" si="5"/>
        <v>0</v>
      </c>
      <c r="AR22" s="33">
        <f t="shared" si="5"/>
        <v>0</v>
      </c>
      <c r="AS22" s="33">
        <f t="shared" si="5"/>
        <v>0</v>
      </c>
      <c r="AT22" s="33">
        <f t="shared" si="5"/>
        <v>0</v>
      </c>
      <c r="AU22" s="33">
        <f t="shared" si="5"/>
        <v>0</v>
      </c>
      <c r="AV22" s="33">
        <f t="shared" si="5"/>
        <v>0</v>
      </c>
    </row>
    <row r="23" spans="1:48" ht="18">
      <c r="A23" s="49">
        <f>(IF(Inställningar!$B$6="NEJ",Matchnummer!A11,Matchnummer!A11))</f>
        <v>11</v>
      </c>
      <c r="B23" s="50" t="str">
        <f>+VLOOKUP(F23,Grupper!$B$1:$C$12,2,FALSE)</f>
        <v>B</v>
      </c>
      <c r="C23" s="51">
        <f>IF(AND(Lottning!$B$2&gt;0,OR(F23=F21,F23=H21,H23=F21,H23=H21)),E22+Inställningar!$B$3+Inställningar!$B$4,E22+Inställningar!$B$3)</f>
        <v>0.43055555555555575</v>
      </c>
      <c r="D23" s="31" t="s">
        <v>56</v>
      </c>
      <c r="E23" s="51">
        <f>IF(AND(Lottning!$B$2&gt;0,OR(F23=F22,F23=H22,H23=F22,H23=H22)),C23+Inställningar!$B$3+Inställningar!$B$4,C23+Inställningar!$B$1)</f>
        <v>0.43958333333333355</v>
      </c>
      <c r="F23" s="30" t="str">
        <f>+VLOOKUP(Spelordning!B12,Lottning!$A$1:$B$13,2,FALSE)</f>
        <v>Billesholms GIF</v>
      </c>
      <c r="G23" s="31" t="s">
        <v>56</v>
      </c>
      <c r="H23" s="30" t="str">
        <f>+VLOOKUP(Spelordning!C12,Lottning!$A$1:$B$13,2,FALSE)</f>
        <v>Svalövs BK 1</v>
      </c>
      <c r="J23" s="31" t="s">
        <v>56</v>
      </c>
      <c r="L23" s="52"/>
      <c r="M23" s="33">
        <f t="shared" si="6"/>
        <v>0</v>
      </c>
      <c r="N23" s="33">
        <f t="shared" si="3"/>
        <v>0</v>
      </c>
      <c r="O23" s="33">
        <f t="shared" si="3"/>
        <v>0</v>
      </c>
      <c r="P23" s="33">
        <f t="shared" si="3"/>
        <v>0</v>
      </c>
      <c r="Q23" s="33">
        <f t="shared" si="3"/>
        <v>0</v>
      </c>
      <c r="R23" s="33">
        <f t="shared" si="3"/>
        <v>0</v>
      </c>
      <c r="S23" s="33">
        <f t="shared" si="3"/>
        <v>0</v>
      </c>
      <c r="T23" s="33">
        <f t="shared" si="3"/>
        <v>0</v>
      </c>
      <c r="U23" s="33">
        <f t="shared" si="3"/>
        <v>0</v>
      </c>
      <c r="V23" s="33">
        <f t="shared" si="3"/>
        <v>0</v>
      </c>
      <c r="W23" s="33">
        <f t="shared" si="3"/>
        <v>0</v>
      </c>
      <c r="X23" s="33">
        <f t="shared" si="3"/>
        <v>0</v>
      </c>
      <c r="Y23" s="33">
        <f t="shared" si="7"/>
        <v>0</v>
      </c>
      <c r="Z23" s="33">
        <f t="shared" si="4"/>
        <v>0</v>
      </c>
      <c r="AA23" s="33">
        <f t="shared" si="4"/>
        <v>0</v>
      </c>
      <c r="AB23" s="33">
        <f t="shared" si="4"/>
        <v>0</v>
      </c>
      <c r="AC23" s="33">
        <f t="shared" si="4"/>
        <v>0</v>
      </c>
      <c r="AD23" s="33">
        <f t="shared" si="4"/>
        <v>0</v>
      </c>
      <c r="AE23" s="33">
        <f t="shared" si="4"/>
        <v>0</v>
      </c>
      <c r="AF23" s="33">
        <f t="shared" si="4"/>
        <v>0</v>
      </c>
      <c r="AG23" s="33">
        <f t="shared" si="4"/>
        <v>0</v>
      </c>
      <c r="AH23" s="33">
        <f t="shared" si="4"/>
        <v>0</v>
      </c>
      <c r="AI23" s="33">
        <f t="shared" si="4"/>
        <v>0</v>
      </c>
      <c r="AJ23" s="33">
        <f t="shared" si="4"/>
        <v>0</v>
      </c>
      <c r="AK23" s="33">
        <f t="shared" si="8"/>
        <v>0</v>
      </c>
      <c r="AL23" s="33">
        <f t="shared" si="5"/>
        <v>0</v>
      </c>
      <c r="AM23" s="33">
        <f t="shared" si="5"/>
        <v>0</v>
      </c>
      <c r="AN23" s="33">
        <f t="shared" si="5"/>
        <v>0</v>
      </c>
      <c r="AO23" s="33">
        <f t="shared" si="5"/>
        <v>0</v>
      </c>
      <c r="AP23" s="33">
        <f t="shared" si="5"/>
        <v>0</v>
      </c>
      <c r="AQ23" s="33">
        <f t="shared" si="5"/>
        <v>0</v>
      </c>
      <c r="AR23" s="33">
        <f t="shared" si="5"/>
        <v>0</v>
      </c>
      <c r="AS23" s="33">
        <f t="shared" si="5"/>
        <v>0</v>
      </c>
      <c r="AT23" s="33">
        <f t="shared" si="5"/>
        <v>0</v>
      </c>
      <c r="AU23" s="33">
        <f t="shared" si="5"/>
        <v>0</v>
      </c>
      <c r="AV23" s="33">
        <f t="shared" si="5"/>
        <v>0</v>
      </c>
    </row>
    <row r="24" spans="1:48" ht="18">
      <c r="A24" s="49">
        <f>(IF(Inställningar!$B$6="NEJ",Matchnummer!A12,Matchnummer!A12))</f>
        <v>12</v>
      </c>
      <c r="B24" s="50" t="str">
        <f>+VLOOKUP(F24,Grupper!$B$1:$C$12,2,FALSE)</f>
        <v>B</v>
      </c>
      <c r="C24" s="51">
        <f>IF(AND(Lottning!$B$2&gt;0,OR(F24=F22,F24=H22,H24=F22,H24=H22)),E23+Inställningar!$B$3+Inställningar!$B$4,E23+Inställningar!$B$3)</f>
        <v>0.440277777777778</v>
      </c>
      <c r="D24" s="31" t="s">
        <v>56</v>
      </c>
      <c r="E24" s="51">
        <f>IF(AND(Lottning!$B$2&gt;0,OR(F24=F23,F24=H23,H24=F23,H24=H23)),C24+Inställningar!$B$3+Inställningar!$B$4,C24+Inställningar!$B$1)</f>
        <v>0.4493055555555558</v>
      </c>
      <c r="F24" s="30" t="str">
        <f>+VLOOKUP(Spelordning!B13,Lottning!$A$1:$B$13,2,FALSE)</f>
        <v>Häljarps IF 1</v>
      </c>
      <c r="G24" s="31" t="s">
        <v>56</v>
      </c>
      <c r="H24" s="30" t="str">
        <f>+VLOOKUP(Spelordning!C13,Lottning!$A$1:$B$13,2,FALSE)</f>
        <v>Åstorps FF 2</v>
      </c>
      <c r="J24" s="31" t="s">
        <v>56</v>
      </c>
      <c r="L24" s="52"/>
      <c r="M24" s="33">
        <f t="shared" si="6"/>
        <v>0</v>
      </c>
      <c r="N24" s="33">
        <f t="shared" si="3"/>
        <v>0</v>
      </c>
      <c r="O24" s="33">
        <f t="shared" si="3"/>
        <v>0</v>
      </c>
      <c r="P24" s="33">
        <f t="shared" si="3"/>
        <v>0</v>
      </c>
      <c r="Q24" s="33">
        <f t="shared" si="3"/>
        <v>0</v>
      </c>
      <c r="R24" s="33">
        <f t="shared" si="3"/>
        <v>0</v>
      </c>
      <c r="S24" s="33">
        <f t="shared" si="3"/>
        <v>0</v>
      </c>
      <c r="T24" s="33">
        <f t="shared" si="3"/>
        <v>0</v>
      </c>
      <c r="U24" s="33">
        <f t="shared" si="3"/>
        <v>0</v>
      </c>
      <c r="V24" s="33">
        <f t="shared" si="3"/>
        <v>0</v>
      </c>
      <c r="W24" s="33">
        <f t="shared" si="3"/>
        <v>0</v>
      </c>
      <c r="X24" s="33">
        <f t="shared" si="3"/>
        <v>0</v>
      </c>
      <c r="Y24" s="33">
        <f t="shared" si="7"/>
        <v>0</v>
      </c>
      <c r="Z24" s="33">
        <f t="shared" si="4"/>
        <v>0</v>
      </c>
      <c r="AA24" s="33">
        <f t="shared" si="4"/>
        <v>0</v>
      </c>
      <c r="AB24" s="33">
        <f t="shared" si="4"/>
        <v>0</v>
      </c>
      <c r="AC24" s="33">
        <f t="shared" si="4"/>
        <v>0</v>
      </c>
      <c r="AD24" s="33">
        <f t="shared" si="4"/>
        <v>0</v>
      </c>
      <c r="AE24" s="33">
        <f t="shared" si="4"/>
        <v>0</v>
      </c>
      <c r="AF24" s="33">
        <f t="shared" si="4"/>
        <v>0</v>
      </c>
      <c r="AG24" s="33">
        <f t="shared" si="4"/>
        <v>0</v>
      </c>
      <c r="AH24" s="33">
        <f t="shared" si="4"/>
        <v>0</v>
      </c>
      <c r="AI24" s="33">
        <f t="shared" si="4"/>
        <v>0</v>
      </c>
      <c r="AJ24" s="33">
        <f t="shared" si="4"/>
        <v>0</v>
      </c>
      <c r="AK24" s="33">
        <f t="shared" si="8"/>
        <v>0</v>
      </c>
      <c r="AL24" s="33">
        <f t="shared" si="5"/>
        <v>0</v>
      </c>
      <c r="AM24" s="33">
        <f t="shared" si="5"/>
        <v>0</v>
      </c>
      <c r="AN24" s="33">
        <f t="shared" si="5"/>
        <v>0</v>
      </c>
      <c r="AO24" s="33">
        <f t="shared" si="5"/>
        <v>0</v>
      </c>
      <c r="AP24" s="33">
        <f t="shared" si="5"/>
        <v>0</v>
      </c>
      <c r="AQ24" s="33">
        <f t="shared" si="5"/>
        <v>0</v>
      </c>
      <c r="AR24" s="33">
        <f t="shared" si="5"/>
        <v>0</v>
      </c>
      <c r="AS24" s="33">
        <f t="shared" si="5"/>
        <v>0</v>
      </c>
      <c r="AT24" s="33">
        <f t="shared" si="5"/>
        <v>0</v>
      </c>
      <c r="AU24" s="33">
        <f t="shared" si="5"/>
        <v>0</v>
      </c>
      <c r="AV24" s="33">
        <f t="shared" si="5"/>
        <v>0</v>
      </c>
    </row>
    <row r="25" spans="1:48" s="3" customFormat="1" ht="5.25" customHeight="1">
      <c r="A25" s="43"/>
      <c r="B25" s="44"/>
      <c r="C25" s="45"/>
      <c r="D25" s="46"/>
      <c r="E25" s="45"/>
      <c r="F25" s="47"/>
      <c r="G25" s="46"/>
      <c r="H25" s="47"/>
      <c r="I25" s="47"/>
      <c r="J25" s="46"/>
      <c r="K25" s="47"/>
      <c r="L25" s="47"/>
      <c r="M25" s="33">
        <f t="shared" si="6"/>
        <v>0</v>
      </c>
      <c r="N25" s="33">
        <f t="shared" si="3"/>
        <v>0</v>
      </c>
      <c r="O25" s="33">
        <f t="shared" si="3"/>
        <v>0</v>
      </c>
      <c r="P25" s="33">
        <f t="shared" si="3"/>
        <v>0</v>
      </c>
      <c r="Q25" s="33">
        <f t="shared" si="3"/>
        <v>0</v>
      </c>
      <c r="R25" s="33">
        <f t="shared" si="3"/>
        <v>0</v>
      </c>
      <c r="S25" s="33">
        <f t="shared" si="3"/>
        <v>0</v>
      </c>
      <c r="T25" s="33">
        <f t="shared" si="3"/>
        <v>0</v>
      </c>
      <c r="U25" s="33">
        <f t="shared" si="3"/>
        <v>0</v>
      </c>
      <c r="V25" s="33">
        <f t="shared" si="3"/>
        <v>0</v>
      </c>
      <c r="W25" s="33">
        <f t="shared" si="3"/>
        <v>0</v>
      </c>
      <c r="X25" s="33">
        <f t="shared" si="3"/>
        <v>0</v>
      </c>
      <c r="Y25" s="33">
        <f t="shared" si="7"/>
        <v>0</v>
      </c>
      <c r="Z25" s="33">
        <f t="shared" si="4"/>
        <v>0</v>
      </c>
      <c r="AA25" s="33">
        <f t="shared" si="4"/>
        <v>0</v>
      </c>
      <c r="AB25" s="33">
        <f t="shared" si="4"/>
        <v>0</v>
      </c>
      <c r="AC25" s="33">
        <f t="shared" si="4"/>
        <v>0</v>
      </c>
      <c r="AD25" s="33">
        <f t="shared" si="4"/>
        <v>0</v>
      </c>
      <c r="AE25" s="33">
        <f t="shared" si="4"/>
        <v>0</v>
      </c>
      <c r="AF25" s="33">
        <f t="shared" si="4"/>
        <v>0</v>
      </c>
      <c r="AG25" s="33">
        <f t="shared" si="4"/>
        <v>0</v>
      </c>
      <c r="AH25" s="33">
        <f t="shared" si="4"/>
        <v>0</v>
      </c>
      <c r="AI25" s="33">
        <f t="shared" si="4"/>
        <v>0</v>
      </c>
      <c r="AJ25" s="33">
        <f t="shared" si="4"/>
        <v>0</v>
      </c>
      <c r="AK25" s="33">
        <f t="shared" si="8"/>
        <v>0</v>
      </c>
      <c r="AL25" s="33">
        <f t="shared" si="5"/>
        <v>0</v>
      </c>
      <c r="AM25" s="33">
        <f t="shared" si="5"/>
        <v>0</v>
      </c>
      <c r="AN25" s="33">
        <f t="shared" si="5"/>
        <v>0</v>
      </c>
      <c r="AO25" s="33">
        <f t="shared" si="5"/>
        <v>0</v>
      </c>
      <c r="AP25" s="33">
        <f t="shared" si="5"/>
        <v>0</v>
      </c>
      <c r="AQ25" s="33">
        <f t="shared" si="5"/>
        <v>0</v>
      </c>
      <c r="AR25" s="33">
        <f t="shared" si="5"/>
        <v>0</v>
      </c>
      <c r="AS25" s="33">
        <f t="shared" si="5"/>
        <v>0</v>
      </c>
      <c r="AT25" s="33">
        <f t="shared" si="5"/>
        <v>0</v>
      </c>
      <c r="AU25" s="33">
        <f t="shared" si="5"/>
        <v>0</v>
      </c>
      <c r="AV25" s="33">
        <f t="shared" si="5"/>
        <v>0</v>
      </c>
    </row>
    <row r="26" spans="1:48" ht="18">
      <c r="A26" s="49">
        <f>(IF(Inställningar!$B$6="NEJ",Matchnummer!A13,Matchnummer!A13))</f>
        <v>13</v>
      </c>
      <c r="B26" s="50" t="str">
        <f>+VLOOKUP(F26,Grupper!$B$1:$C$12,2,FALSE)</f>
        <v>A</v>
      </c>
      <c r="C26" s="51">
        <f>IF(AND(Lottning!$B$2&gt;0,OR(F26=F24,F26=H24,H26=F24,H26=H24)),E24+Inställningar!$B$3+Inställningar!$B$4,E24+Inställningar!$B$3)</f>
        <v>0.45000000000000023</v>
      </c>
      <c r="D26" s="31" t="s">
        <v>56</v>
      </c>
      <c r="E26" s="51">
        <f>IF(AND(Lottning!$B$2&gt;0,OR(F26=F25,F26=H25,H26=F25,H26=H25)),C26+Inställningar!$B$3+Inställningar!$B$4,C26+Inställningar!$B$1)</f>
        <v>0.45902777777777803</v>
      </c>
      <c r="F26" s="30" t="str">
        <f>+VLOOKUP(Spelordning!B14,Lottning!$A$1:$B$13,2,FALSE)</f>
        <v>Åstorps FF 1</v>
      </c>
      <c r="G26" s="31" t="s">
        <v>56</v>
      </c>
      <c r="H26" s="30" t="str">
        <f>+VLOOKUP(Spelordning!C14,Lottning!$A$1:$B$13,2,FALSE)</f>
        <v>Dösjöbro IF 1</v>
      </c>
      <c r="J26" s="31" t="s">
        <v>56</v>
      </c>
      <c r="L26" s="52"/>
      <c r="M26" s="33">
        <f t="shared" si="6"/>
        <v>0</v>
      </c>
      <c r="N26" s="33">
        <f t="shared" si="3"/>
        <v>0</v>
      </c>
      <c r="O26" s="33">
        <f t="shared" si="3"/>
        <v>0</v>
      </c>
      <c r="P26" s="33">
        <f t="shared" si="3"/>
        <v>0</v>
      </c>
      <c r="Q26" s="33">
        <f t="shared" si="3"/>
        <v>0</v>
      </c>
      <c r="R26" s="33">
        <f t="shared" si="3"/>
        <v>0</v>
      </c>
      <c r="S26" s="33">
        <f t="shared" si="3"/>
        <v>0</v>
      </c>
      <c r="T26" s="33">
        <f t="shared" si="3"/>
        <v>0</v>
      </c>
      <c r="U26" s="33">
        <f t="shared" si="3"/>
        <v>0</v>
      </c>
      <c r="V26" s="33">
        <f t="shared" si="3"/>
        <v>0</v>
      </c>
      <c r="W26" s="33">
        <f t="shared" si="3"/>
        <v>0</v>
      </c>
      <c r="X26" s="33">
        <f t="shared" si="3"/>
        <v>0</v>
      </c>
      <c r="Y26" s="33">
        <f t="shared" si="7"/>
        <v>0</v>
      </c>
      <c r="Z26" s="33">
        <f t="shared" si="4"/>
        <v>0</v>
      </c>
      <c r="AA26" s="33">
        <f t="shared" si="4"/>
        <v>0</v>
      </c>
      <c r="AB26" s="33">
        <f t="shared" si="4"/>
        <v>0</v>
      </c>
      <c r="AC26" s="33">
        <f t="shared" si="4"/>
        <v>0</v>
      </c>
      <c r="AD26" s="33">
        <f t="shared" si="4"/>
        <v>0</v>
      </c>
      <c r="AE26" s="33">
        <f t="shared" si="4"/>
        <v>0</v>
      </c>
      <c r="AF26" s="33">
        <f t="shared" si="4"/>
        <v>0</v>
      </c>
      <c r="AG26" s="33">
        <f t="shared" si="4"/>
        <v>0</v>
      </c>
      <c r="AH26" s="33">
        <f t="shared" si="4"/>
        <v>0</v>
      </c>
      <c r="AI26" s="33">
        <f t="shared" si="4"/>
        <v>0</v>
      </c>
      <c r="AJ26" s="33">
        <f t="shared" si="4"/>
        <v>0</v>
      </c>
      <c r="AK26" s="33">
        <f t="shared" si="8"/>
        <v>0</v>
      </c>
      <c r="AL26" s="33">
        <f t="shared" si="5"/>
        <v>0</v>
      </c>
      <c r="AM26" s="33">
        <f t="shared" si="5"/>
        <v>0</v>
      </c>
      <c r="AN26" s="33">
        <f t="shared" si="5"/>
        <v>0</v>
      </c>
      <c r="AO26" s="33">
        <f t="shared" si="5"/>
        <v>0</v>
      </c>
      <c r="AP26" s="33">
        <f t="shared" si="5"/>
        <v>0</v>
      </c>
      <c r="AQ26" s="33">
        <f t="shared" si="5"/>
        <v>0</v>
      </c>
      <c r="AR26" s="33">
        <f t="shared" si="5"/>
        <v>0</v>
      </c>
      <c r="AS26" s="33">
        <f t="shared" si="5"/>
        <v>0</v>
      </c>
      <c r="AT26" s="33">
        <f t="shared" si="5"/>
        <v>0</v>
      </c>
      <c r="AU26" s="33">
        <f t="shared" si="5"/>
        <v>0</v>
      </c>
      <c r="AV26" s="33">
        <f t="shared" si="5"/>
        <v>0</v>
      </c>
    </row>
    <row r="27" spans="1:48" ht="18">
      <c r="A27" s="49">
        <f>(IF(Inställningar!$B$6="NEJ",Matchnummer!A14,Matchnummer!A14))</f>
        <v>14</v>
      </c>
      <c r="B27" s="50" t="str">
        <f>+VLOOKUP(F27,Grupper!$B$1:$C$12,2,FALSE)</f>
        <v>A</v>
      </c>
      <c r="C27" s="51">
        <f>IF(AND(Lottning!$B$2&gt;0,OR(F27=F25,F27=H25,H27=F25,H27=H25)),E26+Inställningar!$B$3+Inställningar!$B$4,E26+Inställningar!$B$3)</f>
        <v>0.4597222222222225</v>
      </c>
      <c r="D27" s="31" t="s">
        <v>56</v>
      </c>
      <c r="E27" s="51">
        <f>IF(AND(Lottning!$B$2&gt;0,OR(F27=F26,F27=H26,H27=F26,H27=H26)),C27+Inställningar!$B$3+Inställningar!$B$4,C27+Inställningar!$B$1)</f>
        <v>0.4687500000000003</v>
      </c>
      <c r="F27" s="30" t="str">
        <f>+VLOOKUP(Spelordning!B15,Lottning!$A$1:$B$13,2,FALSE)</f>
        <v>Häljarps IF 2</v>
      </c>
      <c r="G27" s="31" t="s">
        <v>56</v>
      </c>
      <c r="H27" s="30" t="str">
        <f>+VLOOKUP(Spelordning!C15,Lottning!$A$1:$B$13,2,FALSE)</f>
        <v>Svalövs BK 2</v>
      </c>
      <c r="J27" s="31" t="s">
        <v>56</v>
      </c>
      <c r="L27" s="52"/>
      <c r="M27" s="33">
        <f t="shared" si="6"/>
        <v>0</v>
      </c>
      <c r="N27" s="33">
        <f t="shared" si="3"/>
        <v>0</v>
      </c>
      <c r="O27" s="33">
        <f t="shared" si="3"/>
        <v>0</v>
      </c>
      <c r="P27" s="33">
        <f t="shared" si="3"/>
        <v>0</v>
      </c>
      <c r="Q27" s="33">
        <f t="shared" si="3"/>
        <v>0</v>
      </c>
      <c r="R27" s="33">
        <f t="shared" si="3"/>
        <v>0</v>
      </c>
      <c r="S27" s="33">
        <f t="shared" si="3"/>
        <v>0</v>
      </c>
      <c r="T27" s="33">
        <f t="shared" si="3"/>
        <v>0</v>
      </c>
      <c r="U27" s="33">
        <f t="shared" si="3"/>
        <v>0</v>
      </c>
      <c r="V27" s="33">
        <f t="shared" si="3"/>
        <v>0</v>
      </c>
      <c r="W27" s="33">
        <f t="shared" si="3"/>
        <v>0</v>
      </c>
      <c r="X27" s="33">
        <f t="shared" si="3"/>
        <v>0</v>
      </c>
      <c r="Y27" s="33">
        <f t="shared" si="7"/>
        <v>0</v>
      </c>
      <c r="Z27" s="33">
        <f t="shared" si="4"/>
        <v>0</v>
      </c>
      <c r="AA27" s="33">
        <f t="shared" si="4"/>
        <v>0</v>
      </c>
      <c r="AB27" s="33">
        <f t="shared" si="4"/>
        <v>0</v>
      </c>
      <c r="AC27" s="33">
        <f t="shared" si="4"/>
        <v>0</v>
      </c>
      <c r="AD27" s="33">
        <f t="shared" si="4"/>
        <v>0</v>
      </c>
      <c r="AE27" s="33">
        <f t="shared" si="4"/>
        <v>0</v>
      </c>
      <c r="AF27" s="33">
        <f t="shared" si="4"/>
        <v>0</v>
      </c>
      <c r="AG27" s="33">
        <f t="shared" si="4"/>
        <v>0</v>
      </c>
      <c r="AH27" s="33">
        <f t="shared" si="4"/>
        <v>0</v>
      </c>
      <c r="AI27" s="33">
        <f t="shared" si="4"/>
        <v>0</v>
      </c>
      <c r="AJ27" s="33">
        <f t="shared" si="4"/>
        <v>0</v>
      </c>
      <c r="AK27" s="33">
        <f t="shared" si="8"/>
        <v>0</v>
      </c>
      <c r="AL27" s="33">
        <f t="shared" si="5"/>
        <v>0</v>
      </c>
      <c r="AM27" s="33">
        <f t="shared" si="5"/>
        <v>0</v>
      </c>
      <c r="AN27" s="33">
        <f t="shared" si="5"/>
        <v>0</v>
      </c>
      <c r="AO27" s="33">
        <f t="shared" si="5"/>
        <v>0</v>
      </c>
      <c r="AP27" s="33">
        <f t="shared" si="5"/>
        <v>0</v>
      </c>
      <c r="AQ27" s="33">
        <f t="shared" si="5"/>
        <v>0</v>
      </c>
      <c r="AR27" s="33">
        <f t="shared" si="5"/>
        <v>0</v>
      </c>
      <c r="AS27" s="33">
        <f t="shared" si="5"/>
        <v>0</v>
      </c>
      <c r="AT27" s="33">
        <f t="shared" si="5"/>
        <v>0</v>
      </c>
      <c r="AU27" s="33">
        <f t="shared" si="5"/>
        <v>0</v>
      </c>
      <c r="AV27" s="33">
        <f t="shared" si="5"/>
        <v>0</v>
      </c>
    </row>
    <row r="28" spans="1:48" ht="18">
      <c r="A28" s="49">
        <f>(IF(Inställningar!$B$6="NEJ",Matchnummer!A15,Matchnummer!A15))</f>
        <v>15</v>
      </c>
      <c r="B28" s="50" t="str">
        <f>+VLOOKUP(F28,Grupper!$B$1:$C$12,2,FALSE)</f>
        <v>B</v>
      </c>
      <c r="C28" s="51">
        <f>IF(AND(Lottning!$B$2&gt;0,OR(F28=F26,F28=H26,H28=F26,H28=H26)),E27+Inställningar!$B$3+Inställningar!$B$4,E27+Inställningar!$B$3)</f>
        <v>0.4694444444444447</v>
      </c>
      <c r="D28" s="31" t="s">
        <v>56</v>
      </c>
      <c r="E28" s="51">
        <f>IF(AND(Lottning!$B$2&gt;0,OR(F28=F27,F28=H27,H28=F27,H28=H27)),C28+Inställningar!$B$3+Inställningar!$B$4,C28+Inställningar!$B$1)</f>
        <v>0.4784722222222225</v>
      </c>
      <c r="F28" s="30" t="str">
        <f>+VLOOKUP(Spelordning!B16,Lottning!$A$1:$B$13,2,FALSE)</f>
        <v>Svalövs BK 1</v>
      </c>
      <c r="G28" s="31" t="s">
        <v>56</v>
      </c>
      <c r="H28" s="30" t="str">
        <f>+VLOOKUP(Spelordning!C16,Lottning!$A$1:$B$13,2,FALSE)</f>
        <v>Dösjöbro IF 2</v>
      </c>
      <c r="J28" s="31" t="s">
        <v>56</v>
      </c>
      <c r="L28" s="52"/>
      <c r="M28" s="33">
        <f t="shared" si="6"/>
        <v>0</v>
      </c>
      <c r="N28" s="33">
        <f t="shared" si="3"/>
        <v>0</v>
      </c>
      <c r="O28" s="33">
        <f t="shared" si="3"/>
        <v>0</v>
      </c>
      <c r="P28" s="33">
        <f t="shared" si="3"/>
        <v>0</v>
      </c>
      <c r="Q28" s="33">
        <f t="shared" si="3"/>
        <v>0</v>
      </c>
      <c r="R28" s="33">
        <f t="shared" si="3"/>
        <v>0</v>
      </c>
      <c r="S28" s="33">
        <f t="shared" si="3"/>
        <v>0</v>
      </c>
      <c r="T28" s="33">
        <f t="shared" si="3"/>
        <v>0</v>
      </c>
      <c r="U28" s="33">
        <f t="shared" si="3"/>
        <v>0</v>
      </c>
      <c r="V28" s="33">
        <f t="shared" si="3"/>
        <v>0</v>
      </c>
      <c r="W28" s="33">
        <f t="shared" si="3"/>
        <v>0</v>
      </c>
      <c r="X28" s="33">
        <f t="shared" si="3"/>
        <v>0</v>
      </c>
      <c r="Y28" s="33">
        <f t="shared" si="7"/>
        <v>0</v>
      </c>
      <c r="Z28" s="33">
        <f t="shared" si="4"/>
        <v>0</v>
      </c>
      <c r="AA28" s="33">
        <f t="shared" si="4"/>
        <v>0</v>
      </c>
      <c r="AB28" s="33">
        <f t="shared" si="4"/>
        <v>0</v>
      </c>
      <c r="AC28" s="33">
        <f t="shared" si="4"/>
        <v>0</v>
      </c>
      <c r="AD28" s="33">
        <f t="shared" si="4"/>
        <v>0</v>
      </c>
      <c r="AE28" s="33">
        <f t="shared" si="4"/>
        <v>0</v>
      </c>
      <c r="AF28" s="33">
        <f t="shared" si="4"/>
        <v>0</v>
      </c>
      <c r="AG28" s="33">
        <f t="shared" si="4"/>
        <v>0</v>
      </c>
      <c r="AH28" s="33">
        <f t="shared" si="4"/>
        <v>0</v>
      </c>
      <c r="AI28" s="33">
        <f t="shared" si="4"/>
        <v>0</v>
      </c>
      <c r="AJ28" s="33">
        <f t="shared" si="4"/>
        <v>0</v>
      </c>
      <c r="AK28" s="33">
        <f t="shared" si="8"/>
        <v>0</v>
      </c>
      <c r="AL28" s="33">
        <f t="shared" si="5"/>
        <v>0</v>
      </c>
      <c r="AM28" s="33">
        <f t="shared" si="5"/>
        <v>0</v>
      </c>
      <c r="AN28" s="33">
        <f t="shared" si="5"/>
        <v>0</v>
      </c>
      <c r="AO28" s="33">
        <f t="shared" si="5"/>
        <v>0</v>
      </c>
      <c r="AP28" s="33">
        <f t="shared" si="5"/>
        <v>0</v>
      </c>
      <c r="AQ28" s="33">
        <f t="shared" si="5"/>
        <v>0</v>
      </c>
      <c r="AR28" s="33">
        <f t="shared" si="5"/>
        <v>0</v>
      </c>
      <c r="AS28" s="33">
        <f t="shared" si="5"/>
        <v>0</v>
      </c>
      <c r="AT28" s="33">
        <f t="shared" si="5"/>
        <v>0</v>
      </c>
      <c r="AU28" s="33">
        <f t="shared" si="5"/>
        <v>0</v>
      </c>
      <c r="AV28" s="33">
        <f t="shared" si="5"/>
        <v>0</v>
      </c>
    </row>
    <row r="29" spans="1:48" ht="18">
      <c r="A29" s="49">
        <f>(IF(Inställningar!$B$6="NEJ",Matchnummer!A16,Matchnummer!A16))</f>
        <v>16</v>
      </c>
      <c r="B29" s="50" t="str">
        <f>IF(A29="","",(VLOOKUP(F29,Grupper!$B$1:$C$12,2,FALSE)))</f>
        <v>B</v>
      </c>
      <c r="C29" s="51">
        <f>IF(AND(Lottning!$B$2&gt;0,OR(F29=F27,F29=H27,H29=F27,H29=H27)),E28+Inställningar!$B$3+Inställningar!$B$4,E28+Inställningar!$B$3)</f>
        <v>0.47916666666666696</v>
      </c>
      <c r="D29" s="31" t="b">
        <f>IF($A29="","")</f>
        <v>0</v>
      </c>
      <c r="E29" s="51">
        <f>IF(AND(Lottning!$B$2&gt;0,OR(F29=F28,F29=H28,H29=F28,H29=H28)),C29+Inställningar!$B$3+Inställningar!$B$4,C29+Inställningar!$B$1)</f>
        <v>0.48819444444444476</v>
      </c>
      <c r="F29" s="30" t="str">
        <f>IF(A29="","",(VLOOKUP(Spelordning!B17,Lottning!$A$1:$B$13,2,FALSE)))</f>
        <v>Billesholms GIF</v>
      </c>
      <c r="G29" s="31" t="str">
        <f>IF($A29="","","-")</f>
        <v>-</v>
      </c>
      <c r="H29" s="30" t="str">
        <f>IF(A29="","",(VLOOKUP(Spelordning!C17,Lottning!$A$1:$B$13,2,FALSE)))</f>
        <v>Häljarps IF 1</v>
      </c>
      <c r="J29" s="31" t="str">
        <f>IF($A29="","","-")</f>
        <v>-</v>
      </c>
      <c r="L29" s="52"/>
      <c r="M29" s="33">
        <f t="shared" si="6"/>
        <v>0</v>
      </c>
      <c r="N29" s="33">
        <f t="shared" si="3"/>
        <v>0</v>
      </c>
      <c r="O29" s="33">
        <f t="shared" si="3"/>
        <v>0</v>
      </c>
      <c r="P29" s="33">
        <f t="shared" si="3"/>
        <v>0</v>
      </c>
      <c r="Q29" s="33">
        <f t="shared" si="3"/>
        <v>0</v>
      </c>
      <c r="R29" s="33">
        <f t="shared" si="3"/>
        <v>0</v>
      </c>
      <c r="S29" s="33">
        <f t="shared" si="3"/>
        <v>0</v>
      </c>
      <c r="T29" s="33">
        <f t="shared" si="3"/>
        <v>0</v>
      </c>
      <c r="U29" s="33">
        <f t="shared" si="3"/>
        <v>0</v>
      </c>
      <c r="V29" s="33">
        <f t="shared" si="3"/>
        <v>0</v>
      </c>
      <c r="W29" s="33">
        <f t="shared" si="3"/>
        <v>0</v>
      </c>
      <c r="X29" s="33">
        <f t="shared" si="3"/>
        <v>0</v>
      </c>
      <c r="Y29" s="33">
        <f t="shared" si="7"/>
        <v>0</v>
      </c>
      <c r="Z29" s="33">
        <f t="shared" si="4"/>
        <v>0</v>
      </c>
      <c r="AA29" s="33">
        <f t="shared" si="4"/>
        <v>0</v>
      </c>
      <c r="AB29" s="33">
        <f t="shared" si="4"/>
        <v>0</v>
      </c>
      <c r="AC29" s="33">
        <f t="shared" si="4"/>
        <v>0</v>
      </c>
      <c r="AD29" s="33">
        <f t="shared" si="4"/>
        <v>0</v>
      </c>
      <c r="AE29" s="33">
        <f t="shared" si="4"/>
        <v>0</v>
      </c>
      <c r="AF29" s="33">
        <f t="shared" si="4"/>
        <v>0</v>
      </c>
      <c r="AG29" s="33">
        <f t="shared" si="4"/>
        <v>0</v>
      </c>
      <c r="AH29" s="33">
        <f t="shared" si="4"/>
        <v>0</v>
      </c>
      <c r="AI29" s="33">
        <f t="shared" si="4"/>
        <v>0</v>
      </c>
      <c r="AJ29" s="33">
        <f t="shared" si="4"/>
        <v>0</v>
      </c>
      <c r="AK29" s="33">
        <f t="shared" si="8"/>
        <v>0</v>
      </c>
      <c r="AL29" s="33">
        <f t="shared" si="5"/>
        <v>0</v>
      </c>
      <c r="AM29" s="33">
        <f t="shared" si="5"/>
        <v>0</v>
      </c>
      <c r="AN29" s="33">
        <f t="shared" si="5"/>
        <v>0</v>
      </c>
      <c r="AO29" s="33">
        <f t="shared" si="5"/>
        <v>0</v>
      </c>
      <c r="AP29" s="33">
        <f t="shared" si="5"/>
        <v>0</v>
      </c>
      <c r="AQ29" s="33">
        <f t="shared" si="5"/>
        <v>0</v>
      </c>
      <c r="AR29" s="33">
        <f t="shared" si="5"/>
        <v>0</v>
      </c>
      <c r="AS29" s="33">
        <f t="shared" si="5"/>
        <v>0</v>
      </c>
      <c r="AT29" s="33">
        <f t="shared" si="5"/>
        <v>0</v>
      </c>
      <c r="AU29" s="33">
        <f t="shared" si="5"/>
        <v>0</v>
      </c>
      <c r="AV29" s="33">
        <f t="shared" si="5"/>
        <v>0</v>
      </c>
    </row>
    <row r="30" spans="1:48" s="3" customFormat="1" ht="5.25" customHeight="1">
      <c r="A30" s="43"/>
      <c r="B30" s="44"/>
      <c r="C30" s="47"/>
      <c r="D30" s="46"/>
      <c r="E30" s="47"/>
      <c r="F30" s="47"/>
      <c r="G30" s="46"/>
      <c r="H30" s="47"/>
      <c r="I30" s="47"/>
      <c r="J30" s="46"/>
      <c r="K30" s="47"/>
      <c r="L30" s="47"/>
      <c r="M30" s="33">
        <f t="shared" si="6"/>
        <v>0</v>
      </c>
      <c r="N30" s="33">
        <f t="shared" si="3"/>
        <v>0</v>
      </c>
      <c r="O30" s="33">
        <f t="shared" si="3"/>
        <v>0</v>
      </c>
      <c r="P30" s="33">
        <f t="shared" si="3"/>
        <v>0</v>
      </c>
      <c r="Q30" s="33">
        <f t="shared" si="3"/>
        <v>0</v>
      </c>
      <c r="R30" s="33">
        <f t="shared" si="3"/>
        <v>0</v>
      </c>
      <c r="S30" s="33">
        <f t="shared" si="3"/>
        <v>0</v>
      </c>
      <c r="T30" s="33">
        <f t="shared" si="3"/>
        <v>0</v>
      </c>
      <c r="U30" s="33">
        <f t="shared" si="3"/>
        <v>0</v>
      </c>
      <c r="V30" s="33">
        <f t="shared" si="3"/>
        <v>0</v>
      </c>
      <c r="W30" s="33">
        <f t="shared" si="3"/>
        <v>0</v>
      </c>
      <c r="X30" s="33">
        <f t="shared" si="3"/>
        <v>0</v>
      </c>
      <c r="Y30" s="33">
        <f t="shared" si="7"/>
        <v>0</v>
      </c>
      <c r="Z30" s="33">
        <f t="shared" si="4"/>
        <v>0</v>
      </c>
      <c r="AA30" s="33">
        <f t="shared" si="4"/>
        <v>0</v>
      </c>
      <c r="AB30" s="33">
        <f t="shared" si="4"/>
        <v>0</v>
      </c>
      <c r="AC30" s="33">
        <f t="shared" si="4"/>
        <v>0</v>
      </c>
      <c r="AD30" s="33">
        <f t="shared" si="4"/>
        <v>0</v>
      </c>
      <c r="AE30" s="33">
        <f t="shared" si="4"/>
        <v>0</v>
      </c>
      <c r="AF30" s="33">
        <f t="shared" si="4"/>
        <v>0</v>
      </c>
      <c r="AG30" s="33">
        <f t="shared" si="4"/>
        <v>0</v>
      </c>
      <c r="AH30" s="33">
        <f t="shared" si="4"/>
        <v>0</v>
      </c>
      <c r="AI30" s="33">
        <f t="shared" si="4"/>
        <v>0</v>
      </c>
      <c r="AJ30" s="33">
        <f t="shared" si="4"/>
        <v>0</v>
      </c>
      <c r="AK30" s="33">
        <f t="shared" si="8"/>
        <v>0</v>
      </c>
      <c r="AL30" s="33">
        <f t="shared" si="5"/>
        <v>0</v>
      </c>
      <c r="AM30" s="33">
        <f t="shared" si="5"/>
        <v>0</v>
      </c>
      <c r="AN30" s="33">
        <f t="shared" si="5"/>
        <v>0</v>
      </c>
      <c r="AO30" s="33">
        <f t="shared" si="5"/>
        <v>0</v>
      </c>
      <c r="AP30" s="33">
        <f t="shared" si="5"/>
        <v>0</v>
      </c>
      <c r="AQ30" s="33">
        <f t="shared" si="5"/>
        <v>0</v>
      </c>
      <c r="AR30" s="33">
        <f t="shared" si="5"/>
        <v>0</v>
      </c>
      <c r="AS30" s="33">
        <f t="shared" si="5"/>
        <v>0</v>
      </c>
      <c r="AT30" s="33">
        <f t="shared" si="5"/>
        <v>0</v>
      </c>
      <c r="AU30" s="33">
        <f t="shared" si="5"/>
        <v>0</v>
      </c>
      <c r="AV30" s="33">
        <f t="shared" si="5"/>
        <v>0</v>
      </c>
    </row>
    <row r="31" spans="1:48" ht="18">
      <c r="A31" s="49">
        <f>(IF(Inställningar!$B$6="NEJ",Matchnummer!A17,Matchnummer!A17))</f>
        <v>17</v>
      </c>
      <c r="B31" s="50" t="str">
        <f>IF(A31="","",(VLOOKUP(F31,Grupper!$B$1:$C$12,2,FALSE)))</f>
        <v>A</v>
      </c>
      <c r="C31" s="51">
        <f>IF(AND(Lottning!$B$2&gt;0,OR(F31=F29,F31=H29,H31=F29,H31=H29)),E29+Inställningar!$B$3+Inställningar!$B$4,E29+Inställningar!$B$3)</f>
        <v>0.4888888888888892</v>
      </c>
      <c r="D31" s="31" t="b">
        <f>IF($A31="","")</f>
        <v>0</v>
      </c>
      <c r="E31" s="51">
        <f>IF(AND(Lottning!$B$2&gt;0,OR(F31=F30,F31=H30,H31=F30,H31=H30)),C31+Inställningar!$B$3+Inställningar!$B$4,C31+Inställningar!$B$1)</f>
        <v>0.497916666666667</v>
      </c>
      <c r="F31" s="30" t="str">
        <f>IF(A31="","",(VLOOKUP(Spelordning!B18,Lottning!$A$1:$B$13,2,FALSE)))</f>
        <v>IK Wormo</v>
      </c>
      <c r="G31" s="31" t="str">
        <f>IF($A31="","","-")</f>
        <v>-</v>
      </c>
      <c r="H31" s="30" t="str">
        <f>IF(A31="","",(VLOOKUP(Spelordning!C18,Lottning!$A$1:$B$13,2,FALSE)))</f>
        <v>Åstorps FF 1</v>
      </c>
      <c r="J31" s="31" t="str">
        <f>IF($A31="","","-")</f>
        <v>-</v>
      </c>
      <c r="L31" s="52"/>
      <c r="M31" s="33">
        <f t="shared" si="6"/>
        <v>0</v>
      </c>
      <c r="N31" s="33">
        <f t="shared" si="3"/>
        <v>0</v>
      </c>
      <c r="O31" s="33">
        <f t="shared" si="3"/>
        <v>0</v>
      </c>
      <c r="P31" s="33">
        <f t="shared" si="3"/>
        <v>0</v>
      </c>
      <c r="Q31" s="33">
        <f t="shared" si="3"/>
        <v>0</v>
      </c>
      <c r="R31" s="33">
        <f t="shared" si="3"/>
        <v>0</v>
      </c>
      <c r="S31" s="33">
        <f t="shared" si="3"/>
        <v>0</v>
      </c>
      <c r="T31" s="33">
        <f t="shared" si="3"/>
        <v>0</v>
      </c>
      <c r="U31" s="33">
        <f t="shared" si="3"/>
        <v>0</v>
      </c>
      <c r="V31" s="33">
        <f t="shared" si="3"/>
        <v>0</v>
      </c>
      <c r="W31" s="33">
        <f t="shared" si="3"/>
        <v>0</v>
      </c>
      <c r="X31" s="33">
        <f t="shared" si="3"/>
        <v>0</v>
      </c>
      <c r="Y31" s="33">
        <f t="shared" si="7"/>
        <v>0</v>
      </c>
      <c r="Z31" s="33">
        <f t="shared" si="4"/>
        <v>0</v>
      </c>
      <c r="AA31" s="33">
        <f t="shared" si="4"/>
        <v>0</v>
      </c>
      <c r="AB31" s="33">
        <f t="shared" si="4"/>
        <v>0</v>
      </c>
      <c r="AC31" s="33">
        <f t="shared" si="4"/>
        <v>0</v>
      </c>
      <c r="AD31" s="33">
        <f t="shared" si="4"/>
        <v>0</v>
      </c>
      <c r="AE31" s="33">
        <f t="shared" si="4"/>
        <v>0</v>
      </c>
      <c r="AF31" s="33">
        <f t="shared" si="4"/>
        <v>0</v>
      </c>
      <c r="AG31" s="33">
        <f t="shared" si="4"/>
        <v>0</v>
      </c>
      <c r="AH31" s="33">
        <f t="shared" si="4"/>
        <v>0</v>
      </c>
      <c r="AI31" s="33">
        <f t="shared" si="4"/>
        <v>0</v>
      </c>
      <c r="AJ31" s="33">
        <f t="shared" si="4"/>
        <v>0</v>
      </c>
      <c r="AK31" s="33">
        <f t="shared" si="8"/>
        <v>0</v>
      </c>
      <c r="AL31" s="33">
        <f t="shared" si="5"/>
        <v>0</v>
      </c>
      <c r="AM31" s="33">
        <f t="shared" si="5"/>
        <v>0</v>
      </c>
      <c r="AN31" s="33">
        <f t="shared" si="5"/>
        <v>0</v>
      </c>
      <c r="AO31" s="33">
        <f t="shared" si="5"/>
        <v>0</v>
      </c>
      <c r="AP31" s="33">
        <f t="shared" si="5"/>
        <v>0</v>
      </c>
      <c r="AQ31" s="33">
        <f t="shared" si="5"/>
        <v>0</v>
      </c>
      <c r="AR31" s="33">
        <f t="shared" si="5"/>
        <v>0</v>
      </c>
      <c r="AS31" s="33">
        <f t="shared" si="5"/>
        <v>0</v>
      </c>
      <c r="AT31" s="33">
        <f t="shared" si="5"/>
        <v>0</v>
      </c>
      <c r="AU31" s="33">
        <f t="shared" si="5"/>
        <v>0</v>
      </c>
      <c r="AV31" s="33">
        <f t="shared" si="5"/>
        <v>0</v>
      </c>
    </row>
    <row r="32" spans="1:48" ht="18">
      <c r="A32" s="49">
        <f>(IF(Inställningar!$B$6="NEJ",Matchnummer!A18,Matchnummer!A18))</f>
        <v>18</v>
      </c>
      <c r="B32" s="50" t="str">
        <f>IF(A32="","",(VLOOKUP(F32,Grupper!$B$1:$C$12,2,FALSE)))</f>
        <v>A</v>
      </c>
      <c r="C32" s="51">
        <f>IF(AND(Lottning!$B$2&gt;0,OR(F32=F30,F32=H30,H32=F30,H32=H30)),E31+Inställningar!$B$3+Inställningar!$B$4,E31+Inställningar!$B$3)</f>
        <v>0.49861111111111145</v>
      </c>
      <c r="D32" s="31" t="b">
        <f>IF($A32="","")</f>
        <v>0</v>
      </c>
      <c r="E32" s="51">
        <f>IF(AND(Lottning!$B$2&gt;0,OR(F32=F31,F32=H31,H32=F31,H32=H31)),C32+Inställningar!$B$3+Inställningar!$B$4,C32+Inställningar!$B$1)</f>
        <v>0.5076388888888892</v>
      </c>
      <c r="F32" s="30" t="str">
        <f>IF(A32="","",(VLOOKUP(Spelordning!B19,Lottning!$A$1:$B$13,2,FALSE)))</f>
        <v>Dösjöbro IF 1</v>
      </c>
      <c r="G32" s="31" t="str">
        <f>IF($A32="","","-")</f>
        <v>-</v>
      </c>
      <c r="H32" s="30" t="str">
        <f>IF(A32="","",(VLOOKUP(Spelordning!C19,Lottning!$A$1:$B$13,2,FALSE)))</f>
        <v>Häljarps IF 2</v>
      </c>
      <c r="J32" s="31" t="str">
        <f>IF($A32="","","-")</f>
        <v>-</v>
      </c>
      <c r="L32" s="52"/>
      <c r="M32" s="33">
        <f t="shared" si="6"/>
        <v>0</v>
      </c>
      <c r="N32" s="33">
        <f t="shared" si="3"/>
        <v>0</v>
      </c>
      <c r="O32" s="33">
        <f t="shared" si="3"/>
        <v>0</v>
      </c>
      <c r="P32" s="33">
        <f t="shared" si="3"/>
        <v>0</v>
      </c>
      <c r="Q32" s="33">
        <f t="shared" si="3"/>
        <v>0</v>
      </c>
      <c r="R32" s="33">
        <f t="shared" si="3"/>
        <v>0</v>
      </c>
      <c r="S32" s="33">
        <f t="shared" si="3"/>
        <v>0</v>
      </c>
      <c r="T32" s="33">
        <f t="shared" si="3"/>
        <v>0</v>
      </c>
      <c r="U32" s="33">
        <f t="shared" si="3"/>
        <v>0</v>
      </c>
      <c r="V32" s="33">
        <f t="shared" si="3"/>
        <v>0</v>
      </c>
      <c r="W32" s="33">
        <f t="shared" si="3"/>
        <v>0</v>
      </c>
      <c r="X32" s="33">
        <f t="shared" si="3"/>
        <v>0</v>
      </c>
      <c r="Y32" s="33">
        <f t="shared" si="7"/>
        <v>0</v>
      </c>
      <c r="Z32" s="33">
        <f t="shared" si="4"/>
        <v>0</v>
      </c>
      <c r="AA32" s="33">
        <f t="shared" si="4"/>
        <v>0</v>
      </c>
      <c r="AB32" s="33">
        <f t="shared" si="4"/>
        <v>0</v>
      </c>
      <c r="AC32" s="33">
        <f t="shared" si="4"/>
        <v>0</v>
      </c>
      <c r="AD32" s="33">
        <f t="shared" si="4"/>
        <v>0</v>
      </c>
      <c r="AE32" s="33">
        <f t="shared" si="4"/>
        <v>0</v>
      </c>
      <c r="AF32" s="33">
        <f t="shared" si="4"/>
        <v>0</v>
      </c>
      <c r="AG32" s="33">
        <f t="shared" si="4"/>
        <v>0</v>
      </c>
      <c r="AH32" s="33">
        <f t="shared" si="4"/>
        <v>0</v>
      </c>
      <c r="AI32" s="33">
        <f t="shared" si="4"/>
        <v>0</v>
      </c>
      <c r="AJ32" s="33">
        <f t="shared" si="4"/>
        <v>0</v>
      </c>
      <c r="AK32" s="33">
        <f t="shared" si="8"/>
        <v>0</v>
      </c>
      <c r="AL32" s="33">
        <f t="shared" si="5"/>
        <v>0</v>
      </c>
      <c r="AM32" s="33">
        <f t="shared" si="5"/>
        <v>0</v>
      </c>
      <c r="AN32" s="33">
        <f t="shared" si="5"/>
        <v>0</v>
      </c>
      <c r="AO32" s="33">
        <f t="shared" si="5"/>
        <v>0</v>
      </c>
      <c r="AP32" s="33">
        <f t="shared" si="5"/>
        <v>0</v>
      </c>
      <c r="AQ32" s="33">
        <f t="shared" si="5"/>
        <v>0</v>
      </c>
      <c r="AR32" s="33">
        <f t="shared" si="5"/>
        <v>0</v>
      </c>
      <c r="AS32" s="33">
        <f t="shared" si="5"/>
        <v>0</v>
      </c>
      <c r="AT32" s="33">
        <f t="shared" si="5"/>
        <v>0</v>
      </c>
      <c r="AU32" s="33">
        <f t="shared" si="5"/>
        <v>0</v>
      </c>
      <c r="AV32" s="33">
        <f t="shared" si="5"/>
        <v>0</v>
      </c>
    </row>
    <row r="33" spans="1:48" ht="18">
      <c r="A33" s="49">
        <f>(IF(Inställningar!$B$6="NEJ",Matchnummer!A19,Matchnummer!A19))</f>
        <v>19</v>
      </c>
      <c r="B33" s="50" t="str">
        <f>IF(A33="","",(VLOOKUP(F33,Grupper!$B$1:$C$12,2,FALSE)))</f>
        <v>B</v>
      </c>
      <c r="C33" s="51">
        <f>IF(AND(Lottning!$B$2&gt;0,OR(F33=F31,F33=H31,H33=F31,H33=H31)),E32+Inställningar!$B$3+Inställningar!$B$4,E32+Inställningar!$B$3)</f>
        <v>0.5083333333333336</v>
      </c>
      <c r="D33" s="31" t="b">
        <f>IF($A33="","")</f>
        <v>0</v>
      </c>
      <c r="E33" s="51">
        <f>IF(AND(Lottning!$B$2&gt;0,OR(F33=F32,F33=H32,H33=F32,H33=H32)),C33+Inställningar!$B$3+Inställningar!$B$4,C33+Inställningar!$B$1)</f>
        <v>0.5173611111111114</v>
      </c>
      <c r="F33" s="30" t="str">
        <f>IF(A33="","",(VLOOKUP(Spelordning!B20,Lottning!$A$1:$B$13,2,FALSE)))</f>
        <v>Åstorps FF 2</v>
      </c>
      <c r="G33" s="31" t="str">
        <f>IF($A33="","","-")</f>
        <v>-</v>
      </c>
      <c r="H33" s="30" t="str">
        <f>IF(A33="","",(VLOOKUP(Spelordning!C20,Lottning!$A$1:$B$13,2,FALSE)))</f>
        <v>Svalövs BK 1</v>
      </c>
      <c r="J33" s="31" t="str">
        <f>IF($A33="","","-")</f>
        <v>-</v>
      </c>
      <c r="L33" s="52"/>
      <c r="M33" s="33">
        <f t="shared" si="6"/>
        <v>0</v>
      </c>
      <c r="N33" s="33">
        <f t="shared" si="3"/>
        <v>0</v>
      </c>
      <c r="O33" s="33">
        <f t="shared" si="3"/>
        <v>0</v>
      </c>
      <c r="P33" s="33">
        <f t="shared" si="3"/>
        <v>0</v>
      </c>
      <c r="Q33" s="33">
        <f t="shared" si="3"/>
        <v>0</v>
      </c>
      <c r="R33" s="33">
        <f t="shared" si="3"/>
        <v>0</v>
      </c>
      <c r="S33" s="33">
        <f t="shared" si="3"/>
        <v>0</v>
      </c>
      <c r="T33" s="33">
        <f t="shared" si="3"/>
        <v>0</v>
      </c>
      <c r="U33" s="33">
        <f t="shared" si="3"/>
        <v>0</v>
      </c>
      <c r="V33" s="33">
        <f t="shared" si="3"/>
        <v>0</v>
      </c>
      <c r="W33" s="33">
        <f t="shared" si="3"/>
        <v>0</v>
      </c>
      <c r="X33" s="33">
        <f t="shared" si="3"/>
        <v>0</v>
      </c>
      <c r="Y33" s="33">
        <f t="shared" si="7"/>
        <v>0</v>
      </c>
      <c r="Z33" s="33">
        <f t="shared" si="4"/>
        <v>0</v>
      </c>
      <c r="AA33" s="33">
        <f t="shared" si="4"/>
        <v>0</v>
      </c>
      <c r="AB33" s="33">
        <f t="shared" si="4"/>
        <v>0</v>
      </c>
      <c r="AC33" s="33">
        <f t="shared" si="4"/>
        <v>0</v>
      </c>
      <c r="AD33" s="33">
        <f t="shared" si="4"/>
        <v>0</v>
      </c>
      <c r="AE33" s="33">
        <f t="shared" si="4"/>
        <v>0</v>
      </c>
      <c r="AF33" s="33">
        <f t="shared" si="4"/>
        <v>0</v>
      </c>
      <c r="AG33" s="33">
        <f t="shared" si="4"/>
        <v>0</v>
      </c>
      <c r="AH33" s="33">
        <f t="shared" si="4"/>
        <v>0</v>
      </c>
      <c r="AI33" s="33">
        <f t="shared" si="4"/>
        <v>0</v>
      </c>
      <c r="AJ33" s="33">
        <f t="shared" si="4"/>
        <v>0</v>
      </c>
      <c r="AK33" s="33">
        <f t="shared" si="8"/>
        <v>0</v>
      </c>
      <c r="AL33" s="33">
        <f t="shared" si="5"/>
        <v>0</v>
      </c>
      <c r="AM33" s="33">
        <f t="shared" si="5"/>
        <v>0</v>
      </c>
      <c r="AN33" s="33">
        <f t="shared" si="5"/>
        <v>0</v>
      </c>
      <c r="AO33" s="33">
        <f t="shared" si="5"/>
        <v>0</v>
      </c>
      <c r="AP33" s="33">
        <f t="shared" si="5"/>
        <v>0</v>
      </c>
      <c r="AQ33" s="33">
        <f t="shared" si="5"/>
        <v>0</v>
      </c>
      <c r="AR33" s="33">
        <f t="shared" si="5"/>
        <v>0</v>
      </c>
      <c r="AS33" s="33">
        <f t="shared" si="5"/>
        <v>0</v>
      </c>
      <c r="AT33" s="33">
        <f t="shared" si="5"/>
        <v>0</v>
      </c>
      <c r="AU33" s="33">
        <f t="shared" si="5"/>
        <v>0</v>
      </c>
      <c r="AV33" s="33">
        <f t="shared" si="5"/>
        <v>0</v>
      </c>
    </row>
    <row r="34" spans="1:48" ht="18">
      <c r="A34" s="49">
        <f>(IF(Inställningar!$B$6="NEJ",Matchnummer!A20,Matchnummer!A20))</f>
        <v>20</v>
      </c>
      <c r="B34" s="50" t="str">
        <f>IF(A34="","",(VLOOKUP(F34,Grupper!$B$1:$C$12,2,FALSE)))</f>
        <v>B</v>
      </c>
      <c r="C34" s="51">
        <f>IF(AND(Lottning!$B$2&gt;0,OR(F34=F32,F34=H32,H34=F32,H34=H32)),E33+Inställningar!$B$3+Inställningar!$B$4,E33+Inställningar!$B$3)</f>
        <v>0.5180555555555558</v>
      </c>
      <c r="D34" s="31" t="b">
        <f>IF($A34="","")</f>
        <v>0</v>
      </c>
      <c r="E34" s="51">
        <f>IF(AND(Lottning!$B$2&gt;0,OR(F34=F33,F34=H33,H34=F33,H34=H33)),C34+Inställningar!$B$3+Inställningar!$B$4,C34+Inställningar!$B$1)</f>
        <v>0.5270833333333336</v>
      </c>
      <c r="F34" s="30" t="str">
        <f>IF(A34="","",(VLOOKUP(Spelordning!B21,Lottning!$A$1:$B$13,2,FALSE)))</f>
        <v>Dösjöbro IF 2</v>
      </c>
      <c r="G34" s="31" t="str">
        <f>IF($A34="","","-")</f>
        <v>-</v>
      </c>
      <c r="H34" s="30" t="str">
        <f>IF(A34="","",(VLOOKUP(Spelordning!C21,Lottning!$A$1:$B$13,2,FALSE)))</f>
        <v>Billesholms GIF</v>
      </c>
      <c r="J34" s="31" t="str">
        <f>IF($A34="","","-")</f>
        <v>-</v>
      </c>
      <c r="L34" s="52"/>
      <c r="M34" s="33">
        <f t="shared" si="6"/>
        <v>0</v>
      </c>
      <c r="N34" s="33">
        <f t="shared" si="3"/>
        <v>0</v>
      </c>
      <c r="O34" s="33">
        <f t="shared" si="3"/>
        <v>0</v>
      </c>
      <c r="P34" s="33">
        <f t="shared" si="3"/>
        <v>0</v>
      </c>
      <c r="Q34" s="33">
        <f t="shared" si="3"/>
        <v>0</v>
      </c>
      <c r="R34" s="33">
        <f t="shared" si="3"/>
        <v>0</v>
      </c>
      <c r="S34" s="33">
        <f t="shared" si="3"/>
        <v>0</v>
      </c>
      <c r="T34" s="33">
        <f t="shared" si="3"/>
        <v>0</v>
      </c>
      <c r="U34" s="33">
        <f t="shared" si="3"/>
        <v>0</v>
      </c>
      <c r="V34" s="33">
        <f t="shared" si="3"/>
        <v>0</v>
      </c>
      <c r="W34" s="33">
        <f t="shared" si="3"/>
        <v>0</v>
      </c>
      <c r="X34" s="33">
        <f t="shared" si="3"/>
        <v>0</v>
      </c>
      <c r="Y34" s="33">
        <f t="shared" si="7"/>
        <v>0</v>
      </c>
      <c r="Z34" s="33">
        <f t="shared" si="4"/>
        <v>0</v>
      </c>
      <c r="AA34" s="33">
        <f t="shared" si="4"/>
        <v>0</v>
      </c>
      <c r="AB34" s="33">
        <f t="shared" si="4"/>
        <v>0</v>
      </c>
      <c r="AC34" s="33">
        <f t="shared" si="4"/>
        <v>0</v>
      </c>
      <c r="AD34" s="33">
        <f t="shared" si="4"/>
        <v>0</v>
      </c>
      <c r="AE34" s="33">
        <f t="shared" si="4"/>
        <v>0</v>
      </c>
      <c r="AF34" s="33">
        <f t="shared" si="4"/>
        <v>0</v>
      </c>
      <c r="AG34" s="33">
        <f t="shared" si="4"/>
        <v>0</v>
      </c>
      <c r="AH34" s="33">
        <f t="shared" si="4"/>
        <v>0</v>
      </c>
      <c r="AI34" s="33">
        <f t="shared" si="4"/>
        <v>0</v>
      </c>
      <c r="AJ34" s="33">
        <f t="shared" si="4"/>
        <v>0</v>
      </c>
      <c r="AK34" s="33">
        <f t="shared" si="8"/>
        <v>0</v>
      </c>
      <c r="AL34" s="33">
        <f t="shared" si="5"/>
        <v>0</v>
      </c>
      <c r="AM34" s="33">
        <f t="shared" si="5"/>
        <v>0</v>
      </c>
      <c r="AN34" s="33">
        <f t="shared" si="5"/>
        <v>0</v>
      </c>
      <c r="AO34" s="33">
        <f t="shared" si="5"/>
        <v>0</v>
      </c>
      <c r="AP34" s="33">
        <f t="shared" si="5"/>
        <v>0</v>
      </c>
      <c r="AQ34" s="33">
        <f t="shared" si="5"/>
        <v>0</v>
      </c>
      <c r="AR34" s="33">
        <f t="shared" si="5"/>
        <v>0</v>
      </c>
      <c r="AS34" s="33">
        <f t="shared" si="5"/>
        <v>0</v>
      </c>
      <c r="AT34" s="33">
        <f t="shared" si="5"/>
        <v>0</v>
      </c>
      <c r="AU34" s="33">
        <f t="shared" si="5"/>
        <v>0</v>
      </c>
      <c r="AV34" s="33">
        <f t="shared" si="5"/>
        <v>0</v>
      </c>
    </row>
    <row r="35" spans="1:48" s="3" customFormat="1" ht="5.25" customHeight="1">
      <c r="A35" s="43"/>
      <c r="B35" s="44"/>
      <c r="C35" s="45"/>
      <c r="D35" s="46"/>
      <c r="E35" s="45"/>
      <c r="F35" s="47"/>
      <c r="G35" s="46"/>
      <c r="H35" s="47"/>
      <c r="I35" s="47"/>
      <c r="J35" s="46"/>
      <c r="K35" s="47"/>
      <c r="L35" s="47"/>
      <c r="M35" s="33">
        <f t="shared" si="6"/>
        <v>0</v>
      </c>
      <c r="N35" s="33">
        <f t="shared" si="3"/>
        <v>0</v>
      </c>
      <c r="O35" s="33">
        <f t="shared" si="3"/>
        <v>0</v>
      </c>
      <c r="P35" s="33">
        <f t="shared" si="3"/>
        <v>0</v>
      </c>
      <c r="Q35" s="33">
        <f t="shared" si="3"/>
        <v>0</v>
      </c>
      <c r="R35" s="33">
        <f t="shared" si="3"/>
        <v>0</v>
      </c>
      <c r="S35" s="33">
        <f t="shared" si="3"/>
        <v>0</v>
      </c>
      <c r="T35" s="33">
        <f t="shared" si="3"/>
        <v>0</v>
      </c>
      <c r="U35" s="33">
        <f t="shared" si="3"/>
        <v>0</v>
      </c>
      <c r="V35" s="33">
        <f t="shared" si="3"/>
        <v>0</v>
      </c>
      <c r="W35" s="33">
        <f t="shared" si="3"/>
        <v>0</v>
      </c>
      <c r="X35" s="33">
        <f t="shared" si="3"/>
        <v>0</v>
      </c>
      <c r="Y35" s="33">
        <f t="shared" si="7"/>
        <v>0</v>
      </c>
      <c r="Z35" s="33">
        <f t="shared" si="4"/>
        <v>0</v>
      </c>
      <c r="AA35" s="33">
        <f t="shared" si="4"/>
        <v>0</v>
      </c>
      <c r="AB35" s="33">
        <f t="shared" si="4"/>
        <v>0</v>
      </c>
      <c r="AC35" s="33">
        <f t="shared" si="4"/>
        <v>0</v>
      </c>
      <c r="AD35" s="33">
        <f t="shared" si="4"/>
        <v>0</v>
      </c>
      <c r="AE35" s="33">
        <f t="shared" si="4"/>
        <v>0</v>
      </c>
      <c r="AF35" s="33">
        <f t="shared" si="4"/>
        <v>0</v>
      </c>
      <c r="AG35" s="33">
        <f t="shared" si="4"/>
        <v>0</v>
      </c>
      <c r="AH35" s="33">
        <f t="shared" si="4"/>
        <v>0</v>
      </c>
      <c r="AI35" s="33">
        <f t="shared" si="4"/>
        <v>0</v>
      </c>
      <c r="AJ35" s="33">
        <f t="shared" si="4"/>
        <v>0</v>
      </c>
      <c r="AK35" s="33">
        <f t="shared" si="8"/>
        <v>0</v>
      </c>
      <c r="AL35" s="33">
        <f t="shared" si="5"/>
        <v>0</v>
      </c>
      <c r="AM35" s="33">
        <f t="shared" si="5"/>
        <v>0</v>
      </c>
      <c r="AN35" s="33">
        <f t="shared" si="5"/>
        <v>0</v>
      </c>
      <c r="AO35" s="33">
        <f t="shared" si="5"/>
        <v>0</v>
      </c>
      <c r="AP35" s="33">
        <f t="shared" si="5"/>
        <v>0</v>
      </c>
      <c r="AQ35" s="33">
        <f t="shared" si="5"/>
        <v>0</v>
      </c>
      <c r="AR35" s="33">
        <f t="shared" si="5"/>
        <v>0</v>
      </c>
      <c r="AS35" s="33">
        <f t="shared" si="5"/>
        <v>0</v>
      </c>
      <c r="AT35" s="33">
        <f t="shared" si="5"/>
        <v>0</v>
      </c>
      <c r="AU35" s="33">
        <f t="shared" si="5"/>
        <v>0</v>
      </c>
      <c r="AV35" s="33">
        <f t="shared" si="5"/>
        <v>0</v>
      </c>
    </row>
    <row r="36" spans="1:48" ht="18">
      <c r="A36" s="49">
        <f>(IF(Inställningar!$B$6="NEJ",0,Matchnummer!A21))</f>
        <v>0</v>
      </c>
      <c r="B36" s="50">
        <f>IF(A36="","",(IF(Inställningar!B6="JA",VLOOKUP(F36,Grupper!$B$1:$C$12,2,FALSE),"")))</f>
      </c>
      <c r="C36" s="51">
        <f>IF(A36=0,C34,(IF(AND(Lottning!$B$2&gt;0,OR(F36=F34,F36=H34,H36=F34,H36=H34)),IF(Inställningar!B6="ja",E34+Inställningar!$B$3+Inställningar!$B$4,""),IF(Inställningar!B6="ja",E34+Inställningar!$B$3,C34))))</f>
        <v>0.5180555555555558</v>
      </c>
      <c r="D36" s="31" t="b">
        <f>IF($A36="","")</f>
        <v>0</v>
      </c>
      <c r="E36" s="51">
        <f>IF(Inställningar!B6="ja",(IF(A36=0,E34,(IF(AND(Lottning!$B$2&gt;0,OR(F36=F34,F36=H34,H36=F34,H36=H34)),C36+Inställningar!$B$1+Inställningar!$B$4,C36+Inställningar!$B$1)))),E34)</f>
        <v>0.5270833333333336</v>
      </c>
      <c r="F36" s="30">
        <f>IF(A36="","",(IF(Inställningar!B6="JA",VLOOKUP(Spelordning!B22,Lottning!$A$1:$B$12,2,FALSE),"")))</f>
      </c>
      <c r="G36" s="31">
        <f>IF($A36=0,"","-")</f>
      </c>
      <c r="H36" s="30">
        <f>IF(A36="","",(IF(Inställningar!B6="JA",VLOOKUP(Spelordning!C22,Lottning!$A$1:$B$12,2,FALSE),"")))</f>
      </c>
      <c r="J36" s="31">
        <f>IF(A36="","",(IF(Inställningar!B6="JA","-","")))</f>
      </c>
      <c r="L36" s="52"/>
      <c r="M36" s="33">
        <f t="shared" si="6"/>
        <v>0</v>
      </c>
      <c r="N36" s="33">
        <f t="shared" si="3"/>
        <v>0</v>
      </c>
      <c r="O36" s="33">
        <f t="shared" si="3"/>
        <v>0</v>
      </c>
      <c r="P36" s="33">
        <f t="shared" si="3"/>
        <v>0</v>
      </c>
      <c r="Q36" s="33">
        <f t="shared" si="3"/>
        <v>0</v>
      </c>
      <c r="R36" s="33">
        <f t="shared" si="3"/>
        <v>0</v>
      </c>
      <c r="S36" s="33">
        <f t="shared" si="3"/>
        <v>0</v>
      </c>
      <c r="T36" s="33">
        <f t="shared" si="3"/>
        <v>0</v>
      </c>
      <c r="U36" s="33">
        <f t="shared" si="3"/>
        <v>0</v>
      </c>
      <c r="V36" s="33">
        <f t="shared" si="3"/>
        <v>0</v>
      </c>
      <c r="W36" s="33">
        <f t="shared" si="3"/>
        <v>0</v>
      </c>
      <c r="X36" s="33">
        <f t="shared" si="3"/>
        <v>0</v>
      </c>
      <c r="Y36" s="33">
        <f t="shared" si="7"/>
        <v>0</v>
      </c>
      <c r="Z36" s="33">
        <f t="shared" si="4"/>
        <v>0</v>
      </c>
      <c r="AA36" s="33">
        <f t="shared" si="4"/>
        <v>0</v>
      </c>
      <c r="AB36" s="33">
        <f t="shared" si="4"/>
        <v>0</v>
      </c>
      <c r="AC36" s="33">
        <f t="shared" si="4"/>
        <v>0</v>
      </c>
      <c r="AD36" s="33">
        <f t="shared" si="4"/>
        <v>0</v>
      </c>
      <c r="AE36" s="33">
        <f t="shared" si="4"/>
        <v>0</v>
      </c>
      <c r="AF36" s="33">
        <f t="shared" si="4"/>
        <v>0</v>
      </c>
      <c r="AG36" s="33">
        <f t="shared" si="4"/>
        <v>0</v>
      </c>
      <c r="AH36" s="33">
        <f t="shared" si="4"/>
        <v>0</v>
      </c>
      <c r="AI36" s="33">
        <f t="shared" si="4"/>
        <v>0</v>
      </c>
      <c r="AJ36" s="33">
        <f t="shared" si="4"/>
        <v>0</v>
      </c>
      <c r="AK36" s="33">
        <f t="shared" si="8"/>
        <v>0</v>
      </c>
      <c r="AL36" s="33">
        <f t="shared" si="5"/>
        <v>0</v>
      </c>
      <c r="AM36" s="33">
        <f t="shared" si="5"/>
        <v>0</v>
      </c>
      <c r="AN36" s="33">
        <f t="shared" si="5"/>
        <v>0</v>
      </c>
      <c r="AO36" s="33">
        <f t="shared" si="5"/>
        <v>0</v>
      </c>
      <c r="AP36" s="33">
        <f t="shared" si="5"/>
        <v>0</v>
      </c>
      <c r="AQ36" s="33">
        <f t="shared" si="5"/>
        <v>0</v>
      </c>
      <c r="AR36" s="33">
        <f t="shared" si="5"/>
        <v>0</v>
      </c>
      <c r="AS36" s="33">
        <f t="shared" si="5"/>
        <v>0</v>
      </c>
      <c r="AT36" s="33">
        <f t="shared" si="5"/>
        <v>0</v>
      </c>
      <c r="AU36" s="33">
        <f t="shared" si="5"/>
        <v>0</v>
      </c>
      <c r="AV36" s="33">
        <f t="shared" si="5"/>
        <v>0</v>
      </c>
    </row>
    <row r="37" spans="1:48" s="3" customFormat="1" ht="5.25" customHeight="1">
      <c r="A37" s="43"/>
      <c r="B37" s="44"/>
      <c r="C37" s="45"/>
      <c r="D37" s="46"/>
      <c r="E37" s="45"/>
      <c r="F37" s="47"/>
      <c r="G37" s="46"/>
      <c r="H37" s="47"/>
      <c r="I37" s="47"/>
      <c r="J37" s="46"/>
      <c r="K37" s="47"/>
      <c r="L37" s="47"/>
      <c r="M37" s="33">
        <f t="shared" si="6"/>
        <v>0</v>
      </c>
      <c r="N37" s="33">
        <f t="shared" si="3"/>
        <v>0</v>
      </c>
      <c r="O37" s="33">
        <f t="shared" si="3"/>
        <v>0</v>
      </c>
      <c r="P37" s="33">
        <f t="shared" si="3"/>
        <v>0</v>
      </c>
      <c r="Q37" s="33">
        <f t="shared" si="3"/>
        <v>0</v>
      </c>
      <c r="R37" s="33">
        <f t="shared" si="3"/>
        <v>0</v>
      </c>
      <c r="S37" s="33">
        <f t="shared" si="3"/>
        <v>0</v>
      </c>
      <c r="T37" s="33">
        <f t="shared" si="3"/>
        <v>0</v>
      </c>
      <c r="U37" s="33">
        <f t="shared" si="3"/>
        <v>0</v>
      </c>
      <c r="V37" s="33">
        <f t="shared" si="3"/>
        <v>0</v>
      </c>
      <c r="W37" s="33">
        <f t="shared" si="3"/>
        <v>0</v>
      </c>
      <c r="X37" s="33">
        <f t="shared" si="3"/>
        <v>0</v>
      </c>
      <c r="Y37" s="33">
        <f t="shared" si="7"/>
        <v>0</v>
      </c>
      <c r="Z37" s="33">
        <f t="shared" si="4"/>
        <v>0</v>
      </c>
      <c r="AA37" s="33">
        <f t="shared" si="4"/>
        <v>0</v>
      </c>
      <c r="AB37" s="33">
        <f t="shared" si="4"/>
        <v>0</v>
      </c>
      <c r="AC37" s="33">
        <f t="shared" si="4"/>
        <v>0</v>
      </c>
      <c r="AD37" s="33">
        <f t="shared" si="4"/>
        <v>0</v>
      </c>
      <c r="AE37" s="33">
        <f t="shared" si="4"/>
        <v>0</v>
      </c>
      <c r="AF37" s="33">
        <f t="shared" si="4"/>
        <v>0</v>
      </c>
      <c r="AG37" s="33">
        <f t="shared" si="4"/>
        <v>0</v>
      </c>
      <c r="AH37" s="33">
        <f t="shared" si="4"/>
        <v>0</v>
      </c>
      <c r="AI37" s="33">
        <f t="shared" si="4"/>
        <v>0</v>
      </c>
      <c r="AJ37" s="33">
        <f t="shared" si="4"/>
        <v>0</v>
      </c>
      <c r="AK37" s="33">
        <f t="shared" si="8"/>
        <v>0</v>
      </c>
      <c r="AL37" s="33">
        <f t="shared" si="5"/>
        <v>0</v>
      </c>
      <c r="AM37" s="33">
        <f t="shared" si="5"/>
        <v>0</v>
      </c>
      <c r="AN37" s="33">
        <f t="shared" si="5"/>
        <v>0</v>
      </c>
      <c r="AO37" s="33">
        <f t="shared" si="5"/>
        <v>0</v>
      </c>
      <c r="AP37" s="33">
        <f t="shared" si="5"/>
        <v>0</v>
      </c>
      <c r="AQ37" s="33">
        <f t="shared" si="5"/>
        <v>0</v>
      </c>
      <c r="AR37" s="33">
        <f t="shared" si="5"/>
        <v>0</v>
      </c>
      <c r="AS37" s="33">
        <f t="shared" si="5"/>
        <v>0</v>
      </c>
      <c r="AT37" s="33">
        <f t="shared" si="5"/>
        <v>0</v>
      </c>
      <c r="AU37" s="33">
        <f t="shared" si="5"/>
        <v>0</v>
      </c>
      <c r="AV37" s="33">
        <f t="shared" si="5"/>
        <v>0</v>
      </c>
    </row>
    <row r="38" spans="1:12" ht="18">
      <c r="A38" s="49">
        <f>IF(Inställningar!$B$5="JA",Matchnummer!A22,"")</f>
      </c>
      <c r="B38" s="50"/>
      <c r="C38" s="51">
        <f>IF(AND(Inställningar!$B$6="JA",Inställningar!$B$5="JA"),E36+Inställningar!$B$4,IF(Inställningar!$B$5="JA",E36+Inställningar!$B$4,""))</f>
      </c>
      <c r="D38" s="31">
        <f>IF(Inställningar!$B$5="JA","-","")</f>
      </c>
      <c r="E38" s="51">
        <f>IF(AND(Inställningar!$B$6="JA",Inställningar!$B$5="JA"),C38+Inställningar!$B$1,IF(Inställningar!$B$5="JA",C38+Inställningar!$B$1,""))</f>
      </c>
      <c r="F38" s="53">
        <f>IF(Inställningar!B5="JA",(IF(AND(Inställningar!$B$5="JA",Inställningar!B6="nej"),(IF(OR(AND(L30="x",A31=0,A32=0,A33=0),AND(L29="x",A30=0,A31=0,A32=0),AND(L28="x",A29=0,A30=0,A31=0),AND(L27="x",A28=0,A29=0,A30=0),AND(L26="x",A27=0,A28=0,A29=0,AND(L22="x",A23=0,A24=0,A25=0))),Tabell!C14,"Vinnare grupp A")),(IF(OR(AND(L30="x",A31=0,A32=0,A33=0),AND(L29="x",A30=0,A31=0,A32=0),AND(L28="x",A29=0,A30=0,A31=0),AND(L27="x",A28=0,A29=0,A30=0),AND(L26="x",A27=0,A28=0,A29=0),AND(L22="x",A23=0,A24=0,A25=0)),'Tabell alla'!C11,"Vinnare")))),"")</f>
      </c>
      <c r="G38" s="31">
        <f>IF(Inställningar!$B$5="JA","-","")</f>
      </c>
      <c r="H38" s="30">
        <f>IF(Inställningar!B5="JA",(IF(AND(Inställningar!$B$5="JA",Inställningar!B6="nej"),(IF(OR(AND(L30="x",A31=0,A32=0,A33=0),AND(L29="x",A30=0,A31=0,A32=0),AND(L28="x",A29=0,A30=0,A31=0),AND(L27="x",A28=0,A29=0,A30=0),AND(L26="x",A27=0,A28=0,A29=0,AND(L22="x",A23=0,A24=0,A25=0))),Tabell!C20,"Tvåan grupp B")),(IF(OR(AND(L30="x",A31=0,A32=0,A33=0),AND(L29="x",A30=0,A31=0,A32=0),AND(L28="x",A29=0,A30=0,A31=0),AND(L27="x",A28=0,A29=0,A30=0),AND(L26="x",A27=0,A28=0,A29=0),AND(L22="x",A23=0,A24=0,A25=0)),'Tabell alla'!C13,"Trean")))),"")</f>
      </c>
      <c r="J38" s="31">
        <f>IF(Inställningar!$B$5="JA","-","")</f>
      </c>
      <c r="L38" s="52"/>
    </row>
    <row r="39" spans="1:12" ht="18">
      <c r="A39" s="49">
        <f>IF(Inställningar!$B$5="JA",Matchnummer!A23,"")</f>
      </c>
      <c r="B39" s="50"/>
      <c r="C39" s="51">
        <f>IF(AND(Inställningar!$B$6="JA",Inställningar!$B$5="JA"),E38+Inställningar!$B$3,IF(Inställningar!$B$5="JA",E38+Inställningar!$B$3,""))</f>
      </c>
      <c r="D39" s="31">
        <f>IF(Inställningar!$B$5="JA","-","")</f>
      </c>
      <c r="E39" s="51">
        <f>IF(AND(Inställningar!$B$6="JA",Inställningar!$B$5="JA"),C39+Inställningar!$B$1,IF(Inställningar!$B$5="JA",C39+Inställningar!$B$1,""))</f>
      </c>
      <c r="F39" s="30">
        <f>IF(Inställningar!B5="JA",(IF(AND(Inställningar!$B$5="JA",Inställningar!B6="nej"),(IF(OR(AND(L29="x",A30=0,A31=0,A32=0),AND(L28="x",A29=0,A30=0,A31=0),AND(L27="x",A28=0,A29=0,A30=0),AND(L26="x",A27=0,A28=0,A29=0,AND(L22="x",A23=0,A24=0,A25=0))),Tabell!C19,"Vinnare grupp B")),(IF(OR(AND(L29="x",A30=0,A31=0,A32=0),AND(L28="x",A29=0,A30=0,A31=0),AND(L27="x",A28=0,A29=0,A30=0),AND(L26="x",A27=0,A28=0,A29=0),AND(L22="x",A23=0,A24=0,A25=0)),'Tabell alla'!C12,"Tvåan")))),"")</f>
      </c>
      <c r="G39" s="31">
        <f>IF(Inställningar!$B$5="JA","-","")</f>
      </c>
      <c r="H39" s="30">
        <f>IF(Inställningar!B5="JA",(IF(AND(Inställningar!$B$5="JA",Inställningar!B6="nej"),(IF(OR(AND(L29="x",A30=0,A31=0,A32=0),AND(L28="x",A29=0,A30=0,A31=0),AND(L27="x",A28=0,A29=0,A30=0),AND(L26="x",A27=0,A28=0,A29=0),AND(L22="x",A23=0,A24=0,A25=0)),Tabell!C15,"Tvåan grupp A")),(IF(OR(AND(L29="x",A30=0,A31=0,A32=0),AND(L28="x",A29=0,A30=0,A31=0),AND(L27="x",A28=0,A29=0,A30=0),AND(L26="x",A27=0,A28=0,A29=0),AND(L22="x",A23=0,A24=0,A25=0)),'Tabell alla'!C14,"Fyran")))),"")</f>
      </c>
      <c r="J39" s="31">
        <f>IF(Inställningar!$B$5="JA","-","")</f>
      </c>
      <c r="L39" s="52"/>
    </row>
    <row r="40" spans="1:12" ht="18">
      <c r="A40" s="49">
        <f>IF(Inställningar!$B$5="JA",Matchnummer!A24,"")</f>
      </c>
      <c r="B40" s="50"/>
      <c r="C40" s="51">
        <f>IF(AND(Inställningar!$B$6="JA",Inställningar!$B$5="JA"),E39+Inställningar!$B$4,IF(Inställningar!$B$5="JA",E39+Inställningar!$B$4,""))</f>
      </c>
      <c r="D40" s="31">
        <f>IF(Inställningar!$B$5="JA","-","")</f>
      </c>
      <c r="E40" s="51">
        <f>IF(AND(Inställningar!$B$6="JA",Inställningar!$B$5="JA"),C40+Inställningar!$B$1,IF(Inställningar!$B$5="JA",C40+Inställningar!$B$1,""))</f>
      </c>
      <c r="F40" s="30">
        <f>IF(Inställningar!$B$5="JA",(IF(AND(L38="X",OR(I38&gt;0,K38&gt;0)),(IF(I38&lt;K38,F38,H38)),"Förlorare semi 1")),"")</f>
      </c>
      <c r="G40" s="31">
        <f>IF(Inställningar!$B$5="JA","-","")</f>
      </c>
      <c r="H40" s="30">
        <f>IF(Inställningar!$B$5="JA",(IF(AND(L39="x",OR(I39&gt;0,K39&gt;0)),(IF(I39&lt;K39,F39,H39)),"Förlorare semi 2")),"")</f>
      </c>
      <c r="J40" s="31">
        <f>IF(Inställningar!$B$5="JA","-","")</f>
      </c>
      <c r="L40" s="52"/>
    </row>
    <row r="41" spans="1:12" ht="18">
      <c r="A41" s="49">
        <f>IF(Inställningar!$B$5="JA",Matchnummer!A25,"")</f>
      </c>
      <c r="B41" s="50"/>
      <c r="C41" s="51">
        <f>IF(AND(Inställningar!$B$6="JA",Inställningar!$B$5="JA"),E40+Inställningar!$B$3,IF(Inställningar!$B$5="JA",E40+Inställningar!$B$3,""))</f>
      </c>
      <c r="D41" s="31">
        <f>IF(Inställningar!$B$5="JA","-","")</f>
      </c>
      <c r="E41" s="51">
        <f>IF(AND(Inställningar!$B$6="JA",Inställningar!$B$5="JA"),C41+Inställningar!$B$1,IF(Inställningar!$B$5="JA",C41+Inställningar!$B$1,""))</f>
      </c>
      <c r="F41" s="30">
        <f>IF(Inställningar!$B$5="JA",(IF(L38="X",(IF(I38&gt;K38,F38,H38)),"Vinnare semi 1")),"")</f>
      </c>
      <c r="G41" s="31">
        <f>IF(Inställningar!$B$5="JA","-","")</f>
      </c>
      <c r="H41" s="30">
        <f>IF(Inställningar!$B$5="JA",(IF(L39="X",(IF(I39&gt;K39,F39,H39)),"Vinnare semi 2")),"")</f>
      </c>
      <c r="J41" s="31">
        <f>IF(Inställningar!$B$5="JA","-","")</f>
      </c>
      <c r="L41" s="52"/>
    </row>
    <row r="42" spans="1:12" ht="26.25">
      <c r="A42" s="54">
        <f>+IF(AND(L41="X",L40="X",L39="X",L38="X"),"Slutresultat","")</f>
      </c>
      <c r="B42" s="55"/>
      <c r="G42" s="54">
        <f>IF(AND(AND(L41="X",L40="X",L39="X",L38="X"),Inställningar!B7="JA"),"Cupens lirare","")</f>
      </c>
      <c r="I42" s="30"/>
      <c r="J42" s="30"/>
      <c r="K42" s="30"/>
      <c r="L42" s="30"/>
    </row>
    <row r="43" spans="1:12" ht="23.25">
      <c r="A43" s="56">
        <f>+IF(AND(L41="X",L40="X",L39="X",L38="X"),"Vinnare","")</f>
      </c>
      <c r="B43" s="57"/>
      <c r="C43" s="58">
        <f>IF(AND(L41="X",L40="X",L39="X",L38="X",OR(I40&gt;0,K40&gt;0),OR(I41&gt;0,K41&gt;0)),(IF(I41&gt;K41,F41,H41)),"")</f>
      </c>
      <c r="D43" s="58"/>
      <c r="E43" s="58"/>
      <c r="F43" s="58"/>
      <c r="G43" s="29">
        <f>IF(AND(AND(L41="X",L40="X",L39="X",L38="X"),Inställningar!B7="JA"),"Namn:","")</f>
      </c>
      <c r="H43" s="122"/>
      <c r="I43" s="122"/>
      <c r="J43" s="122"/>
      <c r="K43" s="122"/>
      <c r="L43" s="59"/>
    </row>
    <row r="44" spans="1:12" ht="23.25">
      <c r="A44" s="56">
        <f>+IF(AND(L41="X",L40="X",L39="X",L38="X"),"Tvåa","")</f>
      </c>
      <c r="B44" s="57"/>
      <c r="C44" s="58">
        <f>+IF(AND(L41="X",L40="X",L39="X",L38="X",OR(I41&gt;0,K41&gt;0),OR(I40&gt;0,K40&gt;0)),(IF(I41&lt;K41,F41,H41)),"")</f>
      </c>
      <c r="D44" s="58"/>
      <c r="E44" s="58"/>
      <c r="F44" s="58"/>
      <c r="G44" s="29">
        <f>IF(AND(AND(L41="X",L40="X",L39="X",L38="X"),Inställningar!B7="JA"),"Klubb:","")</f>
      </c>
      <c r="H44" s="122"/>
      <c r="I44" s="122"/>
      <c r="J44" s="122"/>
      <c r="K44" s="122"/>
      <c r="L44" s="59"/>
    </row>
    <row r="45" spans="1:12" ht="23.25">
      <c r="A45" s="56">
        <f>+IF(AND(L41="X",L40="X",L39="X",L38="X"),"Trea","")</f>
      </c>
      <c r="B45" s="57"/>
      <c r="C45" s="58">
        <f>+IF(AND(L41="X",L40="X",L39="X",L38="X",OR(I41&gt;0,K41&gt;0),OR(I40&gt;0,K40&gt;0)),(IF(I40&gt;K40,F40,H40)),"")</f>
      </c>
      <c r="D45" s="58"/>
      <c r="E45" s="58"/>
      <c r="F45" s="58"/>
      <c r="G45" s="58"/>
      <c r="I45" s="30"/>
      <c r="J45" s="30"/>
      <c r="K45" s="30"/>
      <c r="L45" s="30"/>
    </row>
    <row r="46" spans="1:12" ht="23.25">
      <c r="A46" s="60">
        <f>+IF(AND(L41="X",L40="X",L39="X",L38="X"),"Fyra","")</f>
      </c>
      <c r="B46" s="61"/>
      <c r="C46" s="58">
        <f>++IF(AND(L41="X",L40="X",L39="X",L38="X",OR(I41&gt;0,K41&gt;0),OR(I40&gt;0,K40&gt;0)),(IF(I40&lt;K40,F40,H40)),"")</f>
      </c>
      <c r="D46" s="58"/>
      <c r="E46" s="58"/>
      <c r="F46" s="58"/>
      <c r="G46" s="58"/>
      <c r="I46" s="30"/>
      <c r="J46" s="30"/>
      <c r="K46" s="30"/>
      <c r="L46" s="30"/>
    </row>
    <row r="47" spans="1:10" ht="18" hidden="1">
      <c r="A47" s="28">
        <f>+IF(Vakant!AX48&gt;0,Vakant!AX48,"")</f>
      </c>
      <c r="F47" s="30">
        <f>IF(OR(A47&lt;=20,A47="semifinal 1",A47="semifinal 2",A47="3:e pris",A47="final"),(VLOOKUP(A47,Vakant!$A$10:$G$51,5,FALSE)),"")</f>
      </c>
      <c r="G47" s="30">
        <f>+IF((OR(A47&lt;=20,A47="semifinal 1",A47="semifinal 2",A47="3:e pris",A47="final")),"-","")</f>
      </c>
      <c r="H47" s="30">
        <f>+IF(OR(A47&lt;=20,A47="semifinal 1",A47="semifinal 2",A47="3:e pris",A47="final"),(VLOOKUP(A47,Vakant!$A$10:$G$51,7,FALSE)),"")</f>
      </c>
      <c r="J47" s="30">
        <f>+IF((OR(A47&lt;=20,A47="semifinal 1",A47="semifinal 2",A47="3:e pris",A47="final")),"-","")</f>
      </c>
    </row>
    <row r="48" spans="1:10" ht="18" hidden="1">
      <c r="A48" s="28">
        <f>+IF(Vakant!AX49&gt;0,Vakant!AX49,"")</f>
      </c>
      <c r="F48" s="30">
        <f>IF(OR(A48&lt;=20,A48="semifinal 1",A48="semifinal 2",A48="3:e pris",A48="final"),(VLOOKUP(A48,Vakant!$A$10:$G$51,5,FALSE)),"")</f>
      </c>
      <c r="G48" s="30">
        <f>+IF((OR(A48&lt;=20,A48="semifinal 1",A48="semifinal 2",A48="3:e pris",A48="final")),"-","")</f>
      </c>
      <c r="H48" s="30">
        <f>+IF(OR(A48&lt;=20,A48="semifinal 1",A48="semifinal 2",A48="3:e pris",A48="final"),(VLOOKUP(A48,Vakant!$A$10:$G$51,7,FALSE)),"")</f>
      </c>
      <c r="J48" s="30">
        <f>+IF((OR(A48&lt;=20,A48="semifinal 1",A48="semifinal 2",A48="3:e pris",A48="final")),"-","")</f>
      </c>
    </row>
    <row r="49" spans="1:10" ht="18" hidden="1">
      <c r="A49" s="28">
        <f>+IF(Vakant!AX50&gt;0,Vakant!AX50,"")</f>
      </c>
      <c r="F49" s="30">
        <f>IF(OR(A49&lt;=20,A49="semifinal 1",A49="semifinal 2",A49="3:e pris",A49="final"),(VLOOKUP(A49,Vakant!$A$10:$G$51,5,FALSE)),"")</f>
      </c>
      <c r="G49" s="30">
        <f>+IF((OR(A49&lt;=20,A49="semifinal 1",A49="semifinal 2",A49="3:e pris",A49="final")),"-","")</f>
      </c>
      <c r="H49" s="30">
        <f>+IF(OR(A49&lt;=20,A49="semifinal 1",A49="semifinal 2",A49="3:e pris",A49="final"),(VLOOKUP(A49,Vakant!$A$10:$G$51,7,FALSE)),"")</f>
      </c>
      <c r="J49" s="30">
        <f>+IF((OR(A49&lt;=20,A49="semifinal 1",A49="semifinal 2",A49="3:e pris",A49="final")),"-","")</f>
      </c>
    </row>
    <row r="50" spans="1:10" ht="18" hidden="1">
      <c r="A50" s="28">
        <f>+IF(Vakant!AX51&gt;0,Vakant!AX51,"")</f>
      </c>
      <c r="F50" s="30">
        <f>IF(OR(A50&lt;=20,A50="semifinal 1",A50="semifinal 2",A50="3:e pris",A50="final"),(VLOOKUP(A50,Vakant!$A$10:$G$51,5,FALSE)),"")</f>
      </c>
      <c r="G50" s="30">
        <f>+IF((OR(A50&lt;=20,A50="semifinal 1",A50="semifinal 2",A50="3:e pris",A50="final")),"-","")</f>
      </c>
      <c r="H50" s="30">
        <f>+IF(OR(A50&lt;=20,A50="semifinal 1",A50="semifinal 2",A50="3:e pris",A50="final"),(VLOOKUP(A50,Vakant!$A$10:$G$51,7,FALSE)),"")</f>
      </c>
      <c r="J50" s="30">
        <f>+IF((OR(A50&lt;=20,A50="semifinal 1",A50="semifinal 2",A50="3:e pris",A50="final")),"-","")</f>
      </c>
    </row>
    <row r="51" ht="18" hidden="1">
      <c r="J51" s="30"/>
    </row>
    <row r="52" ht="18" hidden="1">
      <c r="J52" s="30"/>
    </row>
    <row r="53" ht="18" hidden="1">
      <c r="J53" s="30"/>
    </row>
    <row r="54" ht="18" hidden="1">
      <c r="J54" s="30"/>
    </row>
    <row r="55" ht="18" hidden="1">
      <c r="J55" s="30"/>
    </row>
    <row r="56" ht="18" hidden="1">
      <c r="J56" s="30"/>
    </row>
    <row r="57" ht="18" hidden="1">
      <c r="J57" s="30"/>
    </row>
    <row r="58" ht="18" hidden="1">
      <c r="J58" s="30"/>
    </row>
    <row r="59" ht="18" hidden="1">
      <c r="J59" s="30"/>
    </row>
    <row r="60" ht="18" hidden="1">
      <c r="J60" s="30"/>
    </row>
    <row r="61" ht="18" hidden="1">
      <c r="J61" s="30"/>
    </row>
    <row r="62" ht="18" hidden="1">
      <c r="J62" s="30"/>
    </row>
    <row r="63" ht="18" hidden="1">
      <c r="J63" s="30"/>
    </row>
    <row r="64" ht="18" hidden="1">
      <c r="J64" s="30"/>
    </row>
    <row r="65" ht="18" hidden="1">
      <c r="J65" s="30"/>
    </row>
    <row r="66" ht="18" hidden="1">
      <c r="J66" s="30"/>
    </row>
  </sheetData>
  <sheetProtection sheet="1" objects="1" scenarios="1"/>
  <mergeCells count="3">
    <mergeCell ref="I9:K9"/>
    <mergeCell ref="H43:K43"/>
    <mergeCell ref="H44:K44"/>
  </mergeCells>
  <conditionalFormatting sqref="C36 E36">
    <cfRule type="cellIs" priority="1" dxfId="1" operator="equal" stopIfTrue="1">
      <formula>C34</formula>
    </cfRule>
  </conditionalFormatting>
  <conditionalFormatting sqref="M1:AV65536">
    <cfRule type="cellIs" priority="2" dxfId="0" operator="equal" stopIfTrue="1">
      <formula>TRUE</formula>
    </cfRule>
  </conditionalFormatting>
  <conditionalFormatting sqref="A11:A14 A16:A19 A21:A24 A26:A29 A31:A34 A36">
    <cfRule type="cellIs" priority="3" dxfId="1" operator="equal" stopIfTrue="1">
      <formula>0</formula>
    </cfRule>
  </conditionalFormatting>
  <printOptions/>
  <pageMargins left="0.5902777777777778" right="0.15763888888888888" top="1.0631944444444443" bottom="0.4722222222222222" header="0.39375" footer="0.4722222222222222"/>
  <pageSetup fitToHeight="1" fitToWidth="1" horizontalDpi="300" verticalDpi="300" orientation="portrait" paperSize="9"/>
  <headerFooter alignWithMargins="0">
    <oddHeader>&amp;C&amp;20&amp;E&amp;F</oddHeader>
    <oddFooter>&amp;R&amp;8&amp;D Carola Sääski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AY51"/>
  <sheetViews>
    <sheetView showGridLines="0" zoomScalePageLayoutView="0" workbookViewId="0" topLeftCell="A1">
      <pane xSplit="8" ySplit="9" topLeftCell="I1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K1" sqref="K1:K16384"/>
    </sheetView>
  </sheetViews>
  <sheetFormatPr defaultColWidth="0" defaultRowHeight="12.75" customHeight="1" zeroHeight="1"/>
  <cols>
    <col min="1" max="1" width="11.28125" style="28" customWidth="1"/>
    <col min="2" max="2" width="6.57421875" style="29" customWidth="1"/>
    <col min="3" max="3" width="5.57421875" style="30" customWidth="1"/>
    <col min="4" max="4" width="1.57421875" style="31" customWidth="1"/>
    <col min="5" max="5" width="5.8515625" style="30" customWidth="1"/>
    <col min="6" max="6" width="27.7109375" style="30" customWidth="1"/>
    <col min="7" max="7" width="5.421875" style="30" customWidth="1"/>
    <col min="8" max="8" width="27.7109375" style="30" customWidth="1"/>
    <col min="9" max="9" width="3.421875" style="30" customWidth="1"/>
    <col min="10" max="10" width="3.421875" style="32" customWidth="1"/>
    <col min="11" max="11" width="4.00390625" style="32" customWidth="1"/>
    <col min="12" max="12" width="15.28125" style="32" customWidth="1"/>
    <col min="13" max="48" width="0" style="33" hidden="1" customWidth="1"/>
    <col min="49" max="51" width="0" style="34" hidden="1" customWidth="1"/>
    <col min="52" max="52" width="0" style="0" hidden="1" customWidth="1"/>
    <col min="53" max="16384" width="0" style="34" hidden="1" customWidth="1"/>
  </cols>
  <sheetData>
    <row r="1" spans="2:48" s="32" customFormat="1" ht="18" customHeight="1">
      <c r="B1" s="35"/>
      <c r="C1" s="30"/>
      <c r="D1" s="31"/>
      <c r="E1" s="30"/>
      <c r="F1" s="36" t="str">
        <f>+IF(Vakant!E1&gt;0,Vakant!E1,"")</f>
        <v>GRUPP A</v>
      </c>
      <c r="G1" s="36"/>
      <c r="H1" s="36" t="str">
        <f>+IF(Vakant!G1&gt;0,Vakant!G1,"")</f>
        <v>GRUPP B</v>
      </c>
      <c r="I1" s="30"/>
      <c r="J1" s="30"/>
      <c r="K1" s="30"/>
      <c r="L1" s="123" t="s">
        <v>57</v>
      </c>
      <c r="M1" s="37"/>
      <c r="N1" s="38"/>
      <c r="O1" s="38"/>
      <c r="P1" s="38"/>
      <c r="Q1" s="38"/>
      <c r="R1" s="38"/>
      <c r="S1" s="38"/>
      <c r="T1" s="38"/>
      <c r="U1" s="38"/>
      <c r="V1" s="38"/>
      <c r="W1" s="38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</row>
    <row r="2" spans="2:12" ht="18" customHeight="1">
      <c r="B2" s="35"/>
      <c r="F2" s="39" t="str">
        <f>IF(Vakant!E2="VAKANT","",(IF(Vakant!E2&gt;0,Vakant!E2,"")))</f>
        <v>Svalövs BK 2</v>
      </c>
      <c r="G2" s="39"/>
      <c r="H2" s="39" t="str">
        <f>IF(Vakant!G2="VAKANT","",(IF(Vakant!G2&gt;0,Vakant!G2,"")))</f>
        <v>Häljarps IF 1</v>
      </c>
      <c r="I2" s="40"/>
      <c r="J2" s="30"/>
      <c r="K2" s="30"/>
      <c r="L2" s="123"/>
    </row>
    <row r="3" spans="2:12" ht="18" customHeight="1">
      <c r="B3" s="35"/>
      <c r="F3" s="39" t="str">
        <f>IF(Vakant!E3="VAKANT","",(IF(Vakant!E3&gt;0,Vakant!E3,"")))</f>
        <v>Dösjöbro IF 1</v>
      </c>
      <c r="G3" s="39"/>
      <c r="H3" s="39" t="str">
        <f>IF(Vakant!G3="VAKANT","",(IF(Vakant!G3&gt;0,Vakant!G3,"")))</f>
        <v>Dösjöbro IF 2</v>
      </c>
      <c r="I3" s="40"/>
      <c r="J3" s="30"/>
      <c r="K3" s="30"/>
      <c r="L3" s="123"/>
    </row>
    <row r="4" spans="2:12" ht="18" customHeight="1">
      <c r="B4" s="35"/>
      <c r="F4" s="39" t="str">
        <f>IF(Vakant!E4="VAKANT","",(IF(Vakant!E4&gt;0,Vakant!E4,"")))</f>
        <v>IK Wormo</v>
      </c>
      <c r="G4" s="39"/>
      <c r="H4" s="39" t="str">
        <f>IF(Vakant!G4="VAKANT","",(IF(Vakant!G4&gt;0,Vakant!G4,"")))</f>
        <v>Åstorps FF 2</v>
      </c>
      <c r="I4" s="40"/>
      <c r="J4" s="30"/>
      <c r="K4" s="30"/>
      <c r="L4" s="124" t="s">
        <v>58</v>
      </c>
    </row>
    <row r="5" spans="1:12" ht="18" customHeight="1">
      <c r="A5" s="35"/>
      <c r="B5" s="35"/>
      <c r="F5" s="39" t="str">
        <f>IF(Vakant!E5="VAKANT","",(IF(Vakant!E5&gt;0,Vakant!E5,"")))</f>
        <v>Häljarps IF 2</v>
      </c>
      <c r="G5" s="39"/>
      <c r="H5" s="39" t="str">
        <f>IF(Vakant!G5="VAKANT","",(IF(Vakant!G5&gt;0,Vakant!G5,"")))</f>
        <v>Billesholms GIF</v>
      </c>
      <c r="I5" s="40"/>
      <c r="J5" s="30"/>
      <c r="K5" s="30"/>
      <c r="L5" s="124"/>
    </row>
    <row r="6" spans="1:12" ht="18" customHeight="1">
      <c r="A6" s="35"/>
      <c r="B6" s="35"/>
      <c r="F6" s="39" t="str">
        <f>IF(Vakant!E6="VAKANT","",(IF(Vakant!E6&gt;0,Vakant!E6,"")))</f>
        <v>Åstorps FF 1</v>
      </c>
      <c r="G6" s="39"/>
      <c r="H6" s="39" t="str">
        <f>IF(Vakant!G6="VAKANT","",(IF(Vakant!G6&gt;0,Vakant!G6,"")))</f>
        <v>Svalövs BK 1</v>
      </c>
      <c r="I6" s="40"/>
      <c r="J6" s="30"/>
      <c r="K6" s="30"/>
      <c r="L6" s="124"/>
    </row>
    <row r="7" spans="1:12" ht="18" customHeight="1">
      <c r="A7" s="35"/>
      <c r="B7" s="35"/>
      <c r="F7" s="39">
        <f>IF(Vakant!E7="VAKANT","",(IF(Vakant!E7&gt;0,Vakant!E7,"")))</f>
      </c>
      <c r="H7" s="30">
        <f>+IF(Vakant!G7&gt;0,Vakant!G7,"")</f>
      </c>
      <c r="J7" s="30"/>
      <c r="K7" s="30"/>
      <c r="L7" s="62"/>
    </row>
    <row r="8" spans="1:51" ht="18" customHeight="1">
      <c r="A8" s="35"/>
      <c r="B8" s="35"/>
      <c r="F8" s="39">
        <f>IF(Vakant!E8="VAKANT","",(IF(Vakant!E8&gt;0,Vakant!E8,"")))</f>
      </c>
      <c r="H8" s="30">
        <f>+IF(Vakant!G8&gt;0,Vakant!G8,"")</f>
      </c>
      <c r="J8" s="30"/>
      <c r="K8" s="30"/>
      <c r="L8" s="62"/>
      <c r="M8" s="33" t="s">
        <v>47</v>
      </c>
      <c r="N8" s="33" t="s">
        <v>47</v>
      </c>
      <c r="O8" s="33" t="s">
        <v>47</v>
      </c>
      <c r="P8" s="33" t="s">
        <v>47</v>
      </c>
      <c r="Q8" s="33" t="s">
        <v>47</v>
      </c>
      <c r="R8" s="33" t="s">
        <v>47</v>
      </c>
      <c r="S8" s="33" t="s">
        <v>47</v>
      </c>
      <c r="T8" s="33" t="s">
        <v>47</v>
      </c>
      <c r="U8" s="33" t="s">
        <v>47</v>
      </c>
      <c r="V8" s="33" t="s">
        <v>47</v>
      </c>
      <c r="W8" s="33" t="s">
        <v>47</v>
      </c>
      <c r="X8" s="33" t="s">
        <v>47</v>
      </c>
      <c r="Y8" s="33" t="s">
        <v>48</v>
      </c>
      <c r="Z8" s="33" t="s">
        <v>48</v>
      </c>
      <c r="AA8" s="33" t="s">
        <v>48</v>
      </c>
      <c r="AB8" s="33" t="s">
        <v>48</v>
      </c>
      <c r="AC8" s="33" t="s">
        <v>48</v>
      </c>
      <c r="AD8" s="33" t="s">
        <v>48</v>
      </c>
      <c r="AE8" s="33" t="s">
        <v>48</v>
      </c>
      <c r="AF8" s="33" t="s">
        <v>48</v>
      </c>
      <c r="AG8" s="33" t="s">
        <v>48</v>
      </c>
      <c r="AH8" s="33" t="s">
        <v>48</v>
      </c>
      <c r="AI8" s="33" t="s">
        <v>48</v>
      </c>
      <c r="AJ8" s="33" t="s">
        <v>48</v>
      </c>
      <c r="AK8" s="33" t="s">
        <v>49</v>
      </c>
      <c r="AL8" s="33" t="s">
        <v>49</v>
      </c>
      <c r="AM8" s="33" t="s">
        <v>49</v>
      </c>
      <c r="AN8" s="33" t="s">
        <v>49</v>
      </c>
      <c r="AO8" s="33" t="s">
        <v>49</v>
      </c>
      <c r="AP8" s="33" t="s">
        <v>49</v>
      </c>
      <c r="AQ8" s="33" t="s">
        <v>49</v>
      </c>
      <c r="AR8" s="33" t="s">
        <v>49</v>
      </c>
      <c r="AS8" s="33" t="s">
        <v>49</v>
      </c>
      <c r="AT8" s="33" t="s">
        <v>49</v>
      </c>
      <c r="AU8" s="33" t="s">
        <v>49</v>
      </c>
      <c r="AV8" s="33" t="s">
        <v>49</v>
      </c>
      <c r="AW8" s="34" t="s">
        <v>55</v>
      </c>
      <c r="AX8" s="34" t="s">
        <v>59</v>
      </c>
      <c r="AY8" s="34" t="s">
        <v>59</v>
      </c>
    </row>
    <row r="9" spans="1:51" s="42" customFormat="1" ht="18" customHeight="1">
      <c r="A9" s="28" t="str">
        <f>+IF(Vakant!A9&gt;0,Vakant!A9,"")</f>
        <v>Match</v>
      </c>
      <c r="B9" s="28" t="s">
        <v>51</v>
      </c>
      <c r="C9" s="29">
        <f>+IF(Vakant!B9&gt;0,Vakant!B9,"")</f>
      </c>
      <c r="D9" s="36">
        <f>+IF(Vakant!C9&gt;0,Vakant!C9,"")</f>
      </c>
      <c r="E9" s="29">
        <f>+IF(Vakant!D9&gt;0,Vakant!D9,"")</f>
      </c>
      <c r="F9" s="29">
        <f>+IF(Vakant!E9&gt;0,Vakant!E9,"")</f>
      </c>
      <c r="G9" s="29">
        <f>+IF(Vakant!F9&gt;0,Vakant!F9,"")</f>
      </c>
      <c r="H9" s="29">
        <f>+IF(Vakant!G9&gt;0,Vakant!G9,"")</f>
      </c>
      <c r="I9" s="121" t="str">
        <f>+IF(Vakant!H9&gt;0,Vakant!H9,"")</f>
        <v>Resultat</v>
      </c>
      <c r="J9" s="121" t="e">
        <f>+IF(#REF!&gt;0,#REF!,"")</f>
        <v>#REF!</v>
      </c>
      <c r="K9" s="121" t="e">
        <f>+IF(#REF!&gt;0,#REF!,"")</f>
        <v>#REF!</v>
      </c>
      <c r="L9" s="2" t="str">
        <f>+IF(Vakant!K9&gt;0,Vakant!K9,"")</f>
        <v>Spelad</v>
      </c>
      <c r="M9" s="41" t="str">
        <f>+$F$2</f>
        <v>Svalövs BK 2</v>
      </c>
      <c r="N9" s="41" t="str">
        <f>+$F$3</f>
        <v>Dösjöbro IF 1</v>
      </c>
      <c r="O9" s="41" t="str">
        <f>+$F$4</f>
        <v>IK Wormo</v>
      </c>
      <c r="P9" s="41" t="str">
        <f>+$F$5</f>
        <v>Häljarps IF 2</v>
      </c>
      <c r="Q9" s="41" t="str">
        <f>+$F$6</f>
        <v>Åstorps FF 1</v>
      </c>
      <c r="R9" s="41">
        <f>+$F$7</f>
      </c>
      <c r="S9" s="41">
        <f>+$F$8</f>
      </c>
      <c r="T9" s="41" t="str">
        <f>+$H$2</f>
        <v>Häljarps IF 1</v>
      </c>
      <c r="U9" s="41" t="str">
        <f>+$H$3</f>
        <v>Dösjöbro IF 2</v>
      </c>
      <c r="V9" s="41" t="str">
        <f>+$H$4</f>
        <v>Åstorps FF 2</v>
      </c>
      <c r="W9" s="41" t="str">
        <f>+$H$5</f>
        <v>Billesholms GIF</v>
      </c>
      <c r="X9" s="41" t="str">
        <f>+H$6</f>
        <v>Svalövs BK 1</v>
      </c>
      <c r="Y9" s="41" t="str">
        <f>+$F$2</f>
        <v>Svalövs BK 2</v>
      </c>
      <c r="Z9" s="41" t="str">
        <f>+$F$3</f>
        <v>Dösjöbro IF 1</v>
      </c>
      <c r="AA9" s="41" t="str">
        <f>+$F$4</f>
        <v>IK Wormo</v>
      </c>
      <c r="AB9" s="41" t="str">
        <f>+$F$5</f>
        <v>Häljarps IF 2</v>
      </c>
      <c r="AC9" s="41" t="str">
        <f>+$F$6</f>
        <v>Åstorps FF 1</v>
      </c>
      <c r="AD9" s="41">
        <f>$F$7</f>
      </c>
      <c r="AE9" s="41">
        <f>$F$8</f>
      </c>
      <c r="AF9" s="41" t="str">
        <f>+$H$2</f>
        <v>Häljarps IF 1</v>
      </c>
      <c r="AG9" s="41" t="str">
        <f>+$H$3</f>
        <v>Dösjöbro IF 2</v>
      </c>
      <c r="AH9" s="41" t="str">
        <f>+$H$4</f>
        <v>Åstorps FF 2</v>
      </c>
      <c r="AI9" s="41" t="str">
        <f>+$H$5</f>
        <v>Billesholms GIF</v>
      </c>
      <c r="AJ9" s="41" t="str">
        <f>+$H$6</f>
        <v>Svalövs BK 1</v>
      </c>
      <c r="AK9" s="41" t="str">
        <f>+$F$2</f>
        <v>Svalövs BK 2</v>
      </c>
      <c r="AL9" s="41" t="str">
        <f>+$F$3</f>
        <v>Dösjöbro IF 1</v>
      </c>
      <c r="AM9" s="41" t="str">
        <f>+$F$4</f>
        <v>IK Wormo</v>
      </c>
      <c r="AN9" s="41" t="str">
        <f>+$F$5</f>
        <v>Häljarps IF 2</v>
      </c>
      <c r="AO9" s="41" t="str">
        <f>+$F$6</f>
        <v>Åstorps FF 1</v>
      </c>
      <c r="AP9" s="41">
        <f>F7</f>
      </c>
      <c r="AQ9" s="41">
        <f>F8</f>
      </c>
      <c r="AR9" s="41" t="str">
        <f>+$H$2</f>
        <v>Häljarps IF 1</v>
      </c>
      <c r="AS9" s="41" t="str">
        <f>+$H$3</f>
        <v>Dösjöbro IF 2</v>
      </c>
      <c r="AT9" s="41" t="str">
        <f>+$H$4</f>
        <v>Åstorps FF 2</v>
      </c>
      <c r="AU9" s="41" t="str">
        <f>+$H$5</f>
        <v>Billesholms GIF</v>
      </c>
      <c r="AV9" s="41" t="str">
        <f>+$H$6</f>
        <v>Svalövs BK 1</v>
      </c>
      <c r="AX9" s="42" t="s">
        <v>60</v>
      </c>
      <c r="AY9" s="42" t="s">
        <v>61</v>
      </c>
    </row>
    <row r="10" spans="1:49" ht="18" customHeight="1">
      <c r="A10" s="49">
        <f>+IF(AND(Vakant!AX10&lt;=21,Vakant!BC10&gt;0),Vakant!BC10,0)</f>
        <v>1</v>
      </c>
      <c r="B10" s="49" t="str">
        <f>+IF(AND(A10&gt;0,A10&lt;=21),VLOOKUP(F10,Grupper!$B$1:$C$12,2,FALSE),"")</f>
        <v>A</v>
      </c>
      <c r="C10" s="51">
        <f>Inställningar!B8</f>
        <v>0.3333333333333333</v>
      </c>
      <c r="D10" s="51" t="str">
        <f>+IF((OR(AND(A10&lt;=21,A10&gt;0))),"-","")</f>
        <v>-</v>
      </c>
      <c r="E10" s="51">
        <f>IF(OR(AND(A10&gt;0,F10=F9),AND(A10&gt;0,F10=H9),AND(A10&gt;0,H10=H9),AND(A10&gt;0,H10=F9)),(IF(OR(A10&lt;=21),C10+Inställningar!$B$1,E9)),(IF(OR(AND(A10&gt;0,A10&lt;=21)),C10+Inställningar!$B$1,E9)))</f>
        <v>0.3423611111111111</v>
      </c>
      <c r="F10" s="30" t="str">
        <f>IF(OR(AND(A10&lt;=21,A10&gt;0)),(VLOOKUP(A10,Vakant!$A$10:$G$51,5,FALSE)),"")</f>
        <v>Svalövs BK 2</v>
      </c>
      <c r="G10" s="31" t="str">
        <f>+IF((OR(AND(A10&lt;=21,A10&gt;0))),"-","")</f>
        <v>-</v>
      </c>
      <c r="H10" s="30" t="str">
        <f>+IF(OR(AND(A10&lt;=21,A10&gt;0)),(VLOOKUP(A10,Vakant!$A$10:$G$51,7,FALSE)),"")</f>
        <v>Dösjöbro IF 1</v>
      </c>
      <c r="I10" s="32"/>
      <c r="J10" s="31" t="str">
        <f aca="true" t="shared" si="0" ref="J10:J36">+IF((OR(AND(A10&lt;=21,A10&gt;0))),"-","")</f>
        <v>-</v>
      </c>
      <c r="M10" s="33">
        <f>IF(AW10=TRUE,(OR(AND(M$9=$F10,$I10&gt;$K10,AW10=TRUE),AND(M$9=$H10,$K10&gt;$I10,AW10=TRUE))),0)</f>
        <v>0</v>
      </c>
      <c r="N10" s="33">
        <f>IF(AW10=TRUE,(OR(AND(N$9=$F10,$I10&gt;$K10,AW10=TRUE),AND(N$9=$H10,$K10&gt;$I10,AW10=TRUE))),0)</f>
        <v>0</v>
      </c>
      <c r="O10" s="33">
        <f>IF(AW10=TRUE,(OR(AND(O$9=$F10,$I10&gt;$K10,AW10=TRUE),AND(O$9=$H10,$K10&gt;$I10,AW10=TRUE))),0)</f>
        <v>0</v>
      </c>
      <c r="P10" s="33">
        <f>IF(AW10=TRUE,(OR(AND(P$9=$F10,$I10&gt;$K10,AW10=TRUE),AND(P$9=$H10,$K10&gt;$I10,AW10=TRUE))),0)</f>
        <v>0</v>
      </c>
      <c r="Q10" s="33">
        <f>IF(AW10=TRUE,(OR(AND(Q$9=$F10,$I10&gt;$K10,AW10=TRUE),AND(Q$9=$H10,$K10&gt;$I10,AW10=TRUE))),0)</f>
        <v>0</v>
      </c>
      <c r="R10" s="33">
        <f>IF(AW10=TRUE,(OR(AND(R$9=$F10,$I10&gt;$K10,AW10=TRUE),AND(R$9=$H10,$K10&gt;$I10,AW10=TRUE))),0)</f>
        <v>0</v>
      </c>
      <c r="S10" s="33">
        <f>IF(AW10=TRUE,(OR(AND(S$9=$F10,$I10&gt;$K10,AW10=TRUE),AND(S$9=$H10,$K10&gt;$I10,AW10=TRUE))),0)</f>
        <v>0</v>
      </c>
      <c r="T10" s="33">
        <f>IF(AW10=TRUE,(OR(AND(T$9=$F10,$I10&gt;$K10,AW10=TRUE),AND(T$9=$H10,$K10&gt;$I10,AW10=TRUE))),0)</f>
        <v>0</v>
      </c>
      <c r="U10" s="33">
        <f>IF(AW10=TRUE,(OR(AND(U$9=$F10,$I10&gt;$K10,AW10=TRUE),AND(U$9=$H10,$K10&gt;$I10,AW10=TRUE))),0)</f>
        <v>0</v>
      </c>
      <c r="V10" s="33">
        <f>IF(AW10=TRUE,(OR(AND(V$9=$F10,$I10&gt;$K10,AW10=TRUE),AND(V$9=$H10,$K10&gt;$I10,AW10=TRUE))),0)</f>
        <v>0</v>
      </c>
      <c r="W10" s="33">
        <f>IF(AW10=TRUE,(OR(AND(W$9=$F10,$I10&gt;$K10,AW10=TRUE),AND(W$9=$H10,$K10&gt;$I10,AW10=TRUE))),0)</f>
        <v>0</v>
      </c>
      <c r="X10" s="33">
        <f>IF(AW10=TRUE,(OR(AND(X$9=$F10,$I10&gt;$K10,AW10=TRUE),AND(X$9=$H10,$K10&gt;$I10,AW10=TRUE))),0)</f>
        <v>0</v>
      </c>
      <c r="Y10" s="33">
        <f>IF(AW10=TRUE,(OR(AND(Y$9=$F10,$I10&lt;$K10,AW10=TRUE),AND(Y$9=$H10,$K10&lt;$I10,AW10=TRUE))),0)</f>
        <v>0</v>
      </c>
      <c r="Z10" s="33">
        <f>IF(AW10=TRUE,(OR(AND(Z$9=$F10,$I10&lt;$K10,AW10=TRUE),AND(Z$9=$H10,$K10&lt;$I10,AW10=TRUE))),0)</f>
        <v>0</v>
      </c>
      <c r="AA10" s="33">
        <f>IF(AW10=TRUE,(OR(AND(AA$9=$F10,$I10&lt;$K10,AW10=TRUE),AND(AA$9=$H10,$K10&lt;$I10,AW10=TRUE))),0)</f>
        <v>0</v>
      </c>
      <c r="AB10" s="33">
        <f>IF(AW10=TRUE,(OR(AND(AB$9=$F10,$I10&lt;$K10,AW10=TRUE),AND(AB$9=$H10,$K10&lt;$I10,AW10=TRUE))),0)</f>
        <v>0</v>
      </c>
      <c r="AC10" s="33">
        <f>IF(AW10=TRUE,(OR(AND(AC$9=$F10,$I10&lt;$K10,AW10=TRUE),AND(AC$9=$H10,$K10&lt;$I10,AW10=TRUE))),0)</f>
        <v>0</v>
      </c>
      <c r="AD10" s="33">
        <f>IF(AW10=TRUE,(OR(AND(AD$9=$F10,$I10&lt;$K10,AW10=TRUE),AND(AD$9=$H10,$K10&lt;$I10,AW10=TRUE))),0)</f>
        <v>0</v>
      </c>
      <c r="AE10" s="33">
        <f>IF(AW10=TRUE,(OR(AND(AE$9=$F10,$I10&lt;$K10,AW10=TRUE),AND(AE$9=$H10,$K10&lt;$I10,AW10=TRUE))),0)</f>
        <v>0</v>
      </c>
      <c r="AF10" s="33">
        <f>IF(AW10=TRUE,(OR(AND(AF$9=$F10,$I10&lt;$K10,AW10=TRUE),AND(AF$9=$H10,$K10&lt;$I10,AW10=TRUE))),0)</f>
        <v>0</v>
      </c>
      <c r="AG10" s="33">
        <f>IF(AW10=TRUE,(OR(AND(AG$9=$F10,$I10&lt;$K10,AW10=TRUE),AND(AG$9=$H10,$K10&lt;$I10,AW10=TRUE))),0)</f>
        <v>0</v>
      </c>
      <c r="AH10" s="33">
        <f>IF(AW10=TRUE,(OR(AND(AH$9=$F10,$I10&lt;$K10,AW10=TRUE),AND(AH$9=$H10,$K10&lt;$I10,AW10=TRUE))),0)</f>
        <v>0</v>
      </c>
      <c r="AI10" s="33">
        <f>IF(AW10=TRUE,(OR(AND(AI$9=$F10,$I10&lt;$K10,AW10=TRUE),AND(AI$9=$H10,$K10&lt;$I10,AW10=TRUE))),0)</f>
        <v>0</v>
      </c>
      <c r="AJ10" s="33">
        <f>IF(AW10=TRUE,(OR(AND(AJ$9=$F10,$I10&lt;$K10,AW10=TRUE),AND(AJ$9=$H10,$K10&lt;$I10,AW10=TRUE))),0)</f>
        <v>0</v>
      </c>
      <c r="AK10" s="33">
        <f>IF(AW10=TRUE,(OR(AND(AK$9=$F10,$I10=$K10,AW10=TRUE),AND(AK$9=$H10,$K10=$I10,AW10=TRUE))),0)</f>
        <v>0</v>
      </c>
      <c r="AL10" s="33">
        <f>IF(AW10=TRUE,(OR(AND(AL$9=$F10,$I10=$K10,AW10=TRUE),AND(AL$9=$H10,$K10=$I10,AW10=TRUE))),0)</f>
        <v>0</v>
      </c>
      <c r="AM10" s="33">
        <f>IF(AW10=TRUE,(OR(AND(AM$9=$F10,$I10=$K10,AW10=TRUE),AND(AM$9=$H10,$K10=$I10,AW10=TRUE))),0)</f>
        <v>0</v>
      </c>
      <c r="AN10" s="33">
        <f>IF(AW10=TRUE,(OR(AND(AN$9=$F10,$I10=$K10,AW10=TRUE),AND(AN$9=$H10,$K10=$I10,AW10=TRUE))),0)</f>
        <v>0</v>
      </c>
      <c r="AO10" s="33">
        <f>IF(AW10=TRUE,(OR(AND(AO$9=$F10,$I10=$K10,AW10=TRUE),AND(AO$9=$H10,$K10=$I10,AW10=TRUE))),0)</f>
        <v>0</v>
      </c>
      <c r="AP10" s="33">
        <f>IF(AW10=TRUE,(OR(AND(AP$9=$F10,$I10=$K10,AW10=TRUE),AND(AP$9=$H10,$K10=$I10,AW10=TRUE))),0)</f>
        <v>0</v>
      </c>
      <c r="AQ10" s="33">
        <f>IF(AW10=TRUE,(OR(AND(AQ$9=$F10,$I10=$K10,AW10=TRUE),AND(AQ$9=$H10,$K10=$I10,AW10=TRUE))),0)</f>
        <v>0</v>
      </c>
      <c r="AR10" s="33">
        <f>IF(AW10=TRUE,(OR(AND(AR$9=$F10,$I10=$K10,AW10=TRUE),AND(AR$9=$H10,$K10=$I10,AW10=TRUE))),0)</f>
        <v>0</v>
      </c>
      <c r="AS10" s="33">
        <f>IF(AW10=TRUE,(OR(AND(AS$9=$F10,$I10=$K10,AW10=TRUE),AND(AS$9=$H10,$K10=$I10,AW10=TRUE))),0)</f>
        <v>0</v>
      </c>
      <c r="AT10" s="33">
        <f>IF(AW10=TRUE,(OR(AND(AT$9=$F10,$I10=$K10,AW10=TRUE),AND(AT$9=$H10,$K10=$I10,AW10=TRUE))),0)</f>
        <v>0</v>
      </c>
      <c r="AU10" s="33">
        <f>IF(AW10=TRUE,(OR(AND(AU$9=$F10,$I10=$K10,AW10=TRUE),AND(AU$9=$H10,$K10=$I10,AW10=TRUE))),0)</f>
        <v>0</v>
      </c>
      <c r="AV10" s="33">
        <f>IF(AW10=TRUE,(OR(AND(AV$9=$F10,$I10=$K10,AW10=TRUE),AND(AV$9=$H10,$K10=$I10,AW10=TRUE))),0)</f>
        <v>0</v>
      </c>
      <c r="AW10" s="34" t="b">
        <f>IF(AND(A10&gt;0,I10&lt;&gt;"",K10&lt;&gt;"",L10="X"),TRUE,FALSE)</f>
        <v>0</v>
      </c>
    </row>
    <row r="11" spans="1:49" ht="18" customHeight="1">
      <c r="A11" s="49">
        <f>+IF(AND(Vakant!AX11&lt;=21,Vakant!BC11&gt;0),Vakant!BC11,0)</f>
        <v>2</v>
      </c>
      <c r="B11" s="49" t="str">
        <f>+IF(AND(A11&gt;0,A11&lt;=21),VLOOKUP(F11,Grupper!$B$1:$C$12,2,FALSE),"")</f>
        <v>A</v>
      </c>
      <c r="C11" s="51">
        <f>IF(OR(AND(A11&gt;0,F11=F10),AND(A11&gt;0,H11=H10),AND(A11&gt;0,H11=F10),AND(A11&gt;0,F11=H10)),(IF(OR(AND(A11&lt;=21,A11&gt;0)),E10+Inställningar!$B$3+Inställningar!$B$4,C10))+Inställningar!$B$3,(IF(OR(AND(A11&lt;=21,A11&gt;0)),E10+Inställningar!$B$3,C10)))</f>
        <v>0.34305555555555556</v>
      </c>
      <c r="D11" s="51" t="str">
        <f>+IF((OR(AND(A11&lt;=21,A11&gt;0))),"-","")</f>
        <v>-</v>
      </c>
      <c r="E11" s="51">
        <f>IF(OR(AND(A11&gt;0,F11=F10),AND(A11&gt;0,F11=H10),AND(A11&gt;0,H11=H10),AND(A11&gt;0,H11=F10)),(IF(OR(A11&lt;=21),C11+Inställningar!$B$1,E10)),(IF(OR(AND(A11&gt;0,A11&lt;=21)),C11+Inställningar!$B$1,E10)))</f>
        <v>0.35208333333333336</v>
      </c>
      <c r="F11" s="30" t="str">
        <f>IF(OR(AND(A11&lt;=21,A11&gt;0)),(VLOOKUP(A11,Vakant!$A$10:$G$51,5,FALSE)),"")</f>
        <v>IK Wormo</v>
      </c>
      <c r="G11" s="31" t="str">
        <f aca="true" t="shared" si="1" ref="G11:G29">+IF((OR(AND(A11&lt;=21,A11&gt;0))),"-","")</f>
        <v>-</v>
      </c>
      <c r="H11" s="30" t="str">
        <f>+IF(OR(AND(A11&lt;=21,A11&gt;0)),(VLOOKUP(A11,Vakant!$A$10:$G$51,7,FALSE)),"")</f>
        <v>Häljarps IF 2</v>
      </c>
      <c r="I11" s="32"/>
      <c r="J11" s="31" t="str">
        <f t="shared" si="0"/>
        <v>-</v>
      </c>
      <c r="M11" s="33">
        <f aca="true" t="shared" si="2" ref="M11:M37">IF(AW11=TRUE,(OR(AND(M$9=$F11,$I11&gt;$K11,AW11=TRUE),AND(M$9=$H11,$K11&gt;$I11,AW11=TRUE))),0)</f>
        <v>0</v>
      </c>
      <c r="N11" s="33">
        <f aca="true" t="shared" si="3" ref="N11:N37">IF(AW11=TRUE,(OR(AND(N$9=$F11,$I11&gt;$K11,AW11=TRUE),AND(N$9=$H11,$K11&gt;$I11,AW11=TRUE))),0)</f>
        <v>0</v>
      </c>
      <c r="O11" s="33">
        <f aca="true" t="shared" si="4" ref="O11:O37">IF(AW11=TRUE,(OR(AND(O$9=$F11,$I11&gt;$K11,AW11=TRUE),AND(O$9=$H11,$K11&gt;$I11,AW11=TRUE))),0)</f>
        <v>0</v>
      </c>
      <c r="P11" s="33">
        <f aca="true" t="shared" si="5" ref="P11:P37">IF(AW11=TRUE,(OR(AND(P$9=$F11,$I11&gt;$K11,AW11=TRUE),AND(P$9=$H11,$K11&gt;$I11,AW11=TRUE))),0)</f>
        <v>0</v>
      </c>
      <c r="Q11" s="33">
        <f aca="true" t="shared" si="6" ref="Q11:Q37">IF(AW11=TRUE,(OR(AND(Q$9=$F11,$I11&gt;$K11,AW11=TRUE),AND(Q$9=$H11,$K11&gt;$I11,AW11=TRUE))),0)</f>
        <v>0</v>
      </c>
      <c r="R11" s="33">
        <f aca="true" t="shared" si="7" ref="R11:R37">IF(AW11=TRUE,(OR(AND(R$9=$F11,$I11&gt;$K11,AW11=TRUE),AND(R$9=$H11,$K11&gt;$I11,AW11=TRUE))),0)</f>
        <v>0</v>
      </c>
      <c r="S11" s="33">
        <f aca="true" t="shared" si="8" ref="S11:S37">IF(AW11=TRUE,(OR(AND(S$9=$F11,$I11&gt;$K11,AW11=TRUE),AND(S$9=$H11,$K11&gt;$I11,AW11=TRUE))),0)</f>
        <v>0</v>
      </c>
      <c r="T11" s="33">
        <f aca="true" t="shared" si="9" ref="T11:T37">IF(AW11=TRUE,(OR(AND(T$9=$F11,$I11&gt;$K11,AW11=TRUE),AND(T$9=$H11,$K11&gt;$I11,AW11=TRUE))),0)</f>
        <v>0</v>
      </c>
      <c r="U11" s="33">
        <f aca="true" t="shared" si="10" ref="U11:U37">IF(AW11=TRUE,(OR(AND(U$9=$F11,$I11&gt;$K11,AW11=TRUE),AND(U$9=$H11,$K11&gt;$I11,AW11=TRUE))),0)</f>
        <v>0</v>
      </c>
      <c r="V11" s="33">
        <f aca="true" t="shared" si="11" ref="V11:V37">IF(AW11=TRUE,(OR(AND(V$9=$F11,$I11&gt;$K11,AW11=TRUE),AND(V$9=$H11,$K11&gt;$I11,AW11=TRUE))),0)</f>
        <v>0</v>
      </c>
      <c r="W11" s="33">
        <f aca="true" t="shared" si="12" ref="W11:W37">IF(AW11=TRUE,(OR(AND(W$9=$F11,$I11&gt;$K11,AW11=TRUE),AND(W$9=$H11,$K11&gt;$I11,AW11=TRUE))),0)</f>
        <v>0</v>
      </c>
      <c r="X11" s="33">
        <f aca="true" t="shared" si="13" ref="X11:X37">IF(AW11=TRUE,(OR(AND(X$9=$F11,$I11&gt;$K11,AW11=TRUE),AND(X$9=$H11,$K11&gt;$I11,AW11=TRUE))),0)</f>
        <v>0</v>
      </c>
      <c r="Y11" s="33">
        <f aca="true" t="shared" si="14" ref="Y11:Y37">IF(AW11=TRUE,(OR(AND(Y$9=$F11,$I11&lt;$K11,AW11=TRUE),AND(Y$9=$H11,$K11&lt;$I11,AW11=TRUE))),0)</f>
        <v>0</v>
      </c>
      <c r="Z11" s="33">
        <f aca="true" t="shared" si="15" ref="Z11:Z37">IF(AW11=TRUE,(OR(AND(Z$9=$F11,$I11&lt;$K11,AW11=TRUE),AND(Z$9=$H11,$K11&lt;$I11,AW11=TRUE))),0)</f>
        <v>0</v>
      </c>
      <c r="AA11" s="33">
        <f aca="true" t="shared" si="16" ref="AA11:AA37">IF(AW11=TRUE,(OR(AND(AA$9=$F11,$I11&lt;$K11,AW11=TRUE),AND(AA$9=$H11,$K11&lt;$I11,AW11=TRUE))),0)</f>
        <v>0</v>
      </c>
      <c r="AB11" s="33">
        <f aca="true" t="shared" si="17" ref="AB11:AB37">IF(AW11=TRUE,(OR(AND(AB$9=$F11,$I11&lt;$K11,AW11=TRUE),AND(AB$9=$H11,$K11&lt;$I11,AW11=TRUE))),0)</f>
        <v>0</v>
      </c>
      <c r="AC11" s="33">
        <f aca="true" t="shared" si="18" ref="AC11:AC37">IF(AW11=TRUE,(OR(AND(AC$9=$F11,$I11&lt;$K11,AW11=TRUE),AND(AC$9=$H11,$K11&lt;$I11,AW11=TRUE))),0)</f>
        <v>0</v>
      </c>
      <c r="AD11" s="33">
        <f aca="true" t="shared" si="19" ref="AD11:AD37">IF(AW11=TRUE,(OR(AND(AD$9=$F11,$I11&lt;$K11,AW11=TRUE),AND(AD$9=$H11,$K11&lt;$I11,AW11=TRUE))),0)</f>
        <v>0</v>
      </c>
      <c r="AE11" s="33">
        <f aca="true" t="shared" si="20" ref="AE11:AE37">IF(AW11=TRUE,(OR(AND(AE$9=$F11,$I11&lt;$K11,AW11=TRUE),AND(AE$9=$H11,$K11&lt;$I11,AW11=TRUE))),0)</f>
        <v>0</v>
      </c>
      <c r="AF11" s="33">
        <f aca="true" t="shared" si="21" ref="AF11:AF37">IF(AW11=TRUE,(OR(AND(AF$9=$F11,$I11&lt;$K11,AW11=TRUE),AND(AF$9=$H11,$K11&lt;$I11,AW11=TRUE))),0)</f>
        <v>0</v>
      </c>
      <c r="AG11" s="33">
        <f aca="true" t="shared" si="22" ref="AG11:AG37">IF(AW11=TRUE,(OR(AND(AG$9=$F11,$I11&lt;$K11,AW11=TRUE),AND(AG$9=$H11,$K11&lt;$I11,AW11=TRUE))),0)</f>
        <v>0</v>
      </c>
      <c r="AH11" s="33">
        <f aca="true" t="shared" si="23" ref="AH11:AH37">IF(AW11=TRUE,(OR(AND(AH$9=$F11,$I11&lt;$K11,AW11=TRUE),AND(AH$9=$H11,$K11&lt;$I11,AW11=TRUE))),0)</f>
        <v>0</v>
      </c>
      <c r="AI11" s="33">
        <f aca="true" t="shared" si="24" ref="AI11:AI37">IF(AW11=TRUE,(OR(AND(AI$9=$F11,$I11&lt;$K11,AW11=TRUE),AND(AI$9=$H11,$K11&lt;$I11,AW11=TRUE))),0)</f>
        <v>0</v>
      </c>
      <c r="AJ11" s="33">
        <f aca="true" t="shared" si="25" ref="AJ11:AJ37">IF(AW11=TRUE,(OR(AND(AJ$9=$F11,$I11&lt;$K11,AW11=TRUE),AND(AJ$9=$H11,$K11&lt;$I11,AW11=TRUE))),0)</f>
        <v>0</v>
      </c>
      <c r="AK11" s="33">
        <f aca="true" t="shared" si="26" ref="AK11:AK37">IF(AW11=TRUE,(OR(AND(AK$9=$F11,$I11=$K11,AW11=TRUE),AND(AK$9=$H11,$K11=$I11,AW11=TRUE))),0)</f>
        <v>0</v>
      </c>
      <c r="AL11" s="33">
        <f aca="true" t="shared" si="27" ref="AL11:AL37">IF(AW11=TRUE,(OR(AND(AL$9=$F11,$I11=$K11,AW11=TRUE),AND(AL$9=$H11,$K11=$I11,AW11=TRUE))),0)</f>
        <v>0</v>
      </c>
      <c r="AM11" s="33">
        <f aca="true" t="shared" si="28" ref="AM11:AM37">IF(AW11=TRUE,(OR(AND(AM$9=$F11,$I11=$K11,AW11=TRUE),AND(AM$9=$H11,$K11=$I11,AW11=TRUE))),0)</f>
        <v>0</v>
      </c>
      <c r="AN11" s="33">
        <f aca="true" t="shared" si="29" ref="AN11:AN37">IF(AW11=TRUE,(OR(AND(AN$9=$F11,$I11=$K11,AW11=TRUE),AND(AN$9=$H11,$K11=$I11,AW11=TRUE))),0)</f>
        <v>0</v>
      </c>
      <c r="AO11" s="33">
        <f aca="true" t="shared" si="30" ref="AO11:AO37">IF(AW11=TRUE,(OR(AND(AO$9=$F11,$I11=$K11,AW11=TRUE),AND(AO$9=$H11,$K11=$I11,AW11=TRUE))),0)</f>
        <v>0</v>
      </c>
      <c r="AP11" s="33">
        <f aca="true" t="shared" si="31" ref="AP11:AP37">IF(AW11=TRUE,(OR(AND(AP$9=$F11,$I11=$K11,AW11=TRUE),AND(AP$9=$H11,$K11=$I11,AW11=TRUE))),0)</f>
        <v>0</v>
      </c>
      <c r="AQ11" s="33">
        <f aca="true" t="shared" si="32" ref="AQ11:AQ37">IF(AW11=TRUE,(OR(AND(AQ$9=$F11,$I11=$K11,AW11=TRUE),AND(AQ$9=$H11,$K11=$I11,AW11=TRUE))),0)</f>
        <v>0</v>
      </c>
      <c r="AR11" s="33">
        <f aca="true" t="shared" si="33" ref="AR11:AR37">IF(AW11=TRUE,(OR(AND(AR$9=$F11,$I11=$K11,AW11=TRUE),AND(AR$9=$H11,$K11=$I11,AW11=TRUE))),0)</f>
        <v>0</v>
      </c>
      <c r="AS11" s="33">
        <f aca="true" t="shared" si="34" ref="AS11:AS37">IF(AW11=TRUE,(OR(AND(AS$9=$F11,$I11=$K11,AW11=TRUE),AND(AS$9=$H11,$K11=$I11,AW11=TRUE))),0)</f>
        <v>0</v>
      </c>
      <c r="AT11" s="33">
        <f aca="true" t="shared" si="35" ref="AT11:AT37">IF(AW11=TRUE,(OR(AND(AT$9=$F11,$I11=$K11,AW11=TRUE),AND(AT$9=$H11,$K11=$I11,AW11=TRUE))),0)</f>
        <v>0</v>
      </c>
      <c r="AU11" s="33">
        <f aca="true" t="shared" si="36" ref="AU11:AU37">IF(AW11=TRUE,(OR(AND(AU$9=$F11,$I11=$K11,AW11=TRUE),AND(AU$9=$H11,$K11=$I11,AW11=TRUE))),0)</f>
        <v>0</v>
      </c>
      <c r="AV11" s="33">
        <f aca="true" t="shared" si="37" ref="AV11:AV37">IF(AW11=TRUE,(OR(AND(AV$9=$F11,$I11=$K11,AW11=TRUE),AND(AV$9=$H11,$K11=$I11,AW11=TRUE))),0)</f>
        <v>0</v>
      </c>
      <c r="AW11" s="34" t="b">
        <f aca="true" t="shared" si="38" ref="AW11:AW37">IF(AND(A11&gt;0,I11&lt;&gt;"",K11&lt;&gt;"",L11="X"),TRUE,FALSE)</f>
        <v>0</v>
      </c>
    </row>
    <row r="12" spans="1:49" ht="18" customHeight="1">
      <c r="A12" s="49">
        <f>+IF(AND(Vakant!AX12&lt;=21,Vakant!BC12&gt;0),Vakant!BC12,0)</f>
        <v>3</v>
      </c>
      <c r="B12" s="49" t="str">
        <f>+IF(AND(A12&gt;0,A12&lt;=21),VLOOKUP(F12,Grupper!$B$1:$C$12,2,FALSE),"")</f>
        <v>B</v>
      </c>
      <c r="C12" s="51">
        <f>IF(OR(AND(A12&gt;0,F12=F11),AND(A12&gt;0,H12=H11),AND(A12&gt;0,H12=F11),AND(A12&gt;0,F12=H11)),(IF(OR(AND(A12&lt;=21,A12&gt;0)),E11+Inställningar!$B$3+Inställningar!$B$4,C11))+Inställningar!$B$3,(IF(OR(AND(A12&lt;=21,A12&gt;0)),E11+Inställningar!$B$3,C11)))</f>
        <v>0.3527777777777778</v>
      </c>
      <c r="D12" s="51" t="str">
        <f aca="true" t="shared" si="39" ref="D12:D29">+IF((OR(AND(A12&lt;=21,A12&gt;0))),"-","")</f>
        <v>-</v>
      </c>
      <c r="E12" s="51">
        <f>IF(OR(AND(A12&gt;0,F12=F11),AND(A12&gt;0,F12=H11),AND(A12&gt;0,H12=H11),AND(A12&gt;0,H12=F11)),(IF(OR(A12&lt;=21),C12+Inställningar!$B$1,E11)),(IF(OR(AND(A12&gt;0,A12&lt;=21)),C12+Inställningar!$B$1,E11)))</f>
        <v>0.3618055555555556</v>
      </c>
      <c r="F12" s="30" t="str">
        <f>IF(OR(AND(A12&lt;=21,A12&gt;0)),(VLOOKUP(A12,Vakant!$A$10:$G$51,5,FALSE)),"")</f>
        <v>Häljarps IF 1</v>
      </c>
      <c r="G12" s="31" t="str">
        <f t="shared" si="1"/>
        <v>-</v>
      </c>
      <c r="H12" s="30" t="str">
        <f>+IF(OR(AND(A12&lt;=21,A12&gt;0)),(VLOOKUP(A12,Vakant!$A$10:$G$51,7,FALSE)),"")</f>
        <v>Dösjöbro IF 2</v>
      </c>
      <c r="I12" s="32"/>
      <c r="J12" s="31" t="str">
        <f t="shared" si="0"/>
        <v>-</v>
      </c>
      <c r="M12" s="33">
        <f t="shared" si="2"/>
        <v>0</v>
      </c>
      <c r="N12" s="33">
        <f t="shared" si="3"/>
        <v>0</v>
      </c>
      <c r="O12" s="33">
        <f t="shared" si="4"/>
        <v>0</v>
      </c>
      <c r="P12" s="33">
        <f t="shared" si="5"/>
        <v>0</v>
      </c>
      <c r="Q12" s="33">
        <f t="shared" si="6"/>
        <v>0</v>
      </c>
      <c r="R12" s="33">
        <f t="shared" si="7"/>
        <v>0</v>
      </c>
      <c r="S12" s="33">
        <f t="shared" si="8"/>
        <v>0</v>
      </c>
      <c r="T12" s="33">
        <f t="shared" si="9"/>
        <v>0</v>
      </c>
      <c r="U12" s="33">
        <f t="shared" si="10"/>
        <v>0</v>
      </c>
      <c r="V12" s="33">
        <f t="shared" si="11"/>
        <v>0</v>
      </c>
      <c r="W12" s="33">
        <f t="shared" si="12"/>
        <v>0</v>
      </c>
      <c r="X12" s="33">
        <f t="shared" si="13"/>
        <v>0</v>
      </c>
      <c r="Y12" s="33">
        <f t="shared" si="14"/>
        <v>0</v>
      </c>
      <c r="Z12" s="33">
        <f t="shared" si="15"/>
        <v>0</v>
      </c>
      <c r="AA12" s="33">
        <f t="shared" si="16"/>
        <v>0</v>
      </c>
      <c r="AB12" s="33">
        <f t="shared" si="17"/>
        <v>0</v>
      </c>
      <c r="AC12" s="33">
        <f t="shared" si="18"/>
        <v>0</v>
      </c>
      <c r="AD12" s="33">
        <f t="shared" si="19"/>
        <v>0</v>
      </c>
      <c r="AE12" s="33">
        <f t="shared" si="20"/>
        <v>0</v>
      </c>
      <c r="AF12" s="33">
        <f t="shared" si="21"/>
        <v>0</v>
      </c>
      <c r="AG12" s="33">
        <f t="shared" si="22"/>
        <v>0</v>
      </c>
      <c r="AH12" s="33">
        <f t="shared" si="23"/>
        <v>0</v>
      </c>
      <c r="AI12" s="33">
        <f t="shared" si="24"/>
        <v>0</v>
      </c>
      <c r="AJ12" s="33">
        <f t="shared" si="25"/>
        <v>0</v>
      </c>
      <c r="AK12" s="33">
        <f t="shared" si="26"/>
        <v>0</v>
      </c>
      <c r="AL12" s="33">
        <f t="shared" si="27"/>
        <v>0</v>
      </c>
      <c r="AM12" s="33">
        <f t="shared" si="28"/>
        <v>0</v>
      </c>
      <c r="AN12" s="33">
        <f t="shared" si="29"/>
        <v>0</v>
      </c>
      <c r="AO12" s="33">
        <f t="shared" si="30"/>
        <v>0</v>
      </c>
      <c r="AP12" s="33">
        <f t="shared" si="31"/>
        <v>0</v>
      </c>
      <c r="AQ12" s="33">
        <f t="shared" si="32"/>
        <v>0</v>
      </c>
      <c r="AR12" s="33">
        <f t="shared" si="33"/>
        <v>0</v>
      </c>
      <c r="AS12" s="33">
        <f t="shared" si="34"/>
        <v>0</v>
      </c>
      <c r="AT12" s="33">
        <f t="shared" si="35"/>
        <v>0</v>
      </c>
      <c r="AU12" s="33">
        <f t="shared" si="36"/>
        <v>0</v>
      </c>
      <c r="AV12" s="33">
        <f t="shared" si="37"/>
        <v>0</v>
      </c>
      <c r="AW12" s="34" t="b">
        <f t="shared" si="38"/>
        <v>0</v>
      </c>
    </row>
    <row r="13" spans="1:49" ht="18" customHeight="1">
      <c r="A13" s="49">
        <f>+IF(AND(Vakant!AX13&lt;=21,Vakant!BC13&gt;0),Vakant!BC13,0)</f>
        <v>4</v>
      </c>
      <c r="B13" s="49" t="str">
        <f>+IF(AND(A13&gt;0,A13&lt;=21),VLOOKUP(F13,Grupper!$B$1:$C$12,2,FALSE),"")</f>
        <v>B</v>
      </c>
      <c r="C13" s="51">
        <f>IF(OR(AND(A13&gt;0,F13=F12),AND(A13&gt;0,H13=H12),AND(A13&gt;0,H13=F12),AND(A13&gt;0,F13=H12)),(IF(OR(AND(A13&lt;=21,A13&gt;0)),E12+Inställningar!$B$3+Inställningar!$B$4,C12))+Inställningar!$B$3,(IF(OR(AND(A13&lt;=21,A13&gt;0)),E12+Inställningar!$B$3,C12)))</f>
        <v>0.36250000000000004</v>
      </c>
      <c r="D13" s="51" t="str">
        <f t="shared" si="39"/>
        <v>-</v>
      </c>
      <c r="E13" s="51">
        <f>IF(OR(AND(A13&gt;0,F13=F12),AND(A13&gt;0,F13=H12),AND(A13&gt;0,H13=H12),AND(A13&gt;0,H13=F12)),(IF(OR(A13&lt;=21),C13+Inställningar!$B$1,E12)),(IF(OR(AND(A13&gt;0,A13&lt;=21)),C13+Inställningar!$B$1,E12)))</f>
        <v>0.37152777777777785</v>
      </c>
      <c r="F13" s="30" t="str">
        <f>IF(OR(AND(A13&lt;=21,A13&gt;0)),(VLOOKUP(A13,Vakant!$A$10:$G$51,5,FALSE)),"")</f>
        <v>Åstorps FF 2</v>
      </c>
      <c r="G13" s="31" t="str">
        <f t="shared" si="1"/>
        <v>-</v>
      </c>
      <c r="H13" s="30" t="str">
        <f>+IF(OR(AND(A13&lt;=21,A13&gt;0)),(VLOOKUP(A13,Vakant!$A$10:$G$51,7,FALSE)),"")</f>
        <v>Billesholms GIF</v>
      </c>
      <c r="I13" s="32"/>
      <c r="J13" s="31" t="str">
        <f t="shared" si="0"/>
        <v>-</v>
      </c>
      <c r="L13" s="52"/>
      <c r="M13" s="33">
        <f t="shared" si="2"/>
        <v>0</v>
      </c>
      <c r="N13" s="33">
        <f t="shared" si="3"/>
        <v>0</v>
      </c>
      <c r="O13" s="33">
        <f t="shared" si="4"/>
        <v>0</v>
      </c>
      <c r="P13" s="33">
        <f t="shared" si="5"/>
        <v>0</v>
      </c>
      <c r="Q13" s="33">
        <f t="shared" si="6"/>
        <v>0</v>
      </c>
      <c r="R13" s="33">
        <f t="shared" si="7"/>
        <v>0</v>
      </c>
      <c r="S13" s="33">
        <f t="shared" si="8"/>
        <v>0</v>
      </c>
      <c r="T13" s="33">
        <f t="shared" si="9"/>
        <v>0</v>
      </c>
      <c r="U13" s="33">
        <f t="shared" si="10"/>
        <v>0</v>
      </c>
      <c r="V13" s="33">
        <f t="shared" si="11"/>
        <v>0</v>
      </c>
      <c r="W13" s="33">
        <f t="shared" si="12"/>
        <v>0</v>
      </c>
      <c r="X13" s="33">
        <f t="shared" si="13"/>
        <v>0</v>
      </c>
      <c r="Y13" s="33">
        <f t="shared" si="14"/>
        <v>0</v>
      </c>
      <c r="Z13" s="33">
        <f t="shared" si="15"/>
        <v>0</v>
      </c>
      <c r="AA13" s="33">
        <f t="shared" si="16"/>
        <v>0</v>
      </c>
      <c r="AB13" s="33">
        <f t="shared" si="17"/>
        <v>0</v>
      </c>
      <c r="AC13" s="33">
        <f t="shared" si="18"/>
        <v>0</v>
      </c>
      <c r="AD13" s="33">
        <f t="shared" si="19"/>
        <v>0</v>
      </c>
      <c r="AE13" s="33">
        <f t="shared" si="20"/>
        <v>0</v>
      </c>
      <c r="AF13" s="33">
        <f t="shared" si="21"/>
        <v>0</v>
      </c>
      <c r="AG13" s="33">
        <f t="shared" si="22"/>
        <v>0</v>
      </c>
      <c r="AH13" s="33">
        <f t="shared" si="23"/>
        <v>0</v>
      </c>
      <c r="AI13" s="33">
        <f t="shared" si="24"/>
        <v>0</v>
      </c>
      <c r="AJ13" s="33">
        <f t="shared" si="25"/>
        <v>0</v>
      </c>
      <c r="AK13" s="33">
        <f t="shared" si="26"/>
        <v>0</v>
      </c>
      <c r="AL13" s="33">
        <f t="shared" si="27"/>
        <v>0</v>
      </c>
      <c r="AM13" s="33">
        <f t="shared" si="28"/>
        <v>0</v>
      </c>
      <c r="AN13" s="33">
        <f t="shared" si="29"/>
        <v>0</v>
      </c>
      <c r="AO13" s="33">
        <f t="shared" si="30"/>
        <v>0</v>
      </c>
      <c r="AP13" s="33">
        <f t="shared" si="31"/>
        <v>0</v>
      </c>
      <c r="AQ13" s="33">
        <f t="shared" si="32"/>
        <v>0</v>
      </c>
      <c r="AR13" s="33">
        <f t="shared" si="33"/>
        <v>0</v>
      </c>
      <c r="AS13" s="33">
        <f t="shared" si="34"/>
        <v>0</v>
      </c>
      <c r="AT13" s="33">
        <f t="shared" si="35"/>
        <v>0</v>
      </c>
      <c r="AU13" s="33">
        <f t="shared" si="36"/>
        <v>0</v>
      </c>
      <c r="AV13" s="33">
        <f t="shared" si="37"/>
        <v>0</v>
      </c>
      <c r="AW13" s="34" t="b">
        <f t="shared" si="38"/>
        <v>0</v>
      </c>
    </row>
    <row r="14" spans="1:49" ht="18" customHeight="1">
      <c r="A14" s="49">
        <f>+IF(AND(Vakant!AX14&lt;=21,Vakant!BC14&gt;0),Vakant!BC14,0)</f>
        <v>0</v>
      </c>
      <c r="B14" s="49">
        <f>+IF(AND(A14&gt;0,A14&lt;=21),VLOOKUP(F14,Grupper!$B$1:$C$12,2,FALSE),"")</f>
      </c>
      <c r="C14" s="51">
        <f>IF(OR(AND(A14&gt;0,F14=F13),AND(A14&gt;0,H14=H13),AND(A14&gt;0,H14=F13),AND(A14&gt;0,F14=H13)),(IF(OR(AND(A14&lt;=21,A14&gt;0)),E13+Inställningar!$B$3+Inställningar!$B$4,C13))+Inställningar!$B$3,(IF(OR(AND(A14&lt;=21,A14&gt;0)),E13+Inställningar!$B$3,C13)))</f>
        <v>0.36250000000000004</v>
      </c>
      <c r="D14" s="51">
        <f t="shared" si="39"/>
      </c>
      <c r="E14" s="51">
        <f>IF(OR(AND(A14&gt;0,F14=F13),AND(A14&gt;0,F14=H13),AND(A14&gt;0,H14=H13),AND(A14&gt;0,H14=F13)),(IF(OR(A14&lt;=21),C14+Inställningar!$B$1,E13)),(IF(OR(AND(A14&gt;0,A14&lt;=21)),C14+Inställningar!$B$1,E13)))</f>
        <v>0.37152777777777785</v>
      </c>
      <c r="F14" s="30">
        <f>IF(OR(AND(A14&lt;=21,A14&gt;0)),(VLOOKUP(A14,Vakant!$A$10:$G$51,5,FALSE)),"")</f>
      </c>
      <c r="G14" s="31">
        <f t="shared" si="1"/>
      </c>
      <c r="H14" s="30">
        <f>+IF(OR(AND(A14&lt;=21,A14&gt;0)),(VLOOKUP(A14,Vakant!$A$10:$G$51,7,FALSE)),"")</f>
      </c>
      <c r="I14" s="32"/>
      <c r="J14" s="31">
        <f t="shared" si="0"/>
      </c>
      <c r="M14" s="33">
        <f t="shared" si="2"/>
        <v>0</v>
      </c>
      <c r="N14" s="33">
        <f t="shared" si="3"/>
        <v>0</v>
      </c>
      <c r="O14" s="33">
        <f t="shared" si="4"/>
        <v>0</v>
      </c>
      <c r="P14" s="33">
        <f t="shared" si="5"/>
        <v>0</v>
      </c>
      <c r="Q14" s="33">
        <f t="shared" si="6"/>
        <v>0</v>
      </c>
      <c r="R14" s="33">
        <f t="shared" si="7"/>
        <v>0</v>
      </c>
      <c r="S14" s="33">
        <f t="shared" si="8"/>
        <v>0</v>
      </c>
      <c r="T14" s="33">
        <f t="shared" si="9"/>
        <v>0</v>
      </c>
      <c r="U14" s="33">
        <f t="shared" si="10"/>
        <v>0</v>
      </c>
      <c r="V14" s="33">
        <f t="shared" si="11"/>
        <v>0</v>
      </c>
      <c r="W14" s="33">
        <f t="shared" si="12"/>
        <v>0</v>
      </c>
      <c r="X14" s="33">
        <f t="shared" si="13"/>
        <v>0</v>
      </c>
      <c r="Y14" s="33">
        <f t="shared" si="14"/>
        <v>0</v>
      </c>
      <c r="Z14" s="33">
        <f t="shared" si="15"/>
        <v>0</v>
      </c>
      <c r="AA14" s="33">
        <f t="shared" si="16"/>
        <v>0</v>
      </c>
      <c r="AB14" s="33">
        <f t="shared" si="17"/>
        <v>0</v>
      </c>
      <c r="AC14" s="33">
        <f t="shared" si="18"/>
        <v>0</v>
      </c>
      <c r="AD14" s="33">
        <f t="shared" si="19"/>
        <v>0</v>
      </c>
      <c r="AE14" s="33">
        <f t="shared" si="20"/>
        <v>0</v>
      </c>
      <c r="AF14" s="33">
        <f t="shared" si="21"/>
        <v>0</v>
      </c>
      <c r="AG14" s="33">
        <f t="shared" si="22"/>
        <v>0</v>
      </c>
      <c r="AH14" s="33">
        <f t="shared" si="23"/>
        <v>0</v>
      </c>
      <c r="AI14" s="33">
        <f t="shared" si="24"/>
        <v>0</v>
      </c>
      <c r="AJ14" s="33">
        <f t="shared" si="25"/>
        <v>0</v>
      </c>
      <c r="AK14" s="33">
        <f t="shared" si="26"/>
        <v>0</v>
      </c>
      <c r="AL14" s="33">
        <f t="shared" si="27"/>
        <v>0</v>
      </c>
      <c r="AM14" s="33">
        <f t="shared" si="28"/>
        <v>0</v>
      </c>
      <c r="AN14" s="33">
        <f t="shared" si="29"/>
        <v>0</v>
      </c>
      <c r="AO14" s="33">
        <f t="shared" si="30"/>
        <v>0</v>
      </c>
      <c r="AP14" s="33">
        <f t="shared" si="31"/>
        <v>0</v>
      </c>
      <c r="AQ14" s="33">
        <f t="shared" si="32"/>
        <v>0</v>
      </c>
      <c r="AR14" s="33">
        <f t="shared" si="33"/>
        <v>0</v>
      </c>
      <c r="AS14" s="33">
        <f t="shared" si="34"/>
        <v>0</v>
      </c>
      <c r="AT14" s="33">
        <f t="shared" si="35"/>
        <v>0</v>
      </c>
      <c r="AU14" s="33">
        <f t="shared" si="36"/>
        <v>0</v>
      </c>
      <c r="AV14" s="33">
        <f t="shared" si="37"/>
        <v>0</v>
      </c>
      <c r="AW14" s="34" t="b">
        <f t="shared" si="38"/>
        <v>0</v>
      </c>
    </row>
    <row r="15" spans="1:49" ht="18" customHeight="1">
      <c r="A15" s="49">
        <f>+IF(AND(Vakant!AX15&lt;=21,Vakant!BC15&gt;0),Vakant!BC15,0)</f>
        <v>5</v>
      </c>
      <c r="B15" s="49" t="str">
        <f>+IF(AND(A15&gt;0,A15&lt;=21),VLOOKUP(F15,Grupper!$B$1:$C$12,2,FALSE),"")</f>
        <v>A</v>
      </c>
      <c r="C15" s="51">
        <f>IF(OR(AND(A15&gt;0,F15=F14),AND(A15&gt;0,H15=H14),AND(A15&gt;0,H15=F14),AND(A15&gt;0,F15=H14)),(IF(OR(AND(A15&lt;=21,A15&gt;0)),E14+Inställningar!$B$3+Inställningar!$B$4,C14))+Inställningar!$B$3,(IF(OR(AND(A15&lt;=21,A15&gt;0)),E14+Inställningar!$B$3,C14)))</f>
        <v>0.3722222222222223</v>
      </c>
      <c r="D15" s="51" t="str">
        <f t="shared" si="39"/>
        <v>-</v>
      </c>
      <c r="E15" s="51">
        <f>IF(OR(AND(A15&gt;0,F15=F14),AND(A15&gt;0,F15=H14),AND(A15&gt;0,H15=H14),AND(A15&gt;0,H15=F14)),(IF(OR(A15&lt;=21),C15+Inställningar!$B$1,E14)),(IF(OR(AND(A15&gt;0,A15&lt;=21)),C15+Inställningar!$B$1,E14)))</f>
        <v>0.3812500000000001</v>
      </c>
      <c r="F15" s="30" t="str">
        <f>IF(OR(AND(A15&lt;=21,A15&gt;0)),(VLOOKUP(A15,Vakant!$A$10:$G$51,5,FALSE)),"")</f>
        <v>Åstorps FF 1</v>
      </c>
      <c r="G15" s="31" t="str">
        <f t="shared" si="1"/>
        <v>-</v>
      </c>
      <c r="H15" s="30" t="str">
        <f>+IF(OR(AND(A15&lt;=21,A15&gt;0)),(VLOOKUP(A15,Vakant!$A$10:$G$51,7,FALSE)),"")</f>
        <v>Svalövs BK 2</v>
      </c>
      <c r="I15" s="32"/>
      <c r="J15" s="31" t="str">
        <f t="shared" si="0"/>
        <v>-</v>
      </c>
      <c r="L15" s="52"/>
      <c r="M15" s="33">
        <f t="shared" si="2"/>
        <v>0</v>
      </c>
      <c r="N15" s="33">
        <f t="shared" si="3"/>
        <v>0</v>
      </c>
      <c r="O15" s="33">
        <f t="shared" si="4"/>
        <v>0</v>
      </c>
      <c r="P15" s="33">
        <f t="shared" si="5"/>
        <v>0</v>
      </c>
      <c r="Q15" s="33">
        <f t="shared" si="6"/>
        <v>0</v>
      </c>
      <c r="R15" s="33">
        <f t="shared" si="7"/>
        <v>0</v>
      </c>
      <c r="S15" s="33">
        <f t="shared" si="8"/>
        <v>0</v>
      </c>
      <c r="T15" s="33">
        <f t="shared" si="9"/>
        <v>0</v>
      </c>
      <c r="U15" s="33">
        <f t="shared" si="10"/>
        <v>0</v>
      </c>
      <c r="V15" s="33">
        <f t="shared" si="11"/>
        <v>0</v>
      </c>
      <c r="W15" s="33">
        <f t="shared" si="12"/>
        <v>0</v>
      </c>
      <c r="X15" s="33">
        <f t="shared" si="13"/>
        <v>0</v>
      </c>
      <c r="Y15" s="33">
        <f t="shared" si="14"/>
        <v>0</v>
      </c>
      <c r="Z15" s="33">
        <f t="shared" si="15"/>
        <v>0</v>
      </c>
      <c r="AA15" s="33">
        <f t="shared" si="16"/>
        <v>0</v>
      </c>
      <c r="AB15" s="33">
        <f t="shared" si="17"/>
        <v>0</v>
      </c>
      <c r="AC15" s="33">
        <f t="shared" si="18"/>
        <v>0</v>
      </c>
      <c r="AD15" s="33">
        <f t="shared" si="19"/>
        <v>0</v>
      </c>
      <c r="AE15" s="33">
        <f t="shared" si="20"/>
        <v>0</v>
      </c>
      <c r="AF15" s="33">
        <f t="shared" si="21"/>
        <v>0</v>
      </c>
      <c r="AG15" s="33">
        <f t="shared" si="22"/>
        <v>0</v>
      </c>
      <c r="AH15" s="33">
        <f t="shared" si="23"/>
        <v>0</v>
      </c>
      <c r="AI15" s="33">
        <f t="shared" si="24"/>
        <v>0</v>
      </c>
      <c r="AJ15" s="33">
        <f t="shared" si="25"/>
        <v>0</v>
      </c>
      <c r="AK15" s="33">
        <f t="shared" si="26"/>
        <v>0</v>
      </c>
      <c r="AL15" s="33">
        <f t="shared" si="27"/>
        <v>0</v>
      </c>
      <c r="AM15" s="33">
        <f t="shared" si="28"/>
        <v>0</v>
      </c>
      <c r="AN15" s="33">
        <f t="shared" si="29"/>
        <v>0</v>
      </c>
      <c r="AO15" s="33">
        <f t="shared" si="30"/>
        <v>0</v>
      </c>
      <c r="AP15" s="33">
        <f t="shared" si="31"/>
        <v>0</v>
      </c>
      <c r="AQ15" s="33">
        <f t="shared" si="32"/>
        <v>0</v>
      </c>
      <c r="AR15" s="33">
        <f t="shared" si="33"/>
        <v>0</v>
      </c>
      <c r="AS15" s="33">
        <f t="shared" si="34"/>
        <v>0</v>
      </c>
      <c r="AT15" s="33">
        <f t="shared" si="35"/>
        <v>0</v>
      </c>
      <c r="AU15" s="33">
        <f t="shared" si="36"/>
        <v>0</v>
      </c>
      <c r="AV15" s="33">
        <f t="shared" si="37"/>
        <v>0</v>
      </c>
      <c r="AW15" s="34" t="b">
        <f t="shared" si="38"/>
        <v>0</v>
      </c>
    </row>
    <row r="16" spans="1:49" ht="18" customHeight="1">
      <c r="A16" s="49">
        <f>+IF(AND(Vakant!AX16&lt;=21,Vakant!BC16&gt;0),Vakant!BC16,0)</f>
        <v>6</v>
      </c>
      <c r="B16" s="49" t="str">
        <f>+IF(AND(A16&gt;0,A16&lt;=21),VLOOKUP(F16,Grupper!$B$1:$C$12,2,FALSE),"")</f>
        <v>A</v>
      </c>
      <c r="C16" s="51">
        <f>IF(OR(AND(A16&gt;0,F16=F15),AND(A16&gt;0,H16=H15),AND(A16&gt;0,H16=F15),AND(A16&gt;0,F16=H15)),(IF(OR(AND(A16&lt;=21,A16&gt;0)),E15+Inställningar!$B$3+Inställningar!$B$4,C15))+Inställningar!$B$3,(IF(OR(AND(A16&lt;=21,A16&gt;0)),E15+Inställningar!$B$3,C15)))</f>
        <v>0.38194444444444453</v>
      </c>
      <c r="D16" s="51" t="str">
        <f t="shared" si="39"/>
        <v>-</v>
      </c>
      <c r="E16" s="51">
        <f>IF(OR(AND(A16&gt;0,F16=F15),AND(A16&gt;0,F16=H15),AND(A16&gt;0,H16=H15),AND(A16&gt;0,H16=F15)),(IF(OR(A16&lt;=21),C16+Inställningar!$B$1,E15)),(IF(OR(AND(A16&gt;0,A16&lt;=21)),C16+Inställningar!$B$1,E15)))</f>
        <v>0.39097222222222233</v>
      </c>
      <c r="F16" s="30" t="str">
        <f>IF(OR(AND(A16&lt;=21,A16&gt;0)),(VLOOKUP(A16,Vakant!$A$10:$G$51,5,FALSE)),"")</f>
        <v>Dösjöbro IF 1</v>
      </c>
      <c r="G16" s="31" t="str">
        <f t="shared" si="1"/>
        <v>-</v>
      </c>
      <c r="H16" s="30" t="str">
        <f>+IF(OR(AND(A16&lt;=21,A16&gt;0)),(VLOOKUP(A16,Vakant!$A$10:$G$51,7,FALSE)),"")</f>
        <v>IK Wormo</v>
      </c>
      <c r="I16" s="32"/>
      <c r="J16" s="31" t="str">
        <f t="shared" si="0"/>
        <v>-</v>
      </c>
      <c r="L16" s="52"/>
      <c r="M16" s="33">
        <f t="shared" si="2"/>
        <v>0</v>
      </c>
      <c r="N16" s="33">
        <f t="shared" si="3"/>
        <v>0</v>
      </c>
      <c r="O16" s="33">
        <f t="shared" si="4"/>
        <v>0</v>
      </c>
      <c r="P16" s="33">
        <f t="shared" si="5"/>
        <v>0</v>
      </c>
      <c r="Q16" s="33">
        <f t="shared" si="6"/>
        <v>0</v>
      </c>
      <c r="R16" s="33">
        <f t="shared" si="7"/>
        <v>0</v>
      </c>
      <c r="S16" s="33">
        <f t="shared" si="8"/>
        <v>0</v>
      </c>
      <c r="T16" s="33">
        <f t="shared" si="9"/>
        <v>0</v>
      </c>
      <c r="U16" s="33">
        <f t="shared" si="10"/>
        <v>0</v>
      </c>
      <c r="V16" s="33">
        <f t="shared" si="11"/>
        <v>0</v>
      </c>
      <c r="W16" s="33">
        <f t="shared" si="12"/>
        <v>0</v>
      </c>
      <c r="X16" s="33">
        <f t="shared" si="13"/>
        <v>0</v>
      </c>
      <c r="Y16" s="33">
        <f t="shared" si="14"/>
        <v>0</v>
      </c>
      <c r="Z16" s="33">
        <f t="shared" si="15"/>
        <v>0</v>
      </c>
      <c r="AA16" s="33">
        <f t="shared" si="16"/>
        <v>0</v>
      </c>
      <c r="AB16" s="33">
        <f t="shared" si="17"/>
        <v>0</v>
      </c>
      <c r="AC16" s="33">
        <f t="shared" si="18"/>
        <v>0</v>
      </c>
      <c r="AD16" s="33">
        <f t="shared" si="19"/>
        <v>0</v>
      </c>
      <c r="AE16" s="33">
        <f t="shared" si="20"/>
        <v>0</v>
      </c>
      <c r="AF16" s="33">
        <f t="shared" si="21"/>
        <v>0</v>
      </c>
      <c r="AG16" s="33">
        <f t="shared" si="22"/>
        <v>0</v>
      </c>
      <c r="AH16" s="33">
        <f t="shared" si="23"/>
        <v>0</v>
      </c>
      <c r="AI16" s="33">
        <f t="shared" si="24"/>
        <v>0</v>
      </c>
      <c r="AJ16" s="33">
        <f t="shared" si="25"/>
        <v>0</v>
      </c>
      <c r="AK16" s="33">
        <f t="shared" si="26"/>
        <v>0</v>
      </c>
      <c r="AL16" s="33">
        <f t="shared" si="27"/>
        <v>0</v>
      </c>
      <c r="AM16" s="33">
        <f t="shared" si="28"/>
        <v>0</v>
      </c>
      <c r="AN16" s="33">
        <f t="shared" si="29"/>
        <v>0</v>
      </c>
      <c r="AO16" s="33">
        <f t="shared" si="30"/>
        <v>0</v>
      </c>
      <c r="AP16" s="33">
        <f t="shared" si="31"/>
        <v>0</v>
      </c>
      <c r="AQ16" s="33">
        <f t="shared" si="32"/>
        <v>0</v>
      </c>
      <c r="AR16" s="33">
        <f t="shared" si="33"/>
        <v>0</v>
      </c>
      <c r="AS16" s="33">
        <f t="shared" si="34"/>
        <v>0</v>
      </c>
      <c r="AT16" s="33">
        <f t="shared" si="35"/>
        <v>0</v>
      </c>
      <c r="AU16" s="33">
        <f t="shared" si="36"/>
        <v>0</v>
      </c>
      <c r="AV16" s="33">
        <f t="shared" si="37"/>
        <v>0</v>
      </c>
      <c r="AW16" s="34" t="b">
        <f t="shared" si="38"/>
        <v>0</v>
      </c>
    </row>
    <row r="17" spans="1:49" ht="18" customHeight="1">
      <c r="A17" s="49">
        <f>+IF(AND(Vakant!AX17&lt;=21,Vakant!BC17&gt;0),Vakant!BC17,0)</f>
        <v>7</v>
      </c>
      <c r="B17" s="49" t="str">
        <f>+IF(AND(A17&gt;0,A17&lt;=21),VLOOKUP(F17,Grupper!$B$1:$C$12,2,FALSE),"")</f>
        <v>B</v>
      </c>
      <c r="C17" s="51">
        <f>IF(OR(AND(A17&gt;0,F17=F16),AND(A17&gt;0,H17=H16),AND(A17&gt;0,H17=F16),AND(A17&gt;0,F17=H16)),(IF(OR(AND(A17&lt;=21,A17&gt;0)),E16+Inställningar!$B$3+Inställningar!$B$4,C16))+Inställningar!$B$3,(IF(OR(AND(A17&lt;=21,A17&gt;0)),E16+Inställningar!$B$3,C16)))</f>
        <v>0.3916666666666668</v>
      </c>
      <c r="D17" s="51" t="str">
        <f t="shared" si="39"/>
        <v>-</v>
      </c>
      <c r="E17" s="51">
        <f>IF(OR(AND(A17&gt;0,F17=F16),AND(A17&gt;0,F17=H16),AND(A17&gt;0,H17=H16),AND(A17&gt;0,H17=F16)),(IF(OR(A17&lt;=21),C17+Inställningar!$B$1,E16)),(IF(OR(AND(A17&gt;0,A17&lt;=21)),C17+Inställningar!$B$1,E16)))</f>
        <v>0.4006944444444446</v>
      </c>
      <c r="F17" s="30" t="str">
        <f>IF(OR(AND(A17&lt;=21,A17&gt;0)),(VLOOKUP(A17,Vakant!$A$10:$G$51,5,FALSE)),"")</f>
        <v>Svalövs BK 1</v>
      </c>
      <c r="G17" s="31" t="str">
        <f t="shared" si="1"/>
        <v>-</v>
      </c>
      <c r="H17" s="30" t="str">
        <f>+IF(OR(AND(A17&lt;=21,A17&gt;0)),(VLOOKUP(A17,Vakant!$A$10:$G$51,7,FALSE)),"")</f>
        <v>Häljarps IF 1</v>
      </c>
      <c r="I17" s="32"/>
      <c r="J17" s="31" t="str">
        <f t="shared" si="0"/>
        <v>-</v>
      </c>
      <c r="L17" s="52"/>
      <c r="M17" s="33">
        <f t="shared" si="2"/>
        <v>0</v>
      </c>
      <c r="N17" s="33">
        <f t="shared" si="3"/>
        <v>0</v>
      </c>
      <c r="O17" s="33">
        <f t="shared" si="4"/>
        <v>0</v>
      </c>
      <c r="P17" s="33">
        <f t="shared" si="5"/>
        <v>0</v>
      </c>
      <c r="Q17" s="33">
        <f t="shared" si="6"/>
        <v>0</v>
      </c>
      <c r="R17" s="33">
        <f t="shared" si="7"/>
        <v>0</v>
      </c>
      <c r="S17" s="33">
        <f t="shared" si="8"/>
        <v>0</v>
      </c>
      <c r="T17" s="33">
        <f t="shared" si="9"/>
        <v>0</v>
      </c>
      <c r="U17" s="33">
        <f t="shared" si="10"/>
        <v>0</v>
      </c>
      <c r="V17" s="33">
        <f t="shared" si="11"/>
        <v>0</v>
      </c>
      <c r="W17" s="33">
        <f t="shared" si="12"/>
        <v>0</v>
      </c>
      <c r="X17" s="33">
        <f t="shared" si="13"/>
        <v>0</v>
      </c>
      <c r="Y17" s="33">
        <f t="shared" si="14"/>
        <v>0</v>
      </c>
      <c r="Z17" s="33">
        <f t="shared" si="15"/>
        <v>0</v>
      </c>
      <c r="AA17" s="33">
        <f t="shared" si="16"/>
        <v>0</v>
      </c>
      <c r="AB17" s="33">
        <f t="shared" si="17"/>
        <v>0</v>
      </c>
      <c r="AC17" s="33">
        <f t="shared" si="18"/>
        <v>0</v>
      </c>
      <c r="AD17" s="33">
        <f t="shared" si="19"/>
        <v>0</v>
      </c>
      <c r="AE17" s="33">
        <f t="shared" si="20"/>
        <v>0</v>
      </c>
      <c r="AF17" s="33">
        <f t="shared" si="21"/>
        <v>0</v>
      </c>
      <c r="AG17" s="33">
        <f t="shared" si="22"/>
        <v>0</v>
      </c>
      <c r="AH17" s="33">
        <f t="shared" si="23"/>
        <v>0</v>
      </c>
      <c r="AI17" s="33">
        <f t="shared" si="24"/>
        <v>0</v>
      </c>
      <c r="AJ17" s="33">
        <f t="shared" si="25"/>
        <v>0</v>
      </c>
      <c r="AK17" s="33">
        <f t="shared" si="26"/>
        <v>0</v>
      </c>
      <c r="AL17" s="33">
        <f t="shared" si="27"/>
        <v>0</v>
      </c>
      <c r="AM17" s="33">
        <f t="shared" si="28"/>
        <v>0</v>
      </c>
      <c r="AN17" s="33">
        <f t="shared" si="29"/>
        <v>0</v>
      </c>
      <c r="AO17" s="33">
        <f t="shared" si="30"/>
        <v>0</v>
      </c>
      <c r="AP17" s="33">
        <f t="shared" si="31"/>
        <v>0</v>
      </c>
      <c r="AQ17" s="33">
        <f t="shared" si="32"/>
        <v>0</v>
      </c>
      <c r="AR17" s="33">
        <f t="shared" si="33"/>
        <v>0</v>
      </c>
      <c r="AS17" s="33">
        <f t="shared" si="34"/>
        <v>0</v>
      </c>
      <c r="AT17" s="33">
        <f t="shared" si="35"/>
        <v>0</v>
      </c>
      <c r="AU17" s="33">
        <f t="shared" si="36"/>
        <v>0</v>
      </c>
      <c r="AV17" s="33">
        <f t="shared" si="37"/>
        <v>0</v>
      </c>
      <c r="AW17" s="34" t="b">
        <f t="shared" si="38"/>
        <v>0</v>
      </c>
    </row>
    <row r="18" spans="1:49" ht="18" customHeight="1">
      <c r="A18" s="49">
        <f>+IF(AND(Vakant!AX18&lt;=21,Vakant!BC18&gt;0),Vakant!BC18,0)</f>
        <v>8</v>
      </c>
      <c r="B18" s="49" t="str">
        <f>+IF(AND(A18&gt;0,A18&lt;=21),VLOOKUP(F18,Grupper!$B$1:$C$12,2,FALSE),"")</f>
        <v>B</v>
      </c>
      <c r="C18" s="51">
        <f>IF(OR(AND(A18&gt;0,F18=F17),AND(A18&gt;0,H18=H17),AND(A18&gt;0,H18=F17),AND(A18&gt;0,F18=H17)),(IF(OR(AND(A18&lt;=21,A18&gt;0)),E17+Inställningar!$B$3+Inställningar!$B$4,C17))+Inställningar!$B$3,(IF(OR(AND(A18&lt;=21,A18&gt;0)),E17+Inställningar!$B$3,C17)))</f>
        <v>0.401388888888889</v>
      </c>
      <c r="D18" s="51" t="str">
        <f t="shared" si="39"/>
        <v>-</v>
      </c>
      <c r="E18" s="51">
        <f>IF(OR(AND(A18&gt;0,F18=F17),AND(A18&gt;0,F18=H17),AND(A18&gt;0,H18=H17),AND(A18&gt;0,H18=F17)),(IF(OR(A18&lt;=21),C18+Inställningar!$B$1,E17)),(IF(OR(AND(A18&gt;0,A18&lt;=21)),C18+Inställningar!$B$1,E17)))</f>
        <v>0.4104166666666668</v>
      </c>
      <c r="F18" s="30" t="str">
        <f>IF(OR(AND(A18&lt;=21,A18&gt;0)),(VLOOKUP(A18,Vakant!$A$10:$G$51,5,FALSE)),"")</f>
        <v>Dösjöbro IF 2</v>
      </c>
      <c r="G18" s="31" t="str">
        <f t="shared" si="1"/>
        <v>-</v>
      </c>
      <c r="H18" s="30" t="str">
        <f>+IF(OR(AND(A18&lt;=21,A18&gt;0)),(VLOOKUP(A18,Vakant!$A$10:$G$51,7,FALSE)),"")</f>
        <v>Åstorps FF 2</v>
      </c>
      <c r="I18" s="32"/>
      <c r="J18" s="31" t="str">
        <f t="shared" si="0"/>
        <v>-</v>
      </c>
      <c r="L18" s="52"/>
      <c r="M18" s="33">
        <f t="shared" si="2"/>
        <v>0</v>
      </c>
      <c r="N18" s="33">
        <f t="shared" si="3"/>
        <v>0</v>
      </c>
      <c r="O18" s="33">
        <f t="shared" si="4"/>
        <v>0</v>
      </c>
      <c r="P18" s="33">
        <f t="shared" si="5"/>
        <v>0</v>
      </c>
      <c r="Q18" s="33">
        <f t="shared" si="6"/>
        <v>0</v>
      </c>
      <c r="R18" s="33">
        <f t="shared" si="7"/>
        <v>0</v>
      </c>
      <c r="S18" s="33">
        <f t="shared" si="8"/>
        <v>0</v>
      </c>
      <c r="T18" s="33">
        <f t="shared" si="9"/>
        <v>0</v>
      </c>
      <c r="U18" s="33">
        <f t="shared" si="10"/>
        <v>0</v>
      </c>
      <c r="V18" s="33">
        <f t="shared" si="11"/>
        <v>0</v>
      </c>
      <c r="W18" s="33">
        <f t="shared" si="12"/>
        <v>0</v>
      </c>
      <c r="X18" s="33">
        <f t="shared" si="13"/>
        <v>0</v>
      </c>
      <c r="Y18" s="33">
        <f t="shared" si="14"/>
        <v>0</v>
      </c>
      <c r="Z18" s="33">
        <f t="shared" si="15"/>
        <v>0</v>
      </c>
      <c r="AA18" s="33">
        <f t="shared" si="16"/>
        <v>0</v>
      </c>
      <c r="AB18" s="33">
        <f t="shared" si="17"/>
        <v>0</v>
      </c>
      <c r="AC18" s="33">
        <f t="shared" si="18"/>
        <v>0</v>
      </c>
      <c r="AD18" s="33">
        <f t="shared" si="19"/>
        <v>0</v>
      </c>
      <c r="AE18" s="33">
        <f t="shared" si="20"/>
        <v>0</v>
      </c>
      <c r="AF18" s="33">
        <f t="shared" si="21"/>
        <v>0</v>
      </c>
      <c r="AG18" s="33">
        <f t="shared" si="22"/>
        <v>0</v>
      </c>
      <c r="AH18" s="33">
        <f t="shared" si="23"/>
        <v>0</v>
      </c>
      <c r="AI18" s="33">
        <f t="shared" si="24"/>
        <v>0</v>
      </c>
      <c r="AJ18" s="33">
        <f t="shared" si="25"/>
        <v>0</v>
      </c>
      <c r="AK18" s="33">
        <f t="shared" si="26"/>
        <v>0</v>
      </c>
      <c r="AL18" s="33">
        <f t="shared" si="27"/>
        <v>0</v>
      </c>
      <c r="AM18" s="33">
        <f t="shared" si="28"/>
        <v>0</v>
      </c>
      <c r="AN18" s="33">
        <f t="shared" si="29"/>
        <v>0</v>
      </c>
      <c r="AO18" s="33">
        <f t="shared" si="30"/>
        <v>0</v>
      </c>
      <c r="AP18" s="33">
        <f t="shared" si="31"/>
        <v>0</v>
      </c>
      <c r="AQ18" s="33">
        <f t="shared" si="32"/>
        <v>0</v>
      </c>
      <c r="AR18" s="33">
        <f t="shared" si="33"/>
        <v>0</v>
      </c>
      <c r="AS18" s="33">
        <f t="shared" si="34"/>
        <v>0</v>
      </c>
      <c r="AT18" s="33">
        <f t="shared" si="35"/>
        <v>0</v>
      </c>
      <c r="AU18" s="33">
        <f t="shared" si="36"/>
        <v>0</v>
      </c>
      <c r="AV18" s="33">
        <f t="shared" si="37"/>
        <v>0</v>
      </c>
      <c r="AW18" s="34" t="b">
        <f t="shared" si="38"/>
        <v>0</v>
      </c>
    </row>
    <row r="19" spans="1:49" ht="18" customHeight="1">
      <c r="A19" s="49">
        <f>+IF(AND(Vakant!AX19&lt;=21,Vakant!BC19&gt;0),Vakant!BC19,0)</f>
        <v>0</v>
      </c>
      <c r="B19" s="49">
        <f>+IF(AND(A19&gt;0,A19&lt;=21),VLOOKUP(F19,Grupper!$B$1:$C$12,2,FALSE),"")</f>
      </c>
      <c r="C19" s="51">
        <f>IF(OR(AND(A19&gt;0,F19=F18),AND(A19&gt;0,H19=H18),AND(A19&gt;0,H19=F18),AND(A19&gt;0,F19=H18)),(IF(OR(AND(A19&lt;=21,A19&gt;0)),E18+Inställningar!$B$3+Inställningar!$B$4,C18))+Inställningar!$B$3,(IF(OR(AND(A19&lt;=21,A19&gt;0)),E18+Inställningar!$B$3,C18)))</f>
        <v>0.401388888888889</v>
      </c>
      <c r="D19" s="51">
        <f t="shared" si="39"/>
      </c>
      <c r="E19" s="51">
        <f>IF(OR(AND(A19&gt;0,F19=F18),AND(A19&gt;0,F19=H18),AND(A19&gt;0,H19=H18),AND(A19&gt;0,H19=F18)),(IF(OR(A19&lt;=21),C19+Inställningar!$B$1,E18)),(IF(OR(AND(A19&gt;0,A19&lt;=21)),C19+Inställningar!$B$1,E18)))</f>
        <v>0.4104166666666668</v>
      </c>
      <c r="F19" s="30">
        <f>IF(OR(AND(A19&lt;=21,A19&gt;0)),(VLOOKUP(A19,Vakant!$A$10:$G$51,5,FALSE)),"")</f>
      </c>
      <c r="G19" s="31">
        <f t="shared" si="1"/>
      </c>
      <c r="H19" s="30">
        <f>+IF(OR(AND(A19&lt;=21,A19&gt;0)),(VLOOKUP(A19,Vakant!$A$10:$G$51,7,FALSE)),"")</f>
      </c>
      <c r="I19" s="32"/>
      <c r="J19" s="31">
        <f t="shared" si="0"/>
      </c>
      <c r="M19" s="33">
        <f t="shared" si="2"/>
        <v>0</v>
      </c>
      <c r="N19" s="33">
        <f t="shared" si="3"/>
        <v>0</v>
      </c>
      <c r="O19" s="33">
        <f t="shared" si="4"/>
        <v>0</v>
      </c>
      <c r="P19" s="33">
        <f t="shared" si="5"/>
        <v>0</v>
      </c>
      <c r="Q19" s="33">
        <f t="shared" si="6"/>
        <v>0</v>
      </c>
      <c r="R19" s="33">
        <f t="shared" si="7"/>
        <v>0</v>
      </c>
      <c r="S19" s="33">
        <f t="shared" si="8"/>
        <v>0</v>
      </c>
      <c r="T19" s="33">
        <f t="shared" si="9"/>
        <v>0</v>
      </c>
      <c r="U19" s="33">
        <f t="shared" si="10"/>
        <v>0</v>
      </c>
      <c r="V19" s="33">
        <f t="shared" si="11"/>
        <v>0</v>
      </c>
      <c r="W19" s="33">
        <f t="shared" si="12"/>
        <v>0</v>
      </c>
      <c r="X19" s="33">
        <f t="shared" si="13"/>
        <v>0</v>
      </c>
      <c r="Y19" s="33">
        <f t="shared" si="14"/>
        <v>0</v>
      </c>
      <c r="Z19" s="33">
        <f t="shared" si="15"/>
        <v>0</v>
      </c>
      <c r="AA19" s="33">
        <f t="shared" si="16"/>
        <v>0</v>
      </c>
      <c r="AB19" s="33">
        <f t="shared" si="17"/>
        <v>0</v>
      </c>
      <c r="AC19" s="33">
        <f t="shared" si="18"/>
        <v>0</v>
      </c>
      <c r="AD19" s="33">
        <f t="shared" si="19"/>
        <v>0</v>
      </c>
      <c r="AE19" s="33">
        <f t="shared" si="20"/>
        <v>0</v>
      </c>
      <c r="AF19" s="33">
        <f t="shared" si="21"/>
        <v>0</v>
      </c>
      <c r="AG19" s="33">
        <f t="shared" si="22"/>
        <v>0</v>
      </c>
      <c r="AH19" s="33">
        <f t="shared" si="23"/>
        <v>0</v>
      </c>
      <c r="AI19" s="33">
        <f t="shared" si="24"/>
        <v>0</v>
      </c>
      <c r="AJ19" s="33">
        <f t="shared" si="25"/>
        <v>0</v>
      </c>
      <c r="AK19" s="33">
        <f t="shared" si="26"/>
        <v>0</v>
      </c>
      <c r="AL19" s="33">
        <f t="shared" si="27"/>
        <v>0</v>
      </c>
      <c r="AM19" s="33">
        <f t="shared" si="28"/>
        <v>0</v>
      </c>
      <c r="AN19" s="33">
        <f t="shared" si="29"/>
        <v>0</v>
      </c>
      <c r="AO19" s="33">
        <f t="shared" si="30"/>
        <v>0</v>
      </c>
      <c r="AP19" s="33">
        <f t="shared" si="31"/>
        <v>0</v>
      </c>
      <c r="AQ19" s="33">
        <f t="shared" si="32"/>
        <v>0</v>
      </c>
      <c r="AR19" s="33">
        <f t="shared" si="33"/>
        <v>0</v>
      </c>
      <c r="AS19" s="33">
        <f t="shared" si="34"/>
        <v>0</v>
      </c>
      <c r="AT19" s="33">
        <f t="shared" si="35"/>
        <v>0</v>
      </c>
      <c r="AU19" s="33">
        <f t="shared" si="36"/>
        <v>0</v>
      </c>
      <c r="AV19" s="33">
        <f t="shared" si="37"/>
        <v>0</v>
      </c>
      <c r="AW19" s="34" t="b">
        <f t="shared" si="38"/>
        <v>0</v>
      </c>
    </row>
    <row r="20" spans="1:49" ht="18" customHeight="1">
      <c r="A20" s="49">
        <f>+IF(AND(Vakant!AX20&lt;=21,Vakant!BC20&gt;0),Vakant!BC20,0)</f>
        <v>9</v>
      </c>
      <c r="B20" s="49" t="str">
        <f>+IF(AND(A20&gt;0,A20&lt;=21),VLOOKUP(F20,Grupper!$B$1:$C$12,2,FALSE),"")</f>
        <v>A</v>
      </c>
      <c r="C20" s="51">
        <f>IF(OR(AND(A20&gt;0,F20=F19),AND(A20&gt;0,H20=H19),AND(A20&gt;0,H20=F19),AND(A20&gt;0,F20=H19)),(IF(OR(AND(A20&lt;=21,A20&gt;0)),E19+Inställningar!$B$3+Inställningar!$B$4,C19))+Inställningar!$B$3,(IF(OR(AND(A20&lt;=21,A20&gt;0)),E19+Inställningar!$B$3,C19)))</f>
        <v>0.41111111111111126</v>
      </c>
      <c r="D20" s="51" t="str">
        <f t="shared" si="39"/>
        <v>-</v>
      </c>
      <c r="E20" s="51">
        <f>IF(OR(AND(A20&gt;0,F20=F19),AND(A20&gt;0,F20=H19),AND(A20&gt;0,H20=H19),AND(A20&gt;0,H20=F19)),(IF(OR(A20&lt;=21),C20+Inställningar!$B$1,E19)),(IF(OR(AND(A20&gt;0,A20&lt;=21)),C20+Inställningar!$B$1,E19)))</f>
        <v>0.42013888888888906</v>
      </c>
      <c r="F20" s="30" t="str">
        <f>IF(OR(AND(A20&lt;=21,A20&gt;0)),(VLOOKUP(A20,Vakant!$A$10:$G$51,5,FALSE)),"")</f>
        <v>Häljarps IF 2</v>
      </c>
      <c r="G20" s="31" t="str">
        <f t="shared" si="1"/>
        <v>-</v>
      </c>
      <c r="H20" s="30" t="str">
        <f>+IF(OR(AND(A20&lt;=21,A20&gt;0)),(VLOOKUP(A20,Vakant!$A$10:$G$51,7,FALSE)),"")</f>
        <v>Åstorps FF 1</v>
      </c>
      <c r="I20" s="32"/>
      <c r="J20" s="31" t="str">
        <f t="shared" si="0"/>
        <v>-</v>
      </c>
      <c r="L20" s="52"/>
      <c r="M20" s="33">
        <f t="shared" si="2"/>
        <v>0</v>
      </c>
      <c r="N20" s="33">
        <f t="shared" si="3"/>
        <v>0</v>
      </c>
      <c r="O20" s="33">
        <f t="shared" si="4"/>
        <v>0</v>
      </c>
      <c r="P20" s="33">
        <f t="shared" si="5"/>
        <v>0</v>
      </c>
      <c r="Q20" s="33">
        <f t="shared" si="6"/>
        <v>0</v>
      </c>
      <c r="R20" s="33">
        <f t="shared" si="7"/>
        <v>0</v>
      </c>
      <c r="S20" s="33">
        <f t="shared" si="8"/>
        <v>0</v>
      </c>
      <c r="T20" s="33">
        <f t="shared" si="9"/>
        <v>0</v>
      </c>
      <c r="U20" s="33">
        <f t="shared" si="10"/>
        <v>0</v>
      </c>
      <c r="V20" s="33">
        <f t="shared" si="11"/>
        <v>0</v>
      </c>
      <c r="W20" s="33">
        <f t="shared" si="12"/>
        <v>0</v>
      </c>
      <c r="X20" s="33">
        <f t="shared" si="13"/>
        <v>0</v>
      </c>
      <c r="Y20" s="33">
        <f t="shared" si="14"/>
        <v>0</v>
      </c>
      <c r="Z20" s="33">
        <f t="shared" si="15"/>
        <v>0</v>
      </c>
      <c r="AA20" s="33">
        <f t="shared" si="16"/>
        <v>0</v>
      </c>
      <c r="AB20" s="33">
        <f t="shared" si="17"/>
        <v>0</v>
      </c>
      <c r="AC20" s="33">
        <f t="shared" si="18"/>
        <v>0</v>
      </c>
      <c r="AD20" s="33">
        <f t="shared" si="19"/>
        <v>0</v>
      </c>
      <c r="AE20" s="33">
        <f t="shared" si="20"/>
        <v>0</v>
      </c>
      <c r="AF20" s="33">
        <f t="shared" si="21"/>
        <v>0</v>
      </c>
      <c r="AG20" s="33">
        <f t="shared" si="22"/>
        <v>0</v>
      </c>
      <c r="AH20" s="33">
        <f t="shared" si="23"/>
        <v>0</v>
      </c>
      <c r="AI20" s="33">
        <f t="shared" si="24"/>
        <v>0</v>
      </c>
      <c r="AJ20" s="33">
        <f t="shared" si="25"/>
        <v>0</v>
      </c>
      <c r="AK20" s="33">
        <f t="shared" si="26"/>
        <v>0</v>
      </c>
      <c r="AL20" s="33">
        <f t="shared" si="27"/>
        <v>0</v>
      </c>
      <c r="AM20" s="33">
        <f t="shared" si="28"/>
        <v>0</v>
      </c>
      <c r="AN20" s="33">
        <f t="shared" si="29"/>
        <v>0</v>
      </c>
      <c r="AO20" s="33">
        <f t="shared" si="30"/>
        <v>0</v>
      </c>
      <c r="AP20" s="33">
        <f t="shared" si="31"/>
        <v>0</v>
      </c>
      <c r="AQ20" s="33">
        <f t="shared" si="32"/>
        <v>0</v>
      </c>
      <c r="AR20" s="33">
        <f t="shared" si="33"/>
        <v>0</v>
      </c>
      <c r="AS20" s="33">
        <f t="shared" si="34"/>
        <v>0</v>
      </c>
      <c r="AT20" s="33">
        <f t="shared" si="35"/>
        <v>0</v>
      </c>
      <c r="AU20" s="33">
        <f t="shared" si="36"/>
        <v>0</v>
      </c>
      <c r="AV20" s="33">
        <f t="shared" si="37"/>
        <v>0</v>
      </c>
      <c r="AW20" s="34" t="b">
        <f t="shared" si="38"/>
        <v>0</v>
      </c>
    </row>
    <row r="21" spans="1:49" ht="18" customHeight="1">
      <c r="A21" s="49">
        <f>+IF(AND(Vakant!AX21&lt;=21,Vakant!BC21&gt;0),Vakant!BC21,0)</f>
        <v>10</v>
      </c>
      <c r="B21" s="49" t="str">
        <f>+IF(AND(A21&gt;0,A21&lt;=21),VLOOKUP(F21,Grupper!$B$1:$C$12,2,FALSE),"")</f>
        <v>A</v>
      </c>
      <c r="C21" s="51">
        <f>IF(OR(AND(A21&gt;0,F21=F20),AND(A21&gt;0,H21=H20),AND(A21&gt;0,H21=F20),AND(A21&gt;0,F21=H20)),(IF(OR(AND(A21&lt;=21,A21&gt;0)),E20+Inställningar!$B$3+Inställningar!$B$4,C20))+Inställningar!$B$3,(IF(OR(AND(A21&lt;=21,A21&gt;0)),E20+Inställningar!$B$3,C20)))</f>
        <v>0.4208333333333335</v>
      </c>
      <c r="D21" s="51" t="str">
        <f t="shared" si="39"/>
        <v>-</v>
      </c>
      <c r="E21" s="51">
        <f>IF(OR(AND(A21&gt;0,F21=F20),AND(A21&gt;0,F21=H20),AND(A21&gt;0,H21=H20),AND(A21&gt;0,H21=F20)),(IF(OR(A21&lt;=21),C21+Inställningar!$B$1,E20)),(IF(OR(AND(A21&gt;0,A21&lt;=21)),C21+Inställningar!$B$1,E20)))</f>
        <v>0.4298611111111113</v>
      </c>
      <c r="F21" s="30" t="str">
        <f>IF(OR(AND(A21&lt;=21,A21&gt;0)),(VLOOKUP(A21,Vakant!$A$10:$G$51,5,FALSE)),"")</f>
        <v>Svalövs BK 2</v>
      </c>
      <c r="G21" s="31" t="str">
        <f t="shared" si="1"/>
        <v>-</v>
      </c>
      <c r="H21" s="30" t="str">
        <f>+IF(OR(AND(A21&lt;=21,A21&gt;0)),(VLOOKUP(A21,Vakant!$A$10:$G$51,7,FALSE)),"")</f>
        <v>IK Wormo</v>
      </c>
      <c r="I21" s="32"/>
      <c r="J21" s="31" t="str">
        <f t="shared" si="0"/>
        <v>-</v>
      </c>
      <c r="L21" s="52"/>
      <c r="M21" s="33">
        <f t="shared" si="2"/>
        <v>0</v>
      </c>
      <c r="N21" s="33">
        <f t="shared" si="3"/>
        <v>0</v>
      </c>
      <c r="O21" s="33">
        <f t="shared" si="4"/>
        <v>0</v>
      </c>
      <c r="P21" s="33">
        <f t="shared" si="5"/>
        <v>0</v>
      </c>
      <c r="Q21" s="33">
        <f t="shared" si="6"/>
        <v>0</v>
      </c>
      <c r="R21" s="33">
        <f t="shared" si="7"/>
        <v>0</v>
      </c>
      <c r="S21" s="33">
        <f t="shared" si="8"/>
        <v>0</v>
      </c>
      <c r="T21" s="33">
        <f t="shared" si="9"/>
        <v>0</v>
      </c>
      <c r="U21" s="33">
        <f t="shared" si="10"/>
        <v>0</v>
      </c>
      <c r="V21" s="33">
        <f t="shared" si="11"/>
        <v>0</v>
      </c>
      <c r="W21" s="33">
        <f t="shared" si="12"/>
        <v>0</v>
      </c>
      <c r="X21" s="33">
        <f t="shared" si="13"/>
        <v>0</v>
      </c>
      <c r="Y21" s="33">
        <f t="shared" si="14"/>
        <v>0</v>
      </c>
      <c r="Z21" s="33">
        <f t="shared" si="15"/>
        <v>0</v>
      </c>
      <c r="AA21" s="33">
        <f t="shared" si="16"/>
        <v>0</v>
      </c>
      <c r="AB21" s="33">
        <f t="shared" si="17"/>
        <v>0</v>
      </c>
      <c r="AC21" s="33">
        <f t="shared" si="18"/>
        <v>0</v>
      </c>
      <c r="AD21" s="33">
        <f t="shared" si="19"/>
        <v>0</v>
      </c>
      <c r="AE21" s="33">
        <f t="shared" si="20"/>
        <v>0</v>
      </c>
      <c r="AF21" s="33">
        <f t="shared" si="21"/>
        <v>0</v>
      </c>
      <c r="AG21" s="33">
        <f t="shared" si="22"/>
        <v>0</v>
      </c>
      <c r="AH21" s="33">
        <f t="shared" si="23"/>
        <v>0</v>
      </c>
      <c r="AI21" s="33">
        <f t="shared" si="24"/>
        <v>0</v>
      </c>
      <c r="AJ21" s="33">
        <f t="shared" si="25"/>
        <v>0</v>
      </c>
      <c r="AK21" s="33">
        <f t="shared" si="26"/>
        <v>0</v>
      </c>
      <c r="AL21" s="33">
        <f t="shared" si="27"/>
        <v>0</v>
      </c>
      <c r="AM21" s="33">
        <f t="shared" si="28"/>
        <v>0</v>
      </c>
      <c r="AN21" s="33">
        <f t="shared" si="29"/>
        <v>0</v>
      </c>
      <c r="AO21" s="33">
        <f t="shared" si="30"/>
        <v>0</v>
      </c>
      <c r="AP21" s="33">
        <f t="shared" si="31"/>
        <v>0</v>
      </c>
      <c r="AQ21" s="33">
        <f t="shared" si="32"/>
        <v>0</v>
      </c>
      <c r="AR21" s="33">
        <f t="shared" si="33"/>
        <v>0</v>
      </c>
      <c r="AS21" s="33">
        <f t="shared" si="34"/>
        <v>0</v>
      </c>
      <c r="AT21" s="33">
        <f t="shared" si="35"/>
        <v>0</v>
      </c>
      <c r="AU21" s="33">
        <f t="shared" si="36"/>
        <v>0</v>
      </c>
      <c r="AV21" s="33">
        <f t="shared" si="37"/>
        <v>0</v>
      </c>
      <c r="AW21" s="34" t="b">
        <f t="shared" si="38"/>
        <v>0</v>
      </c>
    </row>
    <row r="22" spans="1:49" ht="18" customHeight="1">
      <c r="A22" s="49">
        <f>+IF(AND(Vakant!AX22&lt;=21,Vakant!BC22&gt;0),Vakant!BC22,0)</f>
        <v>11</v>
      </c>
      <c r="B22" s="49" t="str">
        <f>+IF(AND(A22&gt;0,A22&lt;=21),VLOOKUP(F22,Grupper!$B$1:$C$12,2,FALSE),"")</f>
        <v>B</v>
      </c>
      <c r="C22" s="51">
        <f>IF(OR(AND(A22&gt;0,F22=F21),AND(A22&gt;0,H22=H21),AND(A22&gt;0,H22=F21),AND(A22&gt;0,F22=H21)),(IF(OR(AND(A22&lt;=21,A22&gt;0)),E21+Inställningar!$B$3+Inställningar!$B$4,C21))+Inställningar!$B$3,(IF(OR(AND(A22&lt;=21,A22&gt;0)),E21+Inställningar!$B$3,C21)))</f>
        <v>0.43055555555555575</v>
      </c>
      <c r="D22" s="51" t="str">
        <f t="shared" si="39"/>
        <v>-</v>
      </c>
      <c r="E22" s="51">
        <f>IF(OR(AND(A22&gt;0,F22=F21),AND(A22&gt;0,F22=H21),AND(A22&gt;0,H22=H21),AND(A22&gt;0,H22=F21)),(IF(OR(A22&lt;=21),C22+Inställningar!$B$1,E21)),(IF(OR(AND(A22&gt;0,A22&lt;=21)),C22+Inställningar!$B$1,E21)))</f>
        <v>0.43958333333333355</v>
      </c>
      <c r="F22" s="30" t="str">
        <f>IF(OR(AND(A22&lt;=21,A22&gt;0)),(VLOOKUP(A22,Vakant!$A$10:$G$51,5,FALSE)),"")</f>
        <v>Billesholms GIF</v>
      </c>
      <c r="G22" s="31" t="str">
        <f t="shared" si="1"/>
        <v>-</v>
      </c>
      <c r="H22" s="30" t="str">
        <f>+IF(OR(AND(A22&lt;=21,A22&gt;0)),(VLOOKUP(A22,Vakant!$A$10:$G$51,7,FALSE)),"")</f>
        <v>Svalövs BK 1</v>
      </c>
      <c r="I22" s="32"/>
      <c r="J22" s="31" t="str">
        <f t="shared" si="0"/>
        <v>-</v>
      </c>
      <c r="L22" s="52"/>
      <c r="M22" s="33">
        <f t="shared" si="2"/>
        <v>0</v>
      </c>
      <c r="N22" s="33">
        <f t="shared" si="3"/>
        <v>0</v>
      </c>
      <c r="O22" s="33">
        <f t="shared" si="4"/>
        <v>0</v>
      </c>
      <c r="P22" s="33">
        <f t="shared" si="5"/>
        <v>0</v>
      </c>
      <c r="Q22" s="33">
        <f t="shared" si="6"/>
        <v>0</v>
      </c>
      <c r="R22" s="33">
        <f t="shared" si="7"/>
        <v>0</v>
      </c>
      <c r="S22" s="33">
        <f t="shared" si="8"/>
        <v>0</v>
      </c>
      <c r="T22" s="33">
        <f t="shared" si="9"/>
        <v>0</v>
      </c>
      <c r="U22" s="33">
        <f t="shared" si="10"/>
        <v>0</v>
      </c>
      <c r="V22" s="33">
        <f t="shared" si="11"/>
        <v>0</v>
      </c>
      <c r="W22" s="33">
        <f t="shared" si="12"/>
        <v>0</v>
      </c>
      <c r="X22" s="33">
        <f t="shared" si="13"/>
        <v>0</v>
      </c>
      <c r="Y22" s="33">
        <f t="shared" si="14"/>
        <v>0</v>
      </c>
      <c r="Z22" s="33">
        <f t="shared" si="15"/>
        <v>0</v>
      </c>
      <c r="AA22" s="33">
        <f t="shared" si="16"/>
        <v>0</v>
      </c>
      <c r="AB22" s="33">
        <f t="shared" si="17"/>
        <v>0</v>
      </c>
      <c r="AC22" s="33">
        <f t="shared" si="18"/>
        <v>0</v>
      </c>
      <c r="AD22" s="33">
        <f t="shared" si="19"/>
        <v>0</v>
      </c>
      <c r="AE22" s="33">
        <f t="shared" si="20"/>
        <v>0</v>
      </c>
      <c r="AF22" s="33">
        <f t="shared" si="21"/>
        <v>0</v>
      </c>
      <c r="AG22" s="33">
        <f t="shared" si="22"/>
        <v>0</v>
      </c>
      <c r="AH22" s="33">
        <f t="shared" si="23"/>
        <v>0</v>
      </c>
      <c r="AI22" s="33">
        <f t="shared" si="24"/>
        <v>0</v>
      </c>
      <c r="AJ22" s="33">
        <f t="shared" si="25"/>
        <v>0</v>
      </c>
      <c r="AK22" s="33">
        <f t="shared" si="26"/>
        <v>0</v>
      </c>
      <c r="AL22" s="33">
        <f t="shared" si="27"/>
        <v>0</v>
      </c>
      <c r="AM22" s="33">
        <f t="shared" si="28"/>
        <v>0</v>
      </c>
      <c r="AN22" s="33">
        <f t="shared" si="29"/>
        <v>0</v>
      </c>
      <c r="AO22" s="33">
        <f t="shared" si="30"/>
        <v>0</v>
      </c>
      <c r="AP22" s="33">
        <f t="shared" si="31"/>
        <v>0</v>
      </c>
      <c r="AQ22" s="33">
        <f t="shared" si="32"/>
        <v>0</v>
      </c>
      <c r="AR22" s="33">
        <f t="shared" si="33"/>
        <v>0</v>
      </c>
      <c r="AS22" s="33">
        <f t="shared" si="34"/>
        <v>0</v>
      </c>
      <c r="AT22" s="33">
        <f t="shared" si="35"/>
        <v>0</v>
      </c>
      <c r="AU22" s="33">
        <f t="shared" si="36"/>
        <v>0</v>
      </c>
      <c r="AV22" s="33">
        <f t="shared" si="37"/>
        <v>0</v>
      </c>
      <c r="AW22" s="34" t="b">
        <f t="shared" si="38"/>
        <v>0</v>
      </c>
    </row>
    <row r="23" spans="1:49" ht="18" customHeight="1">
      <c r="A23" s="49">
        <f>+IF(AND(Vakant!AX23&lt;=21,Vakant!BC23&gt;0),Vakant!BC23,0)</f>
        <v>12</v>
      </c>
      <c r="B23" s="49" t="str">
        <f>+IF(AND(A23&gt;0,A23&lt;=21),VLOOKUP(F23,Grupper!$B$1:$C$12,2,FALSE),"")</f>
        <v>B</v>
      </c>
      <c r="C23" s="51">
        <f>IF(OR(AND(A23&gt;0,F23=F22),AND(A23&gt;0,H23=H22),AND(A23&gt;0,H23=F22),AND(A23&gt;0,F23=H22)),(IF(OR(AND(A23&lt;=21,A23&gt;0)),E22+Inställningar!$B$3+Inställningar!$B$4,C22))+Inställningar!$B$3,(IF(OR(AND(A23&lt;=21,A23&gt;0)),E22+Inställningar!$B$3,C22)))</f>
        <v>0.440277777777778</v>
      </c>
      <c r="D23" s="51" t="str">
        <f t="shared" si="39"/>
        <v>-</v>
      </c>
      <c r="E23" s="51">
        <f>IF(OR(AND(A23&gt;0,F23=F22),AND(A23&gt;0,F23=H22),AND(A23&gt;0,H23=H22),AND(A23&gt;0,H23=F22)),(IF(OR(A23&lt;=21),C23+Inställningar!$B$1,E22)),(IF(OR(AND(A23&gt;0,A23&lt;=21)),C23+Inställningar!$B$1,E22)))</f>
        <v>0.4493055555555558</v>
      </c>
      <c r="F23" s="30" t="str">
        <f>IF(OR(AND(A23&lt;=21,A23&gt;0)),(VLOOKUP(A23,Vakant!$A$10:$G$51,5,FALSE)),"")</f>
        <v>Häljarps IF 1</v>
      </c>
      <c r="G23" s="31" t="str">
        <f t="shared" si="1"/>
        <v>-</v>
      </c>
      <c r="H23" s="30" t="str">
        <f>+IF(OR(AND(A23&lt;=21,A23&gt;0)),(VLOOKUP(A23,Vakant!$A$10:$G$51,7,FALSE)),"")</f>
        <v>Åstorps FF 2</v>
      </c>
      <c r="I23" s="32"/>
      <c r="J23" s="31" t="str">
        <f t="shared" si="0"/>
        <v>-</v>
      </c>
      <c r="L23" s="52"/>
      <c r="M23" s="33">
        <f t="shared" si="2"/>
        <v>0</v>
      </c>
      <c r="N23" s="33">
        <f t="shared" si="3"/>
        <v>0</v>
      </c>
      <c r="O23" s="33">
        <f t="shared" si="4"/>
        <v>0</v>
      </c>
      <c r="P23" s="33">
        <f t="shared" si="5"/>
        <v>0</v>
      </c>
      <c r="Q23" s="33">
        <f t="shared" si="6"/>
        <v>0</v>
      </c>
      <c r="R23" s="33">
        <f t="shared" si="7"/>
        <v>0</v>
      </c>
      <c r="S23" s="33">
        <f t="shared" si="8"/>
        <v>0</v>
      </c>
      <c r="T23" s="33">
        <f t="shared" si="9"/>
        <v>0</v>
      </c>
      <c r="U23" s="33">
        <f t="shared" si="10"/>
        <v>0</v>
      </c>
      <c r="V23" s="33">
        <f t="shared" si="11"/>
        <v>0</v>
      </c>
      <c r="W23" s="33">
        <f t="shared" si="12"/>
        <v>0</v>
      </c>
      <c r="X23" s="33">
        <f t="shared" si="13"/>
        <v>0</v>
      </c>
      <c r="Y23" s="33">
        <f t="shared" si="14"/>
        <v>0</v>
      </c>
      <c r="Z23" s="33">
        <f t="shared" si="15"/>
        <v>0</v>
      </c>
      <c r="AA23" s="33">
        <f t="shared" si="16"/>
        <v>0</v>
      </c>
      <c r="AB23" s="33">
        <f t="shared" si="17"/>
        <v>0</v>
      </c>
      <c r="AC23" s="33">
        <f t="shared" si="18"/>
        <v>0</v>
      </c>
      <c r="AD23" s="33">
        <f t="shared" si="19"/>
        <v>0</v>
      </c>
      <c r="AE23" s="33">
        <f t="shared" si="20"/>
        <v>0</v>
      </c>
      <c r="AF23" s="33">
        <f t="shared" si="21"/>
        <v>0</v>
      </c>
      <c r="AG23" s="33">
        <f t="shared" si="22"/>
        <v>0</v>
      </c>
      <c r="AH23" s="33">
        <f t="shared" si="23"/>
        <v>0</v>
      </c>
      <c r="AI23" s="33">
        <f t="shared" si="24"/>
        <v>0</v>
      </c>
      <c r="AJ23" s="33">
        <f t="shared" si="25"/>
        <v>0</v>
      </c>
      <c r="AK23" s="33">
        <f t="shared" si="26"/>
        <v>0</v>
      </c>
      <c r="AL23" s="33">
        <f t="shared" si="27"/>
        <v>0</v>
      </c>
      <c r="AM23" s="33">
        <f t="shared" si="28"/>
        <v>0</v>
      </c>
      <c r="AN23" s="33">
        <f t="shared" si="29"/>
        <v>0</v>
      </c>
      <c r="AO23" s="33">
        <f t="shared" si="30"/>
        <v>0</v>
      </c>
      <c r="AP23" s="33">
        <f t="shared" si="31"/>
        <v>0</v>
      </c>
      <c r="AQ23" s="33">
        <f t="shared" si="32"/>
        <v>0</v>
      </c>
      <c r="AR23" s="33">
        <f t="shared" si="33"/>
        <v>0</v>
      </c>
      <c r="AS23" s="33">
        <f t="shared" si="34"/>
        <v>0</v>
      </c>
      <c r="AT23" s="33">
        <f t="shared" si="35"/>
        <v>0</v>
      </c>
      <c r="AU23" s="33">
        <f t="shared" si="36"/>
        <v>0</v>
      </c>
      <c r="AV23" s="33">
        <f t="shared" si="37"/>
        <v>0</v>
      </c>
      <c r="AW23" s="34" t="b">
        <f t="shared" si="38"/>
        <v>0</v>
      </c>
    </row>
    <row r="24" spans="1:49" ht="18" customHeight="1">
      <c r="A24" s="49">
        <f>IF(Lottning!$B$7="vakant",0,(IF(AND(Vakant!AX24&lt;=21,Vakant!BC24&gt;0),Vakant!BC24,0)))</f>
        <v>0</v>
      </c>
      <c r="B24" s="49">
        <f>+IF(AND(A24&gt;0,A24&lt;=21),VLOOKUP(F24,Grupper!$B$1:$C$12,2,FALSE),"")</f>
      </c>
      <c r="C24" s="51">
        <f>IF(OR(AND(A24&gt;0,F24=F23),AND(A24&gt;0,H24=H23),AND(A24&gt;0,H24=F23),AND(A24&gt;0,F24=H23)),(IF(OR(AND(A24&lt;=21,A24&gt;0)),E23+Inställningar!$B$3+Inställningar!$B$4,C23))+Inställningar!$B$3,(IF(OR(AND(A24&lt;=21,A24&gt;0)),E23+Inställningar!$B$3,C23)))</f>
        <v>0.440277777777778</v>
      </c>
      <c r="D24" s="51">
        <f t="shared" si="39"/>
      </c>
      <c r="E24" s="51">
        <f>IF(OR(AND(A24&gt;0,F24=F23),AND(A24&gt;0,F24=H23),AND(A24&gt;0,H24=H23),AND(A24&gt;0,H24=F23)),(IF(OR(A24&lt;=21),C24+Inställningar!$B$1,E23)),(IF(OR(AND(A24&gt;0,A24&lt;=21)),C24+Inställningar!$B$1,E23)))</f>
        <v>0.4493055555555558</v>
      </c>
      <c r="F24" s="30">
        <f>IF(OR(AND(A24&lt;=21,A24&gt;0)),(VLOOKUP(A24,Vakant!$A$10:$G$51,5,FALSE)),"")</f>
      </c>
      <c r="G24" s="31">
        <f t="shared" si="1"/>
      </c>
      <c r="H24" s="30">
        <f>+IF(OR(AND(A24&lt;=21,A24&gt;0)),(VLOOKUP(A24,Vakant!$A$10:$G$51,7,FALSE)),"")</f>
      </c>
      <c r="I24" s="32"/>
      <c r="J24" s="31">
        <f t="shared" si="0"/>
      </c>
      <c r="M24" s="33">
        <f t="shared" si="2"/>
        <v>0</v>
      </c>
      <c r="N24" s="33">
        <f t="shared" si="3"/>
        <v>0</v>
      </c>
      <c r="O24" s="33">
        <f t="shared" si="4"/>
        <v>0</v>
      </c>
      <c r="P24" s="33">
        <f t="shared" si="5"/>
        <v>0</v>
      </c>
      <c r="Q24" s="33">
        <f t="shared" si="6"/>
        <v>0</v>
      </c>
      <c r="R24" s="33">
        <f t="shared" si="7"/>
        <v>0</v>
      </c>
      <c r="S24" s="33">
        <f t="shared" si="8"/>
        <v>0</v>
      </c>
      <c r="T24" s="33">
        <f t="shared" si="9"/>
        <v>0</v>
      </c>
      <c r="U24" s="33">
        <f t="shared" si="10"/>
        <v>0</v>
      </c>
      <c r="V24" s="33">
        <f t="shared" si="11"/>
        <v>0</v>
      </c>
      <c r="W24" s="33">
        <f t="shared" si="12"/>
        <v>0</v>
      </c>
      <c r="X24" s="33">
        <f t="shared" si="13"/>
        <v>0</v>
      </c>
      <c r="Y24" s="33">
        <f t="shared" si="14"/>
        <v>0</v>
      </c>
      <c r="Z24" s="33">
        <f t="shared" si="15"/>
        <v>0</v>
      </c>
      <c r="AA24" s="33">
        <f t="shared" si="16"/>
        <v>0</v>
      </c>
      <c r="AB24" s="33">
        <f t="shared" si="17"/>
        <v>0</v>
      </c>
      <c r="AC24" s="33">
        <f t="shared" si="18"/>
        <v>0</v>
      </c>
      <c r="AD24" s="33">
        <f t="shared" si="19"/>
        <v>0</v>
      </c>
      <c r="AE24" s="33">
        <f t="shared" si="20"/>
        <v>0</v>
      </c>
      <c r="AF24" s="33">
        <f t="shared" si="21"/>
        <v>0</v>
      </c>
      <c r="AG24" s="33">
        <f t="shared" si="22"/>
        <v>0</v>
      </c>
      <c r="AH24" s="33">
        <f t="shared" si="23"/>
        <v>0</v>
      </c>
      <c r="AI24" s="33">
        <f t="shared" si="24"/>
        <v>0</v>
      </c>
      <c r="AJ24" s="33">
        <f t="shared" si="25"/>
        <v>0</v>
      </c>
      <c r="AK24" s="33">
        <f t="shared" si="26"/>
        <v>0</v>
      </c>
      <c r="AL24" s="33">
        <f t="shared" si="27"/>
        <v>0</v>
      </c>
      <c r="AM24" s="33">
        <f t="shared" si="28"/>
        <v>0</v>
      </c>
      <c r="AN24" s="33">
        <f t="shared" si="29"/>
        <v>0</v>
      </c>
      <c r="AO24" s="33">
        <f t="shared" si="30"/>
        <v>0</v>
      </c>
      <c r="AP24" s="33">
        <f t="shared" si="31"/>
        <v>0</v>
      </c>
      <c r="AQ24" s="33">
        <f t="shared" si="32"/>
        <v>0</v>
      </c>
      <c r="AR24" s="33">
        <f t="shared" si="33"/>
        <v>0</v>
      </c>
      <c r="AS24" s="33">
        <f t="shared" si="34"/>
        <v>0</v>
      </c>
      <c r="AT24" s="33">
        <f t="shared" si="35"/>
        <v>0</v>
      </c>
      <c r="AU24" s="33">
        <f t="shared" si="36"/>
        <v>0</v>
      </c>
      <c r="AV24" s="33">
        <f t="shared" si="37"/>
        <v>0</v>
      </c>
      <c r="AW24" s="34" t="b">
        <f t="shared" si="38"/>
        <v>0</v>
      </c>
    </row>
    <row r="25" spans="1:49" ht="18" customHeight="1">
      <c r="A25" s="49">
        <f>IF(Lottning!$B$7="vakant",0,(IF(AND(Vakant!AX25&lt;=21,Vakant!BC25&gt;0),Vakant!BC25,0)))</f>
        <v>13</v>
      </c>
      <c r="B25" s="49" t="str">
        <f>+IF(AND(A25&gt;0,A25&lt;=21),VLOOKUP(F25,Grupper!$B$1:$C$12,2,FALSE),"")</f>
        <v>A</v>
      </c>
      <c r="C25" s="51">
        <f>IF(OR(AND(A25&gt;0,F25=F24),AND(A25&gt;0,H25=H24),AND(A25&gt;0,H25=F24),AND(A25&gt;0,F25=H24)),(IF(OR(AND(A25&lt;=21,A25&gt;0)),E24+Inställningar!$B$3+Inställningar!$B$4,C24))+Inställningar!$B$3,(IF(OR(AND(A25&lt;=21,A25&gt;0)),E24+Inställningar!$B$3,C24)))</f>
        <v>0.45000000000000023</v>
      </c>
      <c r="D25" s="51" t="str">
        <f t="shared" si="39"/>
        <v>-</v>
      </c>
      <c r="E25" s="51">
        <f>IF(OR(AND(A25&gt;0,F25=F24),AND(A25&gt;0,F25=H24),AND(A25&gt;0,H25=H24),AND(A25&gt;0,H25=F24)),(IF(OR(A25&lt;=21),C25+Inställningar!$B$1,E24)),(IF(OR(AND(A25&gt;0,A25&lt;=21)),C25+Inställningar!$B$1,E24)))</f>
        <v>0.45902777777777803</v>
      </c>
      <c r="F25" s="30" t="str">
        <f>IF(OR(AND(A25&lt;=21,A25&gt;0)),(VLOOKUP(A25,Vakant!$A$10:$G$51,5,FALSE)),"")</f>
        <v>Åstorps FF 1</v>
      </c>
      <c r="G25" s="31" t="str">
        <f t="shared" si="1"/>
        <v>-</v>
      </c>
      <c r="H25" s="30" t="str">
        <f>+IF(OR(AND(A25&lt;=21,A25&gt;0)),(VLOOKUP(A25,Vakant!$A$10:$G$51,7,FALSE)),"")</f>
        <v>Dösjöbro IF 1</v>
      </c>
      <c r="I25" s="32"/>
      <c r="J25" s="31" t="str">
        <f t="shared" si="0"/>
        <v>-</v>
      </c>
      <c r="L25" s="52"/>
      <c r="M25" s="33">
        <f t="shared" si="2"/>
        <v>0</v>
      </c>
      <c r="N25" s="33">
        <f t="shared" si="3"/>
        <v>0</v>
      </c>
      <c r="O25" s="33">
        <f t="shared" si="4"/>
        <v>0</v>
      </c>
      <c r="P25" s="33">
        <f t="shared" si="5"/>
        <v>0</v>
      </c>
      <c r="Q25" s="33">
        <f t="shared" si="6"/>
        <v>0</v>
      </c>
      <c r="R25" s="33">
        <f t="shared" si="7"/>
        <v>0</v>
      </c>
      <c r="S25" s="33">
        <f t="shared" si="8"/>
        <v>0</v>
      </c>
      <c r="T25" s="33">
        <f t="shared" si="9"/>
        <v>0</v>
      </c>
      <c r="U25" s="33">
        <f t="shared" si="10"/>
        <v>0</v>
      </c>
      <c r="V25" s="33">
        <f t="shared" si="11"/>
        <v>0</v>
      </c>
      <c r="W25" s="33">
        <f t="shared" si="12"/>
        <v>0</v>
      </c>
      <c r="X25" s="33">
        <f t="shared" si="13"/>
        <v>0</v>
      </c>
      <c r="Y25" s="33">
        <f t="shared" si="14"/>
        <v>0</v>
      </c>
      <c r="Z25" s="33">
        <f t="shared" si="15"/>
        <v>0</v>
      </c>
      <c r="AA25" s="33">
        <f t="shared" si="16"/>
        <v>0</v>
      </c>
      <c r="AB25" s="33">
        <f t="shared" si="17"/>
        <v>0</v>
      </c>
      <c r="AC25" s="33">
        <f t="shared" si="18"/>
        <v>0</v>
      </c>
      <c r="AD25" s="33">
        <f t="shared" si="19"/>
        <v>0</v>
      </c>
      <c r="AE25" s="33">
        <f t="shared" si="20"/>
        <v>0</v>
      </c>
      <c r="AF25" s="33">
        <f t="shared" si="21"/>
        <v>0</v>
      </c>
      <c r="AG25" s="33">
        <f t="shared" si="22"/>
        <v>0</v>
      </c>
      <c r="AH25" s="33">
        <f t="shared" si="23"/>
        <v>0</v>
      </c>
      <c r="AI25" s="33">
        <f t="shared" si="24"/>
        <v>0</v>
      </c>
      <c r="AJ25" s="33">
        <f t="shared" si="25"/>
        <v>0</v>
      </c>
      <c r="AK25" s="33">
        <f t="shared" si="26"/>
        <v>0</v>
      </c>
      <c r="AL25" s="33">
        <f t="shared" si="27"/>
        <v>0</v>
      </c>
      <c r="AM25" s="33">
        <f t="shared" si="28"/>
        <v>0</v>
      </c>
      <c r="AN25" s="33">
        <f t="shared" si="29"/>
        <v>0</v>
      </c>
      <c r="AO25" s="33">
        <f t="shared" si="30"/>
        <v>0</v>
      </c>
      <c r="AP25" s="33">
        <f t="shared" si="31"/>
        <v>0</v>
      </c>
      <c r="AQ25" s="33">
        <f t="shared" si="32"/>
        <v>0</v>
      </c>
      <c r="AR25" s="33">
        <f t="shared" si="33"/>
        <v>0</v>
      </c>
      <c r="AS25" s="33">
        <f t="shared" si="34"/>
        <v>0</v>
      </c>
      <c r="AT25" s="33">
        <f t="shared" si="35"/>
        <v>0</v>
      </c>
      <c r="AU25" s="33">
        <f t="shared" si="36"/>
        <v>0</v>
      </c>
      <c r="AV25" s="33">
        <f t="shared" si="37"/>
        <v>0</v>
      </c>
      <c r="AW25" s="34" t="b">
        <f t="shared" si="38"/>
        <v>0</v>
      </c>
    </row>
    <row r="26" spans="1:49" ht="18" customHeight="1">
      <c r="A26" s="49">
        <f>IF(Lottning!$B$7="vakant",0,(IF(AND(Vakant!AX26&lt;=21,Vakant!BC26&gt;0),Vakant!BC26,0)))</f>
        <v>14</v>
      </c>
      <c r="B26" s="49" t="str">
        <f>+IF(AND(A26&gt;0,A26&lt;=21),VLOOKUP(F26,Grupper!$B$1:$C$12,2,FALSE),"")</f>
        <v>A</v>
      </c>
      <c r="C26" s="51">
        <f>IF(OR(AND(A26&gt;0,F26=F25),AND(A26&gt;0,H26=H25),AND(A26&gt;0,H26=F25),AND(A26&gt;0,F26=H25)),(IF(OR(AND(A26&lt;=21,A26&gt;0)),E25+Inställningar!$B$3+Inställningar!$B$4,C25))+Inställningar!$B$3,(IF(OR(AND(A26&lt;=21,A26&gt;0)),E25+Inställningar!$B$3,C25)))</f>
        <v>0.4597222222222225</v>
      </c>
      <c r="D26" s="51" t="str">
        <f t="shared" si="39"/>
        <v>-</v>
      </c>
      <c r="E26" s="51">
        <f>IF(OR(AND(A26&gt;0,F26=F25),AND(A26&gt;0,F26=H25),AND(A26&gt;0,H26=H25),AND(A26&gt;0,H26=F25)),(IF(OR(A26&lt;=21),C26+Inställningar!$B$1,E25)),(IF(OR(AND(A26&gt;0,A26&lt;=21)),C26+Inställningar!$B$1,E25)))</f>
        <v>0.4687500000000003</v>
      </c>
      <c r="F26" s="30" t="str">
        <f>IF(OR(AND(A26&lt;=21,A26&gt;0)),(VLOOKUP(A26,Vakant!$A$10:$G$51,5,FALSE)),"")</f>
        <v>Häljarps IF 2</v>
      </c>
      <c r="G26" s="31" t="str">
        <f t="shared" si="1"/>
        <v>-</v>
      </c>
      <c r="H26" s="30" t="str">
        <f>+IF(OR(AND(A26&lt;=21,A26&gt;0)),(VLOOKUP(A26,Vakant!$A$10:$G$51,7,FALSE)),"")</f>
        <v>Svalövs BK 2</v>
      </c>
      <c r="I26" s="32"/>
      <c r="J26" s="31" t="str">
        <f t="shared" si="0"/>
        <v>-</v>
      </c>
      <c r="L26" s="52"/>
      <c r="M26" s="33">
        <f t="shared" si="2"/>
        <v>0</v>
      </c>
      <c r="N26" s="33">
        <f t="shared" si="3"/>
        <v>0</v>
      </c>
      <c r="O26" s="33">
        <f t="shared" si="4"/>
        <v>0</v>
      </c>
      <c r="P26" s="33">
        <f t="shared" si="5"/>
        <v>0</v>
      </c>
      <c r="Q26" s="33">
        <f t="shared" si="6"/>
        <v>0</v>
      </c>
      <c r="R26" s="33">
        <f t="shared" si="7"/>
        <v>0</v>
      </c>
      <c r="S26" s="33">
        <f t="shared" si="8"/>
        <v>0</v>
      </c>
      <c r="T26" s="33">
        <f t="shared" si="9"/>
        <v>0</v>
      </c>
      <c r="U26" s="33">
        <f t="shared" si="10"/>
        <v>0</v>
      </c>
      <c r="V26" s="33">
        <f t="shared" si="11"/>
        <v>0</v>
      </c>
      <c r="W26" s="33">
        <f t="shared" si="12"/>
        <v>0</v>
      </c>
      <c r="X26" s="33">
        <f t="shared" si="13"/>
        <v>0</v>
      </c>
      <c r="Y26" s="33">
        <f t="shared" si="14"/>
        <v>0</v>
      </c>
      <c r="Z26" s="33">
        <f t="shared" si="15"/>
        <v>0</v>
      </c>
      <c r="AA26" s="33">
        <f t="shared" si="16"/>
        <v>0</v>
      </c>
      <c r="AB26" s="33">
        <f t="shared" si="17"/>
        <v>0</v>
      </c>
      <c r="AC26" s="33">
        <f t="shared" si="18"/>
        <v>0</v>
      </c>
      <c r="AD26" s="33">
        <f t="shared" si="19"/>
        <v>0</v>
      </c>
      <c r="AE26" s="33">
        <f t="shared" si="20"/>
        <v>0</v>
      </c>
      <c r="AF26" s="33">
        <f t="shared" si="21"/>
        <v>0</v>
      </c>
      <c r="AG26" s="33">
        <f t="shared" si="22"/>
        <v>0</v>
      </c>
      <c r="AH26" s="33">
        <f t="shared" si="23"/>
        <v>0</v>
      </c>
      <c r="AI26" s="33">
        <f t="shared" si="24"/>
        <v>0</v>
      </c>
      <c r="AJ26" s="33">
        <f t="shared" si="25"/>
        <v>0</v>
      </c>
      <c r="AK26" s="33">
        <f t="shared" si="26"/>
        <v>0</v>
      </c>
      <c r="AL26" s="33">
        <f t="shared" si="27"/>
        <v>0</v>
      </c>
      <c r="AM26" s="33">
        <f t="shared" si="28"/>
        <v>0</v>
      </c>
      <c r="AN26" s="33">
        <f t="shared" si="29"/>
        <v>0</v>
      </c>
      <c r="AO26" s="33">
        <f t="shared" si="30"/>
        <v>0</v>
      </c>
      <c r="AP26" s="33">
        <f t="shared" si="31"/>
        <v>0</v>
      </c>
      <c r="AQ26" s="33">
        <f t="shared" si="32"/>
        <v>0</v>
      </c>
      <c r="AR26" s="33">
        <f t="shared" si="33"/>
        <v>0</v>
      </c>
      <c r="AS26" s="33">
        <f t="shared" si="34"/>
        <v>0</v>
      </c>
      <c r="AT26" s="33">
        <f t="shared" si="35"/>
        <v>0</v>
      </c>
      <c r="AU26" s="33">
        <f t="shared" si="36"/>
        <v>0</v>
      </c>
      <c r="AV26" s="33">
        <f t="shared" si="37"/>
        <v>0</v>
      </c>
      <c r="AW26" s="34" t="b">
        <f t="shared" si="38"/>
        <v>0</v>
      </c>
    </row>
    <row r="27" spans="1:49" ht="18" customHeight="1">
      <c r="A27" s="49">
        <f>+IF(AND(Vakant!AX27&lt;=21,Vakant!BC27&gt;0),Vakant!BC27,0)</f>
        <v>15</v>
      </c>
      <c r="B27" s="49" t="str">
        <f>+IF(AND(A27&gt;0,A27&lt;=21),VLOOKUP(F27,Grupper!$B$1:$C$12,2,FALSE),"")</f>
        <v>B</v>
      </c>
      <c r="C27" s="51">
        <f>IF(OR(AND(A27&gt;0,F27=F26),AND(A27&gt;0,H27=H26),AND(A27&gt;0,H27=F26),AND(A27&gt;0,F27=H26)),(IF(OR(AND(A27&lt;=21,A27&gt;0)),E26+Inställningar!$B$3+Inställningar!$B$4,C26))+Inställningar!$B$3,(IF(OR(AND(A27&lt;=21,A27&gt;0)),E26+Inställningar!$B$3,C26)))</f>
        <v>0.4694444444444447</v>
      </c>
      <c r="D27" s="51" t="str">
        <f t="shared" si="39"/>
        <v>-</v>
      </c>
      <c r="E27" s="51">
        <f>IF(OR(AND(A27&gt;0,F27=F26),AND(A27&gt;0,F27=H26),AND(A27&gt;0,H27=H26),AND(A27&gt;0,H27=F26)),(IF(OR(A27&lt;=21),C27+Inställningar!$B$1,E26)),(IF(OR(AND(A27&gt;0,A27&lt;=21)),C27+Inställningar!$B$1,E26)))</f>
        <v>0.4784722222222225</v>
      </c>
      <c r="F27" s="30" t="str">
        <f>IF(OR(AND(A27&lt;=21,A27&gt;0)),(VLOOKUP(A27,Vakant!$A$10:$G$51,5,FALSE)),"")</f>
        <v>Svalövs BK 1</v>
      </c>
      <c r="G27" s="31" t="str">
        <f t="shared" si="1"/>
        <v>-</v>
      </c>
      <c r="H27" s="30" t="str">
        <f>+IF(OR(AND(A27&lt;=21,A27&gt;0)),(VLOOKUP(A27,Vakant!$A$10:$G$51,7,FALSE)),"")</f>
        <v>Dösjöbro IF 2</v>
      </c>
      <c r="I27" s="32"/>
      <c r="J27" s="31" t="str">
        <f t="shared" si="0"/>
        <v>-</v>
      </c>
      <c r="L27" s="52"/>
      <c r="M27" s="33">
        <f t="shared" si="2"/>
        <v>0</v>
      </c>
      <c r="N27" s="33">
        <f t="shared" si="3"/>
        <v>0</v>
      </c>
      <c r="O27" s="33">
        <f t="shared" si="4"/>
        <v>0</v>
      </c>
      <c r="P27" s="33">
        <f t="shared" si="5"/>
        <v>0</v>
      </c>
      <c r="Q27" s="33">
        <f t="shared" si="6"/>
        <v>0</v>
      </c>
      <c r="R27" s="33">
        <f t="shared" si="7"/>
        <v>0</v>
      </c>
      <c r="S27" s="33">
        <f t="shared" si="8"/>
        <v>0</v>
      </c>
      <c r="T27" s="33">
        <f t="shared" si="9"/>
        <v>0</v>
      </c>
      <c r="U27" s="33">
        <f t="shared" si="10"/>
        <v>0</v>
      </c>
      <c r="V27" s="33">
        <f t="shared" si="11"/>
        <v>0</v>
      </c>
      <c r="W27" s="33">
        <f t="shared" si="12"/>
        <v>0</v>
      </c>
      <c r="X27" s="33">
        <f t="shared" si="13"/>
        <v>0</v>
      </c>
      <c r="Y27" s="33">
        <f t="shared" si="14"/>
        <v>0</v>
      </c>
      <c r="Z27" s="33">
        <f t="shared" si="15"/>
        <v>0</v>
      </c>
      <c r="AA27" s="33">
        <f t="shared" si="16"/>
        <v>0</v>
      </c>
      <c r="AB27" s="33">
        <f t="shared" si="17"/>
        <v>0</v>
      </c>
      <c r="AC27" s="33">
        <f t="shared" si="18"/>
        <v>0</v>
      </c>
      <c r="AD27" s="33">
        <f t="shared" si="19"/>
        <v>0</v>
      </c>
      <c r="AE27" s="33">
        <f t="shared" si="20"/>
        <v>0</v>
      </c>
      <c r="AF27" s="33">
        <f t="shared" si="21"/>
        <v>0</v>
      </c>
      <c r="AG27" s="33">
        <f t="shared" si="22"/>
        <v>0</v>
      </c>
      <c r="AH27" s="33">
        <f t="shared" si="23"/>
        <v>0</v>
      </c>
      <c r="AI27" s="33">
        <f t="shared" si="24"/>
        <v>0</v>
      </c>
      <c r="AJ27" s="33">
        <f t="shared" si="25"/>
        <v>0</v>
      </c>
      <c r="AK27" s="33">
        <f t="shared" si="26"/>
        <v>0</v>
      </c>
      <c r="AL27" s="33">
        <f t="shared" si="27"/>
        <v>0</v>
      </c>
      <c r="AM27" s="33">
        <f t="shared" si="28"/>
        <v>0</v>
      </c>
      <c r="AN27" s="33">
        <f t="shared" si="29"/>
        <v>0</v>
      </c>
      <c r="AO27" s="33">
        <f t="shared" si="30"/>
        <v>0</v>
      </c>
      <c r="AP27" s="33">
        <f t="shared" si="31"/>
        <v>0</v>
      </c>
      <c r="AQ27" s="33">
        <f t="shared" si="32"/>
        <v>0</v>
      </c>
      <c r="AR27" s="33">
        <f t="shared" si="33"/>
        <v>0</v>
      </c>
      <c r="AS27" s="33">
        <f t="shared" si="34"/>
        <v>0</v>
      </c>
      <c r="AT27" s="33">
        <f t="shared" si="35"/>
        <v>0</v>
      </c>
      <c r="AU27" s="33">
        <f t="shared" si="36"/>
        <v>0</v>
      </c>
      <c r="AV27" s="33">
        <f t="shared" si="37"/>
        <v>0</v>
      </c>
      <c r="AW27" s="34" t="b">
        <f t="shared" si="38"/>
        <v>0</v>
      </c>
    </row>
    <row r="28" spans="1:49" ht="18" customHeight="1">
      <c r="A28" s="49">
        <f>IF(Lottning!$B$8="vakant",0,(IF(AND(Vakant!AX28&lt;=21,Vakant!BC28&gt;0),Vakant!BC28,0)))</f>
        <v>16</v>
      </c>
      <c r="B28" s="49" t="str">
        <f>+IF(AND(A28&gt;0,A28&lt;=21),VLOOKUP(F28,Grupper!$B$1:$C$12,2,FALSE),"")</f>
        <v>B</v>
      </c>
      <c r="C28" s="51">
        <f>IF(OR(AND(A28&gt;0,F28=F27),AND(A28&gt;0,H28=H27),AND(A28&gt;0,H28=F27),AND(A28&gt;0,F28=H27)),(IF(OR(AND(A28&lt;=21,A28&gt;0)),E27+Inställningar!$B$3+Inställningar!$B$4,C27))+Inställningar!$B$3,(IF(OR(AND(A28&lt;=21,A28&gt;0)),E27+Inställningar!$B$3,C27)))</f>
        <v>0.47916666666666696</v>
      </c>
      <c r="D28" s="51" t="str">
        <f t="shared" si="39"/>
        <v>-</v>
      </c>
      <c r="E28" s="51">
        <f>IF(OR(AND(A28&gt;0,F28=F27),AND(A28&gt;0,F28=H27),AND(A28&gt;0,H28=H27),AND(A28&gt;0,H28=F27)),(IF(OR(A28&lt;=21),C28+Inställningar!$B$1,E27)),(IF(OR(AND(A28&gt;0,A28&lt;=21)),C28+Inställningar!$B$1,E27)))</f>
        <v>0.48819444444444476</v>
      </c>
      <c r="F28" s="30" t="str">
        <f>IF(OR(AND(A28&lt;=21,A28&gt;0)),(VLOOKUP(A28,Vakant!$A$10:$G$51,5,FALSE)),"")</f>
        <v>Billesholms GIF</v>
      </c>
      <c r="G28" s="31" t="str">
        <f t="shared" si="1"/>
        <v>-</v>
      </c>
      <c r="H28" s="30" t="str">
        <f>+IF(OR(AND(A28&lt;=21,A28&gt;0)),(VLOOKUP(A28,Vakant!$A$10:$G$51,7,FALSE)),"")</f>
        <v>Häljarps IF 1</v>
      </c>
      <c r="I28" s="32"/>
      <c r="J28" s="31" t="str">
        <f t="shared" si="0"/>
        <v>-</v>
      </c>
      <c r="M28" s="33">
        <f t="shared" si="2"/>
        <v>0</v>
      </c>
      <c r="N28" s="33">
        <f t="shared" si="3"/>
        <v>0</v>
      </c>
      <c r="O28" s="33">
        <f t="shared" si="4"/>
        <v>0</v>
      </c>
      <c r="P28" s="33">
        <f t="shared" si="5"/>
        <v>0</v>
      </c>
      <c r="Q28" s="33">
        <f t="shared" si="6"/>
        <v>0</v>
      </c>
      <c r="R28" s="33">
        <f t="shared" si="7"/>
        <v>0</v>
      </c>
      <c r="S28" s="33">
        <f t="shared" si="8"/>
        <v>0</v>
      </c>
      <c r="T28" s="33">
        <f t="shared" si="9"/>
        <v>0</v>
      </c>
      <c r="U28" s="33">
        <f t="shared" si="10"/>
        <v>0</v>
      </c>
      <c r="V28" s="33">
        <f t="shared" si="11"/>
        <v>0</v>
      </c>
      <c r="W28" s="33">
        <f t="shared" si="12"/>
        <v>0</v>
      </c>
      <c r="X28" s="33">
        <f t="shared" si="13"/>
        <v>0</v>
      </c>
      <c r="Y28" s="33">
        <f t="shared" si="14"/>
        <v>0</v>
      </c>
      <c r="Z28" s="33">
        <f t="shared" si="15"/>
        <v>0</v>
      </c>
      <c r="AA28" s="33">
        <f t="shared" si="16"/>
        <v>0</v>
      </c>
      <c r="AB28" s="33">
        <f t="shared" si="17"/>
        <v>0</v>
      </c>
      <c r="AC28" s="33">
        <f t="shared" si="18"/>
        <v>0</v>
      </c>
      <c r="AD28" s="33">
        <f t="shared" si="19"/>
        <v>0</v>
      </c>
      <c r="AE28" s="33">
        <f t="shared" si="20"/>
        <v>0</v>
      </c>
      <c r="AF28" s="33">
        <f t="shared" si="21"/>
        <v>0</v>
      </c>
      <c r="AG28" s="33">
        <f t="shared" si="22"/>
        <v>0</v>
      </c>
      <c r="AH28" s="33">
        <f t="shared" si="23"/>
        <v>0</v>
      </c>
      <c r="AI28" s="33">
        <f t="shared" si="24"/>
        <v>0</v>
      </c>
      <c r="AJ28" s="33">
        <f t="shared" si="25"/>
        <v>0</v>
      </c>
      <c r="AK28" s="33">
        <f t="shared" si="26"/>
        <v>0</v>
      </c>
      <c r="AL28" s="33">
        <f t="shared" si="27"/>
        <v>0</v>
      </c>
      <c r="AM28" s="33">
        <f t="shared" si="28"/>
        <v>0</v>
      </c>
      <c r="AN28" s="33">
        <f t="shared" si="29"/>
        <v>0</v>
      </c>
      <c r="AO28" s="33">
        <f t="shared" si="30"/>
        <v>0</v>
      </c>
      <c r="AP28" s="33">
        <f t="shared" si="31"/>
        <v>0</v>
      </c>
      <c r="AQ28" s="33">
        <f t="shared" si="32"/>
        <v>0</v>
      </c>
      <c r="AR28" s="33">
        <f t="shared" si="33"/>
        <v>0</v>
      </c>
      <c r="AS28" s="33">
        <f t="shared" si="34"/>
        <v>0</v>
      </c>
      <c r="AT28" s="33">
        <f t="shared" si="35"/>
        <v>0</v>
      </c>
      <c r="AU28" s="33">
        <f t="shared" si="36"/>
        <v>0</v>
      </c>
      <c r="AV28" s="33">
        <f t="shared" si="37"/>
        <v>0</v>
      </c>
      <c r="AW28" s="34" t="b">
        <f t="shared" si="38"/>
        <v>0</v>
      </c>
    </row>
    <row r="29" spans="1:49" ht="18" customHeight="1">
      <c r="A29" s="49">
        <f>IF(Lottning!$B$8="vakant",0,(IF(AND(Vakant!AX29&lt;=21,Vakant!BC29&gt;0),Vakant!BC29,0)))</f>
        <v>0</v>
      </c>
      <c r="B29" s="49">
        <f>+IF(AND(A29&gt;0,A29&lt;=21),VLOOKUP(F29,Grupper!$B$1:$C$12,2,FALSE),"")</f>
      </c>
      <c r="C29" s="51">
        <f>IF(OR(AND(A29&gt;0,F29=F28),AND(A29&gt;0,H29=H28),AND(A29&gt;0,H29=F28),AND(A29&gt;0,F29=H28)),(IF(OR(AND(A29&lt;=21,A29&gt;0)),E28+Inställningar!$B$3+Inställningar!$B$4,C28))+Inställningar!$B$3,(IF(OR(AND(A29&lt;=21,A29&gt;0)),E28+Inställningar!$B$3,C28)))</f>
        <v>0.47916666666666696</v>
      </c>
      <c r="D29" s="51">
        <f t="shared" si="39"/>
      </c>
      <c r="E29" s="51">
        <f>IF(OR(AND(A29&gt;0,F29=F28),AND(A29&gt;0,F29=H28),AND(A29&gt;0,H29=H28),AND(A29&gt;0,H29=F28)),(IF(OR(A29&lt;=21),C29+Inställningar!$B$1,E28)),(IF(OR(AND(A29&gt;0,A29&lt;=21)),C29+Inställningar!$B$1,E28)))</f>
        <v>0.48819444444444476</v>
      </c>
      <c r="F29" s="30">
        <f>IF(OR(AND(A29&lt;=21,A29&gt;0)),(VLOOKUP(A29,Vakant!$A$10:$G$51,5,FALSE)),"")</f>
      </c>
      <c r="G29" s="31">
        <f t="shared" si="1"/>
      </c>
      <c r="H29" s="30">
        <f>+IF(OR(AND(A29&lt;=21,A29&gt;0)),(VLOOKUP(A29,Vakant!$A$10:$G$51,7,FALSE)),"")</f>
      </c>
      <c r="I29" s="32"/>
      <c r="J29" s="31">
        <f t="shared" si="0"/>
      </c>
      <c r="M29" s="33">
        <f t="shared" si="2"/>
        <v>0</v>
      </c>
      <c r="N29" s="33">
        <f t="shared" si="3"/>
        <v>0</v>
      </c>
      <c r="O29" s="33">
        <f t="shared" si="4"/>
        <v>0</v>
      </c>
      <c r="P29" s="33">
        <f t="shared" si="5"/>
        <v>0</v>
      </c>
      <c r="Q29" s="33">
        <f t="shared" si="6"/>
        <v>0</v>
      </c>
      <c r="R29" s="33">
        <f t="shared" si="7"/>
        <v>0</v>
      </c>
      <c r="S29" s="33">
        <f t="shared" si="8"/>
        <v>0</v>
      </c>
      <c r="T29" s="33">
        <f t="shared" si="9"/>
        <v>0</v>
      </c>
      <c r="U29" s="33">
        <f t="shared" si="10"/>
        <v>0</v>
      </c>
      <c r="V29" s="33">
        <f t="shared" si="11"/>
        <v>0</v>
      </c>
      <c r="W29" s="33">
        <f t="shared" si="12"/>
        <v>0</v>
      </c>
      <c r="X29" s="33">
        <f t="shared" si="13"/>
        <v>0</v>
      </c>
      <c r="Y29" s="33">
        <f t="shared" si="14"/>
        <v>0</v>
      </c>
      <c r="Z29" s="33">
        <f t="shared" si="15"/>
        <v>0</v>
      </c>
      <c r="AA29" s="33">
        <f t="shared" si="16"/>
        <v>0</v>
      </c>
      <c r="AB29" s="33">
        <f t="shared" si="17"/>
        <v>0</v>
      </c>
      <c r="AC29" s="33">
        <f t="shared" si="18"/>
        <v>0</v>
      </c>
      <c r="AD29" s="33">
        <f t="shared" si="19"/>
        <v>0</v>
      </c>
      <c r="AE29" s="33">
        <f t="shared" si="20"/>
        <v>0</v>
      </c>
      <c r="AF29" s="33">
        <f t="shared" si="21"/>
        <v>0</v>
      </c>
      <c r="AG29" s="33">
        <f t="shared" si="22"/>
        <v>0</v>
      </c>
      <c r="AH29" s="33">
        <f t="shared" si="23"/>
        <v>0</v>
      </c>
      <c r="AI29" s="33">
        <f t="shared" si="24"/>
        <v>0</v>
      </c>
      <c r="AJ29" s="33">
        <f t="shared" si="25"/>
        <v>0</v>
      </c>
      <c r="AK29" s="33">
        <f t="shared" si="26"/>
        <v>0</v>
      </c>
      <c r="AL29" s="33">
        <f t="shared" si="27"/>
        <v>0</v>
      </c>
      <c r="AM29" s="33">
        <f t="shared" si="28"/>
        <v>0</v>
      </c>
      <c r="AN29" s="33">
        <f t="shared" si="29"/>
        <v>0</v>
      </c>
      <c r="AO29" s="33">
        <f t="shared" si="30"/>
        <v>0</v>
      </c>
      <c r="AP29" s="33">
        <f t="shared" si="31"/>
        <v>0</v>
      </c>
      <c r="AQ29" s="33">
        <f t="shared" si="32"/>
        <v>0</v>
      </c>
      <c r="AR29" s="33">
        <f t="shared" si="33"/>
        <v>0</v>
      </c>
      <c r="AS29" s="33">
        <f t="shared" si="34"/>
        <v>0</v>
      </c>
      <c r="AT29" s="33">
        <f t="shared" si="35"/>
        <v>0</v>
      </c>
      <c r="AU29" s="33">
        <f t="shared" si="36"/>
        <v>0</v>
      </c>
      <c r="AV29" s="33">
        <f t="shared" si="37"/>
        <v>0</v>
      </c>
      <c r="AW29" s="34" t="b">
        <f t="shared" si="38"/>
        <v>0</v>
      </c>
    </row>
    <row r="30" spans="1:49" ht="18" customHeight="1">
      <c r="A30" s="49">
        <f>IF(Lottning!$B$8="vakant",0,(IF(AND(Vakant!AX30&lt;=21,Vakant!BC30&gt;0),Vakant!BC30,0)))</f>
        <v>17</v>
      </c>
      <c r="B30" s="49" t="str">
        <f>+IF(AND(A30&gt;0,A30&lt;=21),VLOOKUP(F30,Grupper!$B$1:$C$12,2,FALSE),"")</f>
        <v>A</v>
      </c>
      <c r="C30" s="51">
        <f>IF(OR(AND(A30&gt;0,F30=F29),AND(A30&gt;0,H30=H29),AND(A30&gt;0,H30=F29),AND(A30&gt;0,F30=H29)),(IF(OR(AND(A30&lt;=21,A30&gt;0)),E29+Inställningar!$B$3+Inställningar!$B$4,C29))+Inställningar!$B$3,(IF(OR(AND(A30&lt;=21,A30&gt;0)),E29+Inställningar!$B$3,C29)))</f>
        <v>0.4888888888888892</v>
      </c>
      <c r="D30" s="51" t="str">
        <f aca="true" t="shared" si="40" ref="D30:D36">+IF((OR(AND(A30&lt;=21,A30&gt;0))),"-","")</f>
        <v>-</v>
      </c>
      <c r="E30" s="51">
        <f>IF(OR(AND(A30&gt;0,F30=F29),AND(A30&gt;0,F30=H29),AND(A30&gt;0,H30=H29),AND(A30&gt;0,H30=F29)),(IF(OR(A30&lt;=21),C30+Inställningar!$B$1,E29)),(IF(OR(AND(A30&gt;0,A30&lt;=21)),C30+Inställningar!$B$1,E29)))</f>
        <v>0.497916666666667</v>
      </c>
      <c r="F30" s="30" t="str">
        <f>IF(OR(AND(A30&lt;=21,A30&gt;0)),(VLOOKUP(A30,Vakant!$A$10:$G$51,5,FALSE)),"")</f>
        <v>IK Wormo</v>
      </c>
      <c r="G30" s="31" t="str">
        <f aca="true" t="shared" si="41" ref="G30:G36">+IF((OR(AND(A30&lt;=21,A30&gt;0))),"-","")</f>
        <v>-</v>
      </c>
      <c r="H30" s="30" t="str">
        <f>+IF(OR(AND(A30&lt;=21,A30&gt;0)),(VLOOKUP(A30,Vakant!$A$10:$G$51,7,FALSE)),"")</f>
        <v>Åstorps FF 1</v>
      </c>
      <c r="I30" s="32"/>
      <c r="J30" s="31" t="str">
        <f t="shared" si="0"/>
        <v>-</v>
      </c>
      <c r="M30" s="33">
        <f t="shared" si="2"/>
        <v>0</v>
      </c>
      <c r="N30" s="33">
        <f t="shared" si="3"/>
        <v>0</v>
      </c>
      <c r="O30" s="33">
        <f t="shared" si="4"/>
        <v>0</v>
      </c>
      <c r="P30" s="33">
        <f t="shared" si="5"/>
        <v>0</v>
      </c>
      <c r="Q30" s="33">
        <f t="shared" si="6"/>
        <v>0</v>
      </c>
      <c r="R30" s="33">
        <f t="shared" si="7"/>
        <v>0</v>
      </c>
      <c r="S30" s="33">
        <f t="shared" si="8"/>
        <v>0</v>
      </c>
      <c r="T30" s="33">
        <f t="shared" si="9"/>
        <v>0</v>
      </c>
      <c r="U30" s="33">
        <f t="shared" si="10"/>
        <v>0</v>
      </c>
      <c r="V30" s="33">
        <f t="shared" si="11"/>
        <v>0</v>
      </c>
      <c r="W30" s="33">
        <f t="shared" si="12"/>
        <v>0</v>
      </c>
      <c r="X30" s="33">
        <f t="shared" si="13"/>
        <v>0</v>
      </c>
      <c r="Y30" s="33">
        <f t="shared" si="14"/>
        <v>0</v>
      </c>
      <c r="Z30" s="33">
        <f t="shared" si="15"/>
        <v>0</v>
      </c>
      <c r="AA30" s="33">
        <f t="shared" si="16"/>
        <v>0</v>
      </c>
      <c r="AB30" s="33">
        <f t="shared" si="17"/>
        <v>0</v>
      </c>
      <c r="AC30" s="33">
        <f t="shared" si="18"/>
        <v>0</v>
      </c>
      <c r="AD30" s="33">
        <f t="shared" si="19"/>
        <v>0</v>
      </c>
      <c r="AE30" s="33">
        <f t="shared" si="20"/>
        <v>0</v>
      </c>
      <c r="AF30" s="33">
        <f t="shared" si="21"/>
        <v>0</v>
      </c>
      <c r="AG30" s="33">
        <f t="shared" si="22"/>
        <v>0</v>
      </c>
      <c r="AH30" s="33">
        <f t="shared" si="23"/>
        <v>0</v>
      </c>
      <c r="AI30" s="33">
        <f t="shared" si="24"/>
        <v>0</v>
      </c>
      <c r="AJ30" s="33">
        <f t="shared" si="25"/>
        <v>0</v>
      </c>
      <c r="AK30" s="33">
        <f t="shared" si="26"/>
        <v>0</v>
      </c>
      <c r="AL30" s="33">
        <f t="shared" si="27"/>
        <v>0</v>
      </c>
      <c r="AM30" s="33">
        <f t="shared" si="28"/>
        <v>0</v>
      </c>
      <c r="AN30" s="33">
        <f t="shared" si="29"/>
        <v>0</v>
      </c>
      <c r="AO30" s="33">
        <f t="shared" si="30"/>
        <v>0</v>
      </c>
      <c r="AP30" s="33">
        <f t="shared" si="31"/>
        <v>0</v>
      </c>
      <c r="AQ30" s="33">
        <f t="shared" si="32"/>
        <v>0</v>
      </c>
      <c r="AR30" s="33">
        <f t="shared" si="33"/>
        <v>0</v>
      </c>
      <c r="AS30" s="33">
        <f t="shared" si="34"/>
        <v>0</v>
      </c>
      <c r="AT30" s="33">
        <f t="shared" si="35"/>
        <v>0</v>
      </c>
      <c r="AU30" s="33">
        <f t="shared" si="36"/>
        <v>0</v>
      </c>
      <c r="AV30" s="33">
        <f t="shared" si="37"/>
        <v>0</v>
      </c>
      <c r="AW30" s="34" t="b">
        <f t="shared" si="38"/>
        <v>0</v>
      </c>
    </row>
    <row r="31" spans="1:49" ht="18" customHeight="1">
      <c r="A31" s="49">
        <f>IF(Lottning!$B$8="vakant",0,(IF(AND(Vakant!AX31&lt;=21,Vakant!BC31&gt;0),Vakant!BC31,0)))</f>
        <v>18</v>
      </c>
      <c r="B31" s="49" t="str">
        <f>+IF(AND(A31&gt;0,A31&lt;=21),VLOOKUP(F31,Grupper!$B$1:$C$12,2,FALSE),"")</f>
        <v>A</v>
      </c>
      <c r="C31" s="51">
        <f>IF(OR(AND(A31&gt;0,F31=F30),AND(A31&gt;0,H31=H30),AND(A31&gt;0,H31=F30),AND(A31&gt;0,F31=H30)),(IF(OR(AND(A31&lt;=21,A31&gt;0)),E30+Inställningar!$B$3+Inställningar!$B$4,C30))+Inställningar!$B$3,(IF(OR(AND(A31&lt;=21,A31&gt;0)),E30+Inställningar!$B$3,C30)))</f>
        <v>0.49861111111111145</v>
      </c>
      <c r="D31" s="51" t="str">
        <f t="shared" si="40"/>
        <v>-</v>
      </c>
      <c r="E31" s="51">
        <f>IF(OR(AND(A31&gt;0,F31=F30),AND(A31&gt;0,F31=H30),AND(A31&gt;0,H31=H30),AND(A31&gt;0,H31=F30)),(IF(OR(A31&lt;=21),C31+Inställningar!$B$1,E30)),(IF(OR(AND(A31&gt;0,A31&lt;=21)),C31+Inställningar!$B$1,E30)))</f>
        <v>0.5076388888888892</v>
      </c>
      <c r="F31" s="30" t="str">
        <f>IF(OR(AND(A31&lt;=21,A31&gt;0)),(VLOOKUP(A31,Vakant!$A$10:$G$51,5,FALSE)),"")</f>
        <v>Dösjöbro IF 1</v>
      </c>
      <c r="G31" s="31" t="str">
        <f t="shared" si="41"/>
        <v>-</v>
      </c>
      <c r="H31" s="30" t="str">
        <f>+IF(OR(AND(A31&lt;=21,A31&gt;0)),(VLOOKUP(A31,Vakant!$A$10:$G$51,7,FALSE)),"")</f>
        <v>Häljarps IF 2</v>
      </c>
      <c r="I31" s="32"/>
      <c r="J31" s="31" t="str">
        <f t="shared" si="0"/>
        <v>-</v>
      </c>
      <c r="M31" s="33">
        <f t="shared" si="2"/>
        <v>0</v>
      </c>
      <c r="N31" s="33">
        <f t="shared" si="3"/>
        <v>0</v>
      </c>
      <c r="O31" s="33">
        <f t="shared" si="4"/>
        <v>0</v>
      </c>
      <c r="P31" s="33">
        <f t="shared" si="5"/>
        <v>0</v>
      </c>
      <c r="Q31" s="33">
        <f t="shared" si="6"/>
        <v>0</v>
      </c>
      <c r="R31" s="33">
        <f t="shared" si="7"/>
        <v>0</v>
      </c>
      <c r="S31" s="33">
        <f t="shared" si="8"/>
        <v>0</v>
      </c>
      <c r="T31" s="33">
        <f t="shared" si="9"/>
        <v>0</v>
      </c>
      <c r="U31" s="33">
        <f t="shared" si="10"/>
        <v>0</v>
      </c>
      <c r="V31" s="33">
        <f t="shared" si="11"/>
        <v>0</v>
      </c>
      <c r="W31" s="33">
        <f t="shared" si="12"/>
        <v>0</v>
      </c>
      <c r="X31" s="33">
        <f t="shared" si="13"/>
        <v>0</v>
      </c>
      <c r="Y31" s="33">
        <f t="shared" si="14"/>
        <v>0</v>
      </c>
      <c r="Z31" s="33">
        <f t="shared" si="15"/>
        <v>0</v>
      </c>
      <c r="AA31" s="33">
        <f t="shared" si="16"/>
        <v>0</v>
      </c>
      <c r="AB31" s="33">
        <f t="shared" si="17"/>
        <v>0</v>
      </c>
      <c r="AC31" s="33">
        <f t="shared" si="18"/>
        <v>0</v>
      </c>
      <c r="AD31" s="33">
        <f t="shared" si="19"/>
        <v>0</v>
      </c>
      <c r="AE31" s="33">
        <f t="shared" si="20"/>
        <v>0</v>
      </c>
      <c r="AF31" s="33">
        <f t="shared" si="21"/>
        <v>0</v>
      </c>
      <c r="AG31" s="33">
        <f t="shared" si="22"/>
        <v>0</v>
      </c>
      <c r="AH31" s="33">
        <f t="shared" si="23"/>
        <v>0</v>
      </c>
      <c r="AI31" s="33">
        <f t="shared" si="24"/>
        <v>0</v>
      </c>
      <c r="AJ31" s="33">
        <f t="shared" si="25"/>
        <v>0</v>
      </c>
      <c r="AK31" s="33">
        <f t="shared" si="26"/>
        <v>0</v>
      </c>
      <c r="AL31" s="33">
        <f t="shared" si="27"/>
        <v>0</v>
      </c>
      <c r="AM31" s="33">
        <f t="shared" si="28"/>
        <v>0</v>
      </c>
      <c r="AN31" s="33">
        <f t="shared" si="29"/>
        <v>0</v>
      </c>
      <c r="AO31" s="33">
        <f t="shared" si="30"/>
        <v>0</v>
      </c>
      <c r="AP31" s="33">
        <f t="shared" si="31"/>
        <v>0</v>
      </c>
      <c r="AQ31" s="33">
        <f t="shared" si="32"/>
        <v>0</v>
      </c>
      <c r="AR31" s="33">
        <f t="shared" si="33"/>
        <v>0</v>
      </c>
      <c r="AS31" s="33">
        <f t="shared" si="34"/>
        <v>0</v>
      </c>
      <c r="AT31" s="33">
        <f t="shared" si="35"/>
        <v>0</v>
      </c>
      <c r="AU31" s="33">
        <f t="shared" si="36"/>
        <v>0</v>
      </c>
      <c r="AV31" s="33">
        <f t="shared" si="37"/>
        <v>0</v>
      </c>
      <c r="AW31" s="34" t="b">
        <f t="shared" si="38"/>
        <v>0</v>
      </c>
    </row>
    <row r="32" spans="1:49" ht="18" customHeight="1">
      <c r="A32" s="49">
        <f>IF(Lottning!$B$8="vakant",0,(IF(AND(Vakant!AX32&lt;=21,Vakant!BC32&gt;0),Vakant!BC32,0)))</f>
        <v>19</v>
      </c>
      <c r="B32" s="49" t="str">
        <f>+IF(AND(A32&gt;0,A32&lt;=21),VLOOKUP(F32,Grupper!$B$1:$C$12,2,FALSE),"")</f>
        <v>B</v>
      </c>
      <c r="C32" s="51">
        <f>IF(OR(AND(A32&gt;0,F32=F31),AND(A32&gt;0,H32=H31),AND(A32&gt;0,H32=F31),AND(A32&gt;0,F32=H31)),(IF(OR(AND(A32&lt;=21,A32&gt;0)),E31+Inställningar!$B$3+Inställningar!$B$4,C31))+Inställningar!$B$3,(IF(OR(AND(A32&lt;=21,A32&gt;0)),E31+Inställningar!$B$3,C31)))</f>
        <v>0.5083333333333336</v>
      </c>
      <c r="D32" s="51" t="str">
        <f t="shared" si="40"/>
        <v>-</v>
      </c>
      <c r="E32" s="51">
        <f>IF(OR(AND(A32&gt;0,F32=F31),AND(A32&gt;0,F32=H31),AND(A32&gt;0,H32=H31),AND(A32&gt;0,H32=F31)),(IF(OR(A32&lt;=21),C32+Inställningar!$B$1,E31)),(IF(OR(AND(A32&gt;0,A32&lt;=21)),C32+Inställningar!$B$1,E31)))</f>
        <v>0.5173611111111114</v>
      </c>
      <c r="F32" s="30" t="str">
        <f>IF(OR(AND(A32&lt;=21,A32&gt;0)),(VLOOKUP(A32,Vakant!$A$10:$G$51,5,FALSE)),"")</f>
        <v>Åstorps FF 2</v>
      </c>
      <c r="G32" s="31" t="str">
        <f t="shared" si="41"/>
        <v>-</v>
      </c>
      <c r="H32" s="30" t="str">
        <f>+IF(OR(AND(A32&lt;=21,A32&gt;0)),(VLOOKUP(A32,Vakant!$A$10:$G$51,7,FALSE)),"")</f>
        <v>Svalövs BK 1</v>
      </c>
      <c r="I32" s="32"/>
      <c r="J32" s="31" t="str">
        <f t="shared" si="0"/>
        <v>-</v>
      </c>
      <c r="M32" s="33">
        <f t="shared" si="2"/>
        <v>0</v>
      </c>
      <c r="N32" s="33">
        <f t="shared" si="3"/>
        <v>0</v>
      </c>
      <c r="O32" s="33">
        <f t="shared" si="4"/>
        <v>0</v>
      </c>
      <c r="P32" s="33">
        <f t="shared" si="5"/>
        <v>0</v>
      </c>
      <c r="Q32" s="33">
        <f t="shared" si="6"/>
        <v>0</v>
      </c>
      <c r="R32" s="33">
        <f t="shared" si="7"/>
        <v>0</v>
      </c>
      <c r="S32" s="33">
        <f t="shared" si="8"/>
        <v>0</v>
      </c>
      <c r="T32" s="33">
        <f t="shared" si="9"/>
        <v>0</v>
      </c>
      <c r="U32" s="33">
        <f t="shared" si="10"/>
        <v>0</v>
      </c>
      <c r="V32" s="33">
        <f t="shared" si="11"/>
        <v>0</v>
      </c>
      <c r="W32" s="33">
        <f t="shared" si="12"/>
        <v>0</v>
      </c>
      <c r="X32" s="33">
        <f t="shared" si="13"/>
        <v>0</v>
      </c>
      <c r="Y32" s="33">
        <f t="shared" si="14"/>
        <v>0</v>
      </c>
      <c r="Z32" s="33">
        <f t="shared" si="15"/>
        <v>0</v>
      </c>
      <c r="AA32" s="33">
        <f t="shared" si="16"/>
        <v>0</v>
      </c>
      <c r="AB32" s="33">
        <f t="shared" si="17"/>
        <v>0</v>
      </c>
      <c r="AC32" s="33">
        <f t="shared" si="18"/>
        <v>0</v>
      </c>
      <c r="AD32" s="33">
        <f t="shared" si="19"/>
        <v>0</v>
      </c>
      <c r="AE32" s="33">
        <f t="shared" si="20"/>
        <v>0</v>
      </c>
      <c r="AF32" s="33">
        <f t="shared" si="21"/>
        <v>0</v>
      </c>
      <c r="AG32" s="33">
        <f t="shared" si="22"/>
        <v>0</v>
      </c>
      <c r="AH32" s="33">
        <f t="shared" si="23"/>
        <v>0</v>
      </c>
      <c r="AI32" s="33">
        <f t="shared" si="24"/>
        <v>0</v>
      </c>
      <c r="AJ32" s="33">
        <f t="shared" si="25"/>
        <v>0</v>
      </c>
      <c r="AK32" s="33">
        <f t="shared" si="26"/>
        <v>0</v>
      </c>
      <c r="AL32" s="33">
        <f t="shared" si="27"/>
        <v>0</v>
      </c>
      <c r="AM32" s="33">
        <f t="shared" si="28"/>
        <v>0</v>
      </c>
      <c r="AN32" s="33">
        <f t="shared" si="29"/>
        <v>0</v>
      </c>
      <c r="AO32" s="33">
        <f t="shared" si="30"/>
        <v>0</v>
      </c>
      <c r="AP32" s="33">
        <f t="shared" si="31"/>
        <v>0</v>
      </c>
      <c r="AQ32" s="33">
        <f t="shared" si="32"/>
        <v>0</v>
      </c>
      <c r="AR32" s="33">
        <f t="shared" si="33"/>
        <v>0</v>
      </c>
      <c r="AS32" s="33">
        <f t="shared" si="34"/>
        <v>0</v>
      </c>
      <c r="AT32" s="33">
        <f t="shared" si="35"/>
        <v>0</v>
      </c>
      <c r="AU32" s="33">
        <f t="shared" si="36"/>
        <v>0</v>
      </c>
      <c r="AV32" s="33">
        <f t="shared" si="37"/>
        <v>0</v>
      </c>
      <c r="AW32" s="34" t="b">
        <f t="shared" si="38"/>
        <v>0</v>
      </c>
    </row>
    <row r="33" spans="1:49" ht="18" customHeight="1">
      <c r="A33" s="49">
        <f>IF(Lottning!$B$8="vakant",0,(IF(AND(Vakant!AX33&lt;=21,Vakant!BC33&gt;0),Vakant!BC33,0)))</f>
        <v>20</v>
      </c>
      <c r="B33" s="49" t="str">
        <f>+IF(AND(A33&gt;0,A33&lt;=21),VLOOKUP(F33,Grupper!$B$1:$C$12,2,FALSE),"")</f>
        <v>B</v>
      </c>
      <c r="C33" s="51">
        <f>IF(OR(AND(A33&gt;0,F33=F32),AND(A33&gt;0,H33=H32),AND(A33&gt;0,H33=F32),AND(A33&gt;0,F33=H32)),(IF(OR(AND(A33&lt;=21,A33&gt;0)),E32+Inställningar!$B$3+Inställningar!$B$4,C32))+Inställningar!$B$3,(IF(OR(AND(A33&lt;=21,A33&gt;0)),E32+Inställningar!$B$3,C32)))</f>
        <v>0.5180555555555558</v>
      </c>
      <c r="D33" s="51" t="str">
        <f t="shared" si="40"/>
        <v>-</v>
      </c>
      <c r="E33" s="51">
        <f>IF(OR(AND(A33&gt;0,F33=F32),AND(A33&gt;0,F33=H32),AND(A33&gt;0,H33=H32),AND(A33&gt;0,H33=F32)),(IF(OR(A33&lt;=21),C33+Inställningar!$B$1,E32)),(IF(OR(AND(A33&gt;0,A33&lt;=21)),C33+Inställningar!$B$1,E32)))</f>
        <v>0.5270833333333336</v>
      </c>
      <c r="F33" s="30" t="str">
        <f>IF(OR(AND(A33&lt;=21,A33&gt;0)),(VLOOKUP(A33,Vakant!$A$10:$G$51,5,FALSE)),"")</f>
        <v>Dösjöbro IF 2</v>
      </c>
      <c r="G33" s="31" t="str">
        <f t="shared" si="41"/>
        <v>-</v>
      </c>
      <c r="H33" s="30" t="str">
        <f>+IF(OR(AND(A33&lt;=21,A33&gt;0)),(VLOOKUP(A33,Vakant!$A$10:$G$51,7,FALSE)),"")</f>
        <v>Billesholms GIF</v>
      </c>
      <c r="I33" s="32"/>
      <c r="J33" s="31" t="str">
        <f t="shared" si="0"/>
        <v>-</v>
      </c>
      <c r="M33" s="33">
        <f t="shared" si="2"/>
        <v>0</v>
      </c>
      <c r="N33" s="33">
        <f t="shared" si="3"/>
        <v>0</v>
      </c>
      <c r="O33" s="33">
        <f t="shared" si="4"/>
        <v>0</v>
      </c>
      <c r="P33" s="33">
        <f t="shared" si="5"/>
        <v>0</v>
      </c>
      <c r="Q33" s="33">
        <f t="shared" si="6"/>
        <v>0</v>
      </c>
      <c r="R33" s="33">
        <f t="shared" si="7"/>
        <v>0</v>
      </c>
      <c r="S33" s="33">
        <f t="shared" si="8"/>
        <v>0</v>
      </c>
      <c r="T33" s="33">
        <f t="shared" si="9"/>
        <v>0</v>
      </c>
      <c r="U33" s="33">
        <f t="shared" si="10"/>
        <v>0</v>
      </c>
      <c r="V33" s="33">
        <f t="shared" si="11"/>
        <v>0</v>
      </c>
      <c r="W33" s="33">
        <f t="shared" si="12"/>
        <v>0</v>
      </c>
      <c r="X33" s="33">
        <f t="shared" si="13"/>
        <v>0</v>
      </c>
      <c r="Y33" s="33">
        <f t="shared" si="14"/>
        <v>0</v>
      </c>
      <c r="Z33" s="33">
        <f t="shared" si="15"/>
        <v>0</v>
      </c>
      <c r="AA33" s="33">
        <f t="shared" si="16"/>
        <v>0</v>
      </c>
      <c r="AB33" s="33">
        <f t="shared" si="17"/>
        <v>0</v>
      </c>
      <c r="AC33" s="33">
        <f t="shared" si="18"/>
        <v>0</v>
      </c>
      <c r="AD33" s="33">
        <f t="shared" si="19"/>
        <v>0</v>
      </c>
      <c r="AE33" s="33">
        <f t="shared" si="20"/>
        <v>0</v>
      </c>
      <c r="AF33" s="33">
        <f t="shared" si="21"/>
        <v>0</v>
      </c>
      <c r="AG33" s="33">
        <f t="shared" si="22"/>
        <v>0</v>
      </c>
      <c r="AH33" s="33">
        <f t="shared" si="23"/>
        <v>0</v>
      </c>
      <c r="AI33" s="33">
        <f t="shared" si="24"/>
        <v>0</v>
      </c>
      <c r="AJ33" s="33">
        <f t="shared" si="25"/>
        <v>0</v>
      </c>
      <c r="AK33" s="33">
        <f t="shared" si="26"/>
        <v>0</v>
      </c>
      <c r="AL33" s="33">
        <f t="shared" si="27"/>
        <v>0</v>
      </c>
      <c r="AM33" s="33">
        <f t="shared" si="28"/>
        <v>0</v>
      </c>
      <c r="AN33" s="33">
        <f t="shared" si="29"/>
        <v>0</v>
      </c>
      <c r="AO33" s="33">
        <f t="shared" si="30"/>
        <v>0</v>
      </c>
      <c r="AP33" s="33">
        <f t="shared" si="31"/>
        <v>0</v>
      </c>
      <c r="AQ33" s="33">
        <f t="shared" si="32"/>
        <v>0</v>
      </c>
      <c r="AR33" s="33">
        <f t="shared" si="33"/>
        <v>0</v>
      </c>
      <c r="AS33" s="33">
        <f t="shared" si="34"/>
        <v>0</v>
      </c>
      <c r="AT33" s="33">
        <f t="shared" si="35"/>
        <v>0</v>
      </c>
      <c r="AU33" s="33">
        <f t="shared" si="36"/>
        <v>0</v>
      </c>
      <c r="AV33" s="33">
        <f t="shared" si="37"/>
        <v>0</v>
      </c>
      <c r="AW33" s="34" t="b">
        <f t="shared" si="38"/>
        <v>0</v>
      </c>
    </row>
    <row r="34" spans="1:49" ht="18" customHeight="1">
      <c r="A34" s="49">
        <f>IF(Lottning!$B$8="vakant",0,(IF(AND(Vakant!AX34&lt;=21,Vakant!BC34&gt;0),Vakant!BC34,0)))</f>
        <v>0</v>
      </c>
      <c r="B34" s="49">
        <f>+IF(AND(A34&gt;0,A34&lt;=21),VLOOKUP(F34,Grupper!$B$1:$C$12,2,FALSE),"")</f>
      </c>
      <c r="C34" s="51">
        <f>IF(OR(AND(A34&gt;0,F34=F33),AND(A34&gt;0,H34=H33),AND(A34&gt;0,H34=F33),AND(A34&gt;0,F34=H33)),(IF(OR(AND(A34&lt;=21,A34&gt;0)),E33+Inställningar!$B$3+Inställningar!$B$4,C33))+Inställningar!$B$3,(IF(OR(AND(A34&lt;=21,A34&gt;0)),E33+Inställningar!$B$3,C33)))</f>
        <v>0.5180555555555558</v>
      </c>
      <c r="D34" s="51">
        <f t="shared" si="40"/>
      </c>
      <c r="E34" s="51">
        <f>IF(OR(AND(A34&gt;0,F34=F33),AND(A34&gt;0,F34=H33),AND(A34&gt;0,H34=H33),AND(A34&gt;0,H34=F33)),(IF(OR(A34&lt;=21),C34+Inställningar!$B$1,E33)),(IF(OR(AND(A34&gt;0,A34&lt;=21)),C34+Inställningar!$B$1,E33)))</f>
        <v>0.5270833333333336</v>
      </c>
      <c r="F34" s="30">
        <f>IF(OR(AND(A34&lt;=21,A34&gt;0)),(VLOOKUP(A34,Vakant!$A$10:$G$51,5,FALSE)),"")</f>
      </c>
      <c r="G34" s="31">
        <f t="shared" si="41"/>
      </c>
      <c r="H34" s="30">
        <f>+IF(OR(AND(A34&lt;=21,A34&gt;0)),(VLOOKUP(A34,Vakant!$A$10:$G$51,7,FALSE)),"")</f>
      </c>
      <c r="I34" s="32"/>
      <c r="J34" s="31">
        <f t="shared" si="0"/>
      </c>
      <c r="M34" s="33">
        <f t="shared" si="2"/>
        <v>0</v>
      </c>
      <c r="N34" s="33">
        <f t="shared" si="3"/>
        <v>0</v>
      </c>
      <c r="O34" s="33">
        <f t="shared" si="4"/>
        <v>0</v>
      </c>
      <c r="P34" s="33">
        <f t="shared" si="5"/>
        <v>0</v>
      </c>
      <c r="Q34" s="33">
        <f t="shared" si="6"/>
        <v>0</v>
      </c>
      <c r="R34" s="33">
        <f t="shared" si="7"/>
        <v>0</v>
      </c>
      <c r="S34" s="33">
        <f t="shared" si="8"/>
        <v>0</v>
      </c>
      <c r="T34" s="33">
        <f t="shared" si="9"/>
        <v>0</v>
      </c>
      <c r="U34" s="33">
        <f t="shared" si="10"/>
        <v>0</v>
      </c>
      <c r="V34" s="33">
        <f t="shared" si="11"/>
        <v>0</v>
      </c>
      <c r="W34" s="33">
        <f t="shared" si="12"/>
        <v>0</v>
      </c>
      <c r="X34" s="33">
        <f t="shared" si="13"/>
        <v>0</v>
      </c>
      <c r="Y34" s="33">
        <f t="shared" si="14"/>
        <v>0</v>
      </c>
      <c r="Z34" s="33">
        <f t="shared" si="15"/>
        <v>0</v>
      </c>
      <c r="AA34" s="33">
        <f t="shared" si="16"/>
        <v>0</v>
      </c>
      <c r="AB34" s="33">
        <f t="shared" si="17"/>
        <v>0</v>
      </c>
      <c r="AC34" s="33">
        <f t="shared" si="18"/>
        <v>0</v>
      </c>
      <c r="AD34" s="33">
        <f t="shared" si="19"/>
        <v>0</v>
      </c>
      <c r="AE34" s="33">
        <f t="shared" si="20"/>
        <v>0</v>
      </c>
      <c r="AF34" s="33">
        <f t="shared" si="21"/>
        <v>0</v>
      </c>
      <c r="AG34" s="33">
        <f t="shared" si="22"/>
        <v>0</v>
      </c>
      <c r="AH34" s="33">
        <f t="shared" si="23"/>
        <v>0</v>
      </c>
      <c r="AI34" s="33">
        <f t="shared" si="24"/>
        <v>0</v>
      </c>
      <c r="AJ34" s="33">
        <f t="shared" si="25"/>
        <v>0</v>
      </c>
      <c r="AK34" s="33">
        <f t="shared" si="26"/>
        <v>0</v>
      </c>
      <c r="AL34" s="33">
        <f t="shared" si="27"/>
        <v>0</v>
      </c>
      <c r="AM34" s="33">
        <f t="shared" si="28"/>
        <v>0</v>
      </c>
      <c r="AN34" s="33">
        <f t="shared" si="29"/>
        <v>0</v>
      </c>
      <c r="AO34" s="33">
        <f t="shared" si="30"/>
        <v>0</v>
      </c>
      <c r="AP34" s="33">
        <f t="shared" si="31"/>
        <v>0</v>
      </c>
      <c r="AQ34" s="33">
        <f t="shared" si="32"/>
        <v>0</v>
      </c>
      <c r="AR34" s="33">
        <f t="shared" si="33"/>
        <v>0</v>
      </c>
      <c r="AS34" s="33">
        <f t="shared" si="34"/>
        <v>0</v>
      </c>
      <c r="AT34" s="33">
        <f t="shared" si="35"/>
        <v>0</v>
      </c>
      <c r="AU34" s="33">
        <f t="shared" si="36"/>
        <v>0</v>
      </c>
      <c r="AV34" s="33">
        <f t="shared" si="37"/>
        <v>0</v>
      </c>
      <c r="AW34" s="34" t="b">
        <f t="shared" si="38"/>
        <v>0</v>
      </c>
    </row>
    <row r="35" spans="1:49" ht="18" customHeight="1">
      <c r="A35" s="49">
        <f>IF(Lottning!$B$8="vakant",0,(IF(AND(Vakant!AX35&lt;=21,Vakant!BC35&gt;0),Vakant!BC35,0)))</f>
        <v>0</v>
      </c>
      <c r="B35" s="49">
        <f>+IF(AND(A35&gt;0,A35&lt;=21),VLOOKUP(F35,Grupper!$B$1:$C$12,2,FALSE),"")</f>
      </c>
      <c r="C35" s="51">
        <f>IF(OR(AND(A35&gt;0,F35=F34),AND(A35&gt;0,H35=H34),AND(A35&gt;0,H35=F34),AND(A35&gt;0,F35=H34)),(IF(OR(AND(A35&lt;=21,A35&gt;0)),E34+Inställningar!$B$3+Inställningar!$B$4,C34))+Inställningar!$B$3,(IF(OR(AND(A35&lt;=21,A35&gt;0)),E34+Inställningar!$B$3,C34)))</f>
        <v>0.5180555555555558</v>
      </c>
      <c r="D35" s="51">
        <f t="shared" si="40"/>
      </c>
      <c r="E35" s="51">
        <f>IF(OR(AND(A35&gt;0,F35=F34),AND(A35&gt;0,F35=H34),AND(A35&gt;0,H35=H34),AND(A35&gt;0,H35=F34)),(IF(OR(A35&lt;=21),C35+Inställningar!$B$1,E34)),(IF(OR(AND(A35&gt;0,A35&lt;=21)),C35+Inställningar!$B$1,E34)))</f>
        <v>0.5270833333333336</v>
      </c>
      <c r="F35" s="30">
        <f>IF(OR(AND(A35&lt;=21,A35&gt;0)),(VLOOKUP(A35,Vakant!$A$10:$G$51,5,FALSE)),"")</f>
      </c>
      <c r="G35" s="31">
        <f t="shared" si="41"/>
      </c>
      <c r="H35" s="30">
        <f>+IF(OR(AND(A35&lt;=21,A35&gt;0)),(VLOOKUP(A35,Vakant!$A$10:$G$51,7,FALSE)),"")</f>
      </c>
      <c r="I35" s="32"/>
      <c r="J35" s="31">
        <f t="shared" si="0"/>
      </c>
      <c r="M35" s="33">
        <f t="shared" si="2"/>
        <v>0</v>
      </c>
      <c r="N35" s="33">
        <f t="shared" si="3"/>
        <v>0</v>
      </c>
      <c r="O35" s="33">
        <f t="shared" si="4"/>
        <v>0</v>
      </c>
      <c r="P35" s="33">
        <f t="shared" si="5"/>
        <v>0</v>
      </c>
      <c r="Q35" s="33">
        <f t="shared" si="6"/>
        <v>0</v>
      </c>
      <c r="R35" s="33">
        <f t="shared" si="7"/>
        <v>0</v>
      </c>
      <c r="S35" s="33">
        <f t="shared" si="8"/>
        <v>0</v>
      </c>
      <c r="T35" s="33">
        <f t="shared" si="9"/>
        <v>0</v>
      </c>
      <c r="U35" s="33">
        <f t="shared" si="10"/>
        <v>0</v>
      </c>
      <c r="V35" s="33">
        <f t="shared" si="11"/>
        <v>0</v>
      </c>
      <c r="W35" s="33">
        <f t="shared" si="12"/>
        <v>0</v>
      </c>
      <c r="X35" s="33">
        <f t="shared" si="13"/>
        <v>0</v>
      </c>
      <c r="Y35" s="33">
        <f t="shared" si="14"/>
        <v>0</v>
      </c>
      <c r="Z35" s="33">
        <f t="shared" si="15"/>
        <v>0</v>
      </c>
      <c r="AA35" s="33">
        <f t="shared" si="16"/>
        <v>0</v>
      </c>
      <c r="AB35" s="33">
        <f t="shared" si="17"/>
        <v>0</v>
      </c>
      <c r="AC35" s="33">
        <f t="shared" si="18"/>
        <v>0</v>
      </c>
      <c r="AD35" s="33">
        <f t="shared" si="19"/>
        <v>0</v>
      </c>
      <c r="AE35" s="33">
        <f t="shared" si="20"/>
        <v>0</v>
      </c>
      <c r="AF35" s="33">
        <f t="shared" si="21"/>
        <v>0</v>
      </c>
      <c r="AG35" s="33">
        <f t="shared" si="22"/>
        <v>0</v>
      </c>
      <c r="AH35" s="33">
        <f t="shared" si="23"/>
        <v>0</v>
      </c>
      <c r="AI35" s="33">
        <f t="shared" si="24"/>
        <v>0</v>
      </c>
      <c r="AJ35" s="33">
        <f t="shared" si="25"/>
        <v>0</v>
      </c>
      <c r="AK35" s="33">
        <f t="shared" si="26"/>
        <v>0</v>
      </c>
      <c r="AL35" s="33">
        <f t="shared" si="27"/>
        <v>0</v>
      </c>
      <c r="AM35" s="33">
        <f t="shared" si="28"/>
        <v>0</v>
      </c>
      <c r="AN35" s="33">
        <f t="shared" si="29"/>
        <v>0</v>
      </c>
      <c r="AO35" s="33">
        <f t="shared" si="30"/>
        <v>0</v>
      </c>
      <c r="AP35" s="33">
        <f t="shared" si="31"/>
        <v>0</v>
      </c>
      <c r="AQ35" s="33">
        <f t="shared" si="32"/>
        <v>0</v>
      </c>
      <c r="AR35" s="33">
        <f t="shared" si="33"/>
        <v>0</v>
      </c>
      <c r="AS35" s="33">
        <f t="shared" si="34"/>
        <v>0</v>
      </c>
      <c r="AT35" s="33">
        <f t="shared" si="35"/>
        <v>0</v>
      </c>
      <c r="AU35" s="33">
        <f t="shared" si="36"/>
        <v>0</v>
      </c>
      <c r="AV35" s="33">
        <f t="shared" si="37"/>
        <v>0</v>
      </c>
      <c r="AW35" s="34" t="b">
        <f t="shared" si="38"/>
        <v>0</v>
      </c>
    </row>
    <row r="36" spans="1:49" ht="18" customHeight="1">
      <c r="A36" s="49">
        <f>IF(Lottning!$B$8="vakant",0,(IF(AND(Vakant!AX36&lt;=21,Vakant!BC36&gt;0),Vakant!BC36,0)))</f>
        <v>0</v>
      </c>
      <c r="B36" s="49">
        <f>+IF(AND(A36&gt;0,A36&lt;=21),VLOOKUP(F36,Grupper!$B$1:$C$12,2,FALSE),"")</f>
      </c>
      <c r="C36" s="51">
        <f>IF(OR(AND(A36&gt;0,F36=F35),AND(A36&gt;0,H36=H35),AND(A36&gt;0,H36=F35),AND(A36&gt;0,F36=H35)),(IF(OR(AND(A36&lt;=21,A36&gt;0)),E35+Inställningar!$B$3+Inställningar!$B$4,C35))+Inställningar!$B$3,(IF(OR(AND(A36&lt;=21,A36&gt;0)),E35+Inställningar!$B$3,C35)))</f>
        <v>0.5180555555555558</v>
      </c>
      <c r="D36" s="51">
        <f t="shared" si="40"/>
      </c>
      <c r="E36" s="51">
        <f>IF(OR(AND(A36&gt;0,F36=F35),AND(A36&gt;0,F36=H35),AND(A36&gt;0,H36=H35),AND(A36&gt;0,H36=F35)),(IF(OR(A36&lt;=21),C36+Inställningar!$B$1,E35)),(IF(OR(AND(A36&gt;0,A36&lt;=21)),C36+Inställningar!$B$1,E35)))</f>
        <v>0.5270833333333336</v>
      </c>
      <c r="F36" s="30">
        <f>IF(OR(AND(A36&lt;=21,A36&gt;0)),(VLOOKUP(A36,Vakant!$A$10:$G$51,5,FALSE)),"")</f>
      </c>
      <c r="G36" s="31">
        <f t="shared" si="41"/>
      </c>
      <c r="H36" s="30">
        <f>+IF(OR(AND(A36&lt;=21,A36&gt;0)),(VLOOKUP(A36,Vakant!$A$10:$G$51,7,FALSE)),"")</f>
      </c>
      <c r="I36" s="32"/>
      <c r="J36" s="31">
        <f t="shared" si="0"/>
      </c>
      <c r="M36" s="33">
        <f t="shared" si="2"/>
        <v>0</v>
      </c>
      <c r="N36" s="33">
        <f t="shared" si="3"/>
        <v>0</v>
      </c>
      <c r="O36" s="33">
        <f t="shared" si="4"/>
        <v>0</v>
      </c>
      <c r="P36" s="33">
        <f t="shared" si="5"/>
        <v>0</v>
      </c>
      <c r="Q36" s="33">
        <f t="shared" si="6"/>
        <v>0</v>
      </c>
      <c r="R36" s="33">
        <f t="shared" si="7"/>
        <v>0</v>
      </c>
      <c r="S36" s="33">
        <f t="shared" si="8"/>
        <v>0</v>
      </c>
      <c r="T36" s="33">
        <f t="shared" si="9"/>
        <v>0</v>
      </c>
      <c r="U36" s="33">
        <f t="shared" si="10"/>
        <v>0</v>
      </c>
      <c r="V36" s="33">
        <f t="shared" si="11"/>
        <v>0</v>
      </c>
      <c r="W36" s="33">
        <f t="shared" si="12"/>
        <v>0</v>
      </c>
      <c r="X36" s="33">
        <f t="shared" si="13"/>
        <v>0</v>
      </c>
      <c r="Y36" s="33">
        <f t="shared" si="14"/>
        <v>0</v>
      </c>
      <c r="Z36" s="33">
        <f t="shared" si="15"/>
        <v>0</v>
      </c>
      <c r="AA36" s="33">
        <f t="shared" si="16"/>
        <v>0</v>
      </c>
      <c r="AB36" s="33">
        <f t="shared" si="17"/>
        <v>0</v>
      </c>
      <c r="AC36" s="33">
        <f t="shared" si="18"/>
        <v>0</v>
      </c>
      <c r="AD36" s="33">
        <f t="shared" si="19"/>
        <v>0</v>
      </c>
      <c r="AE36" s="33">
        <f t="shared" si="20"/>
        <v>0</v>
      </c>
      <c r="AF36" s="33">
        <f t="shared" si="21"/>
        <v>0</v>
      </c>
      <c r="AG36" s="33">
        <f t="shared" si="22"/>
        <v>0</v>
      </c>
      <c r="AH36" s="33">
        <f t="shared" si="23"/>
        <v>0</v>
      </c>
      <c r="AI36" s="33">
        <f t="shared" si="24"/>
        <v>0</v>
      </c>
      <c r="AJ36" s="33">
        <f t="shared" si="25"/>
        <v>0</v>
      </c>
      <c r="AK36" s="33">
        <f t="shared" si="26"/>
        <v>0</v>
      </c>
      <c r="AL36" s="33">
        <f t="shared" si="27"/>
        <v>0</v>
      </c>
      <c r="AM36" s="33">
        <f t="shared" si="28"/>
        <v>0</v>
      </c>
      <c r="AN36" s="33">
        <f t="shared" si="29"/>
        <v>0</v>
      </c>
      <c r="AO36" s="33">
        <f t="shared" si="30"/>
        <v>0</v>
      </c>
      <c r="AP36" s="33">
        <f t="shared" si="31"/>
        <v>0</v>
      </c>
      <c r="AQ36" s="33">
        <f t="shared" si="32"/>
        <v>0</v>
      </c>
      <c r="AR36" s="33">
        <f t="shared" si="33"/>
        <v>0</v>
      </c>
      <c r="AS36" s="33">
        <f t="shared" si="34"/>
        <v>0</v>
      </c>
      <c r="AT36" s="33">
        <f t="shared" si="35"/>
        <v>0</v>
      </c>
      <c r="AU36" s="33">
        <f t="shared" si="36"/>
        <v>0</v>
      </c>
      <c r="AV36" s="33">
        <f t="shared" si="37"/>
        <v>0</v>
      </c>
      <c r="AW36" s="34" t="b">
        <f t="shared" si="38"/>
        <v>0</v>
      </c>
    </row>
    <row r="37" spans="1:49" ht="18" customHeight="1">
      <c r="A37" s="49">
        <f>IF(Lottning!$B$8="vakant",0,(IF(AND(Vakant!AX37&lt;=21,Vakant!BC37&gt;0),Vakant!BC37,0)))</f>
        <v>0</v>
      </c>
      <c r="B37" s="49">
        <f>+IF(AND(A37&gt;0,A37&lt;=21),VLOOKUP(F37,Grupper!$B$1:$C$12,2,FALSE),"")</f>
      </c>
      <c r="C37" s="51">
        <f>IF(OR(AND(A37&gt;0,F37=F36),AND(A37&gt;0,H37=H36),AND(A37&gt;0,H37=F36),AND(A37&gt;0,F37=H36)),(IF(OR(AND(A37&lt;=21,A37&gt;0)),E36+Inställningar!$B$3+Inställningar!$B$4,C36))+Inställningar!$B$3,(IF(OR(AND(A37&lt;=21,A37&gt;0)),E36+Inställningar!$B$3,C36)))</f>
        <v>0.5180555555555558</v>
      </c>
      <c r="D37" s="51">
        <f>+IF((OR(AND(A37&lt;=21,A37&gt;0))),"-","")</f>
      </c>
      <c r="E37" s="51">
        <f>IF(OR(AND(A37&gt;0,F37=F36),AND(A37&gt;0,F37=H36),AND(A37&gt;0,H37=H36),AND(A37&gt;0,H37=F36)),(IF(OR(A37&lt;=21),C37+Inställningar!$B$1,E36)),(IF(OR(AND(A37&gt;0,A37&lt;=21)),C37+Inställningar!$B$1,E36)))</f>
        <v>0.5270833333333336</v>
      </c>
      <c r="F37" s="30">
        <f>IF(OR(AND(A37&lt;=21,A37&gt;0)),(VLOOKUP(A37,Vakant!$A$10:$G$51,5,FALSE)),"")</f>
      </c>
      <c r="G37" s="31">
        <f>+IF((OR(AND(A37&lt;=21,A37&gt;0))),"-","")</f>
      </c>
      <c r="H37" s="30">
        <f>+IF(OR(AND(A37&lt;=21,A37&gt;0)),(VLOOKUP(A37,Vakant!$A$10:$G$51,7,FALSE)),"")</f>
      </c>
      <c r="I37" s="32"/>
      <c r="J37" s="31">
        <f>+IF((OR(AND(A37&lt;=21,A37&gt;0))),"-","")</f>
      </c>
      <c r="M37" s="33">
        <f t="shared" si="2"/>
        <v>0</v>
      </c>
      <c r="N37" s="33">
        <f t="shared" si="3"/>
        <v>0</v>
      </c>
      <c r="O37" s="33">
        <f t="shared" si="4"/>
        <v>0</v>
      </c>
      <c r="P37" s="33">
        <f t="shared" si="5"/>
        <v>0</v>
      </c>
      <c r="Q37" s="33">
        <f t="shared" si="6"/>
        <v>0</v>
      </c>
      <c r="R37" s="33">
        <f t="shared" si="7"/>
        <v>0</v>
      </c>
      <c r="S37" s="33">
        <f t="shared" si="8"/>
        <v>0</v>
      </c>
      <c r="T37" s="33">
        <f t="shared" si="9"/>
        <v>0</v>
      </c>
      <c r="U37" s="33">
        <f t="shared" si="10"/>
        <v>0</v>
      </c>
      <c r="V37" s="33">
        <f t="shared" si="11"/>
        <v>0</v>
      </c>
      <c r="W37" s="33">
        <f t="shared" si="12"/>
        <v>0</v>
      </c>
      <c r="X37" s="33">
        <f t="shared" si="13"/>
        <v>0</v>
      </c>
      <c r="Y37" s="33">
        <f t="shared" si="14"/>
        <v>0</v>
      </c>
      <c r="Z37" s="33">
        <f t="shared" si="15"/>
        <v>0</v>
      </c>
      <c r="AA37" s="33">
        <f t="shared" si="16"/>
        <v>0</v>
      </c>
      <c r="AB37" s="33">
        <f t="shared" si="17"/>
        <v>0</v>
      </c>
      <c r="AC37" s="33">
        <f t="shared" si="18"/>
        <v>0</v>
      </c>
      <c r="AD37" s="33">
        <f t="shared" si="19"/>
        <v>0</v>
      </c>
      <c r="AE37" s="33">
        <f t="shared" si="20"/>
        <v>0</v>
      </c>
      <c r="AF37" s="33">
        <f t="shared" si="21"/>
        <v>0</v>
      </c>
      <c r="AG37" s="33">
        <f t="shared" si="22"/>
        <v>0</v>
      </c>
      <c r="AH37" s="33">
        <f t="shared" si="23"/>
        <v>0</v>
      </c>
      <c r="AI37" s="33">
        <f t="shared" si="24"/>
        <v>0</v>
      </c>
      <c r="AJ37" s="33">
        <f t="shared" si="25"/>
        <v>0</v>
      </c>
      <c r="AK37" s="33">
        <f t="shared" si="26"/>
        <v>0</v>
      </c>
      <c r="AL37" s="33">
        <f t="shared" si="27"/>
        <v>0</v>
      </c>
      <c r="AM37" s="33">
        <f t="shared" si="28"/>
        <v>0</v>
      </c>
      <c r="AN37" s="33">
        <f t="shared" si="29"/>
        <v>0</v>
      </c>
      <c r="AO37" s="33">
        <f t="shared" si="30"/>
        <v>0</v>
      </c>
      <c r="AP37" s="33">
        <f t="shared" si="31"/>
        <v>0</v>
      </c>
      <c r="AQ37" s="33">
        <f t="shared" si="32"/>
        <v>0</v>
      </c>
      <c r="AR37" s="33">
        <f t="shared" si="33"/>
        <v>0</v>
      </c>
      <c r="AS37" s="33">
        <f t="shared" si="34"/>
        <v>0</v>
      </c>
      <c r="AT37" s="33">
        <f t="shared" si="35"/>
        <v>0</v>
      </c>
      <c r="AU37" s="33">
        <f t="shared" si="36"/>
        <v>0</v>
      </c>
      <c r="AV37" s="33">
        <f t="shared" si="37"/>
        <v>0</v>
      </c>
      <c r="AW37" s="34" t="b">
        <f t="shared" si="38"/>
        <v>0</v>
      </c>
    </row>
    <row r="38" spans="1:51" ht="18" customHeight="1">
      <c r="A38" s="49">
        <f>IF(Inställningar!$B$5="JA",Matchnummer!A22,"")</f>
      </c>
      <c r="B38" s="50"/>
      <c r="C38" s="51">
        <f>IF(AND(Inställningar!$B$6="JA",Inställningar!$B$5="JA"),E37+Inställningar!$B$4,IF(Inställningar!$B$5="JA",E37+Inställningar!$B$4,""))</f>
      </c>
      <c r="D38" s="31">
        <f>IF(Inställningar!$B$5="JA","-","")</f>
      </c>
      <c r="E38" s="51">
        <f>IF(AND(Inställningar!$B$6="JA",Inställningar!$B$5="JA"),C38+Inställningar!$B$2,IF(Inställningar!$B$5="JA",C38+Inställningar!$B$2,""))</f>
      </c>
      <c r="F38" s="53">
        <f>IF(OR(AND(L33="x",A34=0,A35=0,A36=0),AND(L29="x",A30=0,A31=0,A32=0),AND(L25="x",A26=0,A27=0,A28=0),Inställningar!$B$5="JA"),(IF(AND(Inställningar!B5="JA",AY38=TRUE),Inställningar!B13,(IF(Inställningar!$B$6="NEJ",(IF(Inställningar!$B$5="JA",(IF(OR(AND(L33="x",A34=0,A35=0,A36=0),AND(L29="x",A30=0,A31=0,A32=0)),Tabell!C14,"Etta grupp A")),"")),(IF(AND(Inställningar!$B$6="JA"),(IF(AND(AX38=TRUE,Inställningar!B5="ja"),Inställningar!B16,IF(OR(AND(L35="x",A36=0,A37=0),AND(L27="x",A28=0,A29=0,A30=0),AND(L22="x",A23=0,A24=0,A25=0)),'Tabell alla'!C11,"Ettan"))))))))),"")</f>
      </c>
      <c r="G38" s="31">
        <f>IF(Inställningar!$B$5="JA","-","")</f>
      </c>
      <c r="H38" s="30">
        <f>IF(OR(AND(L33="x",A34=0,A35=0,A36=0),AND(L29="x",A30=0,A31=0,A32=0),AND(L25="x",A26=0,A27=0,A28=0),Inställningar!$B$5="JA"),(IF(AND(Inställningar!B5="JA",AY38=TRUE),Inställningar!B13,(IF(Inställningar!$B$6="NEJ",(IF(Inställningar!$B$5="JA",(IF(OR(AND(L33="x",A34=0,A35=0,A36=0),AND(L29="x",A30=0,A31=0,A32=0)),Tabell!C20,"Tvåa grupp B")),"")),(IF(AND(Inställningar!$B$6="JA"),(IF(AND(AX38=TRUE,Inställningar!B5="ja"),Inställningar!B16,IF(OR(AND(L35="x",A36=0,A37=0),AND(L27="x",A28=0,A29=0,A30=0),AND(L22="x",A23=0,A24=0,A25=0)),'Tabell alla'!C14,"Fyran"))))))))),"")</f>
      </c>
      <c r="I38" s="32"/>
      <c r="J38" s="31">
        <f>IF(Inställningar!$B$5="JA","-","")</f>
      </c>
      <c r="L38" s="52"/>
      <c r="AX38" s="34" t="b">
        <f>IF(OR(AND(L35="x",A36=0,A37=0),AND(L27="x",A28=0,A29=0,A30=0),AND(L22="x",A23=0,A24=0,A25=0)),(OR(AND('Tabell alla'!L12='Tabell alla'!L13,'Tabell alla'!K12='Tabell alla'!K13,'Tabell alla'!H12='Tabell alla'!H13),AND('Tabell alla'!L13='Tabell alla'!L14,'Tabell alla'!K13='Tabell alla'!K14,'Tabell alla'!H13='Tabell alla'!H14))),FALSE)</f>
        <v>0</v>
      </c>
      <c r="AY38" s="34" t="b">
        <f>IF(OR(AND(L33="x",A34=0,A35=0,A36=0),AND(L29="x",A30=0,A31=0,A32=0),AND(L25="x",A26=0,A27=0,A28=0)),(OR(AND(Tabell!L19=Tabell!L20,Tabell!K19=Tabell!K20,Tabell!H19=Tabell!H20,Inställningar!B6="NEJ"),AND(Tabell!L20=Tabell!L21,Tabell!K20=Tabell!K21,Tabell!H20=Tabell!H21))),FALSE)</f>
        <v>0</v>
      </c>
    </row>
    <row r="39" spans="1:51" ht="18" customHeight="1">
      <c r="A39" s="49">
        <f>IF(Inställningar!$B$5="JA",Matchnummer!A23,"")</f>
      </c>
      <c r="B39" s="50"/>
      <c r="C39" s="51">
        <f>IF(AND(Inställningar!$B$6="JA",Inställningar!$B$5="JA"),E38+Inställningar!$B$3,IF(Inställningar!$B$5="JA",E38+Inställningar!$B$3,""))</f>
      </c>
      <c r="D39" s="31">
        <f>IF(Inställningar!$B$5="JA","-","")</f>
      </c>
      <c r="E39" s="51">
        <f>IF(AND(Inställningar!$B$6="JA",Inställningar!$B$5="JA"),C39+Inställningar!$B$2,IF(Inställningar!$B$5="JA",C39+Inställningar!$B$2,""))</f>
      </c>
      <c r="F39" s="53">
        <f>IF(OR(AND(L33="x",A34=0,A35=0,A36=0),AND(L29="x",A30=0,A31=0,A32=0),AND(L25="x",A26=0,A27=0,A28=0),Inställningar!$B$5="JA"),(IF(AND(Inställningar!B5="JA",AY39=TRUE),Inställningar!B12,(IF(Inställningar!$B$6="NEJ",(IF(Inställningar!$B$5="JA",(IF(OR(AND(L33="x",A34=0,A35=0,A36=0),AND(L29="x",A30=0,A31=0,A32=0)),Tabell!C19,"Etta grupp B")),"")),(IF(AND(Inställningar!$B$6="JA"),(IF(AND(AX39=TRUE,Inställningar!B5="ja"),Inställningar!B17,IF(OR(AND(L35="x",A36=0,A37=0),AND(L27="x",A28=0,A29=0,A30=0),AND(L22="x",A23=0,A24=0,A25=0)),'Tabell alla'!C12,"Tvåan"))))))))),"")</f>
      </c>
      <c r="G39" s="31">
        <f>IF(Inställningar!$B$5="JA","-","")</f>
      </c>
      <c r="H39" s="30">
        <f>IF(OR(AND(L33="x",A34=0,A35=0,A36=0),AND(L29="x",A30=0,A31=0,A32=0),AND(L25="x",A26=0,A27=0,A28=0),Inställningar!$B$5="JA"),(IF(AND(Inställningar!B5="JA",AY39=TRUE),Inställningar!B12,(IF(Inställningar!$B$6="NEJ",(IF(Inställningar!$B$5="JA",(IF(OR(AND(L33="x",A34=0,A35=0,A36=0),AND(L29="x",A30=0,A31=0,A32=0)),Tabell!C15,"Tvåa grupp A")),"")),(IF(AND(Inställningar!$B$6="JA"),(IF(AND(AX39=TRUE,Inställningar!B5="ja"),Inställningar!B17,IF(OR(AND(L35="x",A36=0,A37=0),AND(L27="x",A28=0,A29=0,A30=0),AND(L22="x",A23=0,A24=0,A25=0)),'Tabell alla'!C13,"Trean"))))))))),"")</f>
      </c>
      <c r="I39" s="32"/>
      <c r="J39" s="31">
        <f>IF(Inställningar!$B$5="JA","-","")</f>
      </c>
      <c r="L39" s="52"/>
      <c r="AX39" s="34" t="b">
        <f>IF(OR(AND(L35="x",A36=0,A37=0),AND(L27="x",A28=0,A29=0,A30=0),AND(L22="x",A23=0,A24=0,A25=0)),(OR(AND('Tabell alla'!L13='Tabell alla'!L14,'Tabell alla'!K13='Tabell alla'!K14,'Tabell alla'!H13='Tabell alla'!H14),AND('Tabell alla'!L14='Tabell alla'!L15,'Tabell alla'!K14='Tabell alla'!K15,'Tabell alla'!H14='Tabell alla'!H15))),FALSE)</f>
        <v>0</v>
      </c>
      <c r="AY39" s="34" t="b">
        <f>IF(OR(AND(L33="x",A34=0,A35=0,A36=0),AND(L29="x",A30=0,A31=0,A32=0),AND(L25="x",A26=0,A27=0,A28=0)),(OR(AND(Tabell!L14=Tabell!L15,Tabell!K14=Tabell!K15,Tabell!H14=Tabell!H15),AND(Tabell!L15=Tabell!L16,Tabell!K15=Tabell!K16,Tabell!H15=Tabell!H16))),FALSE)</f>
        <v>0</v>
      </c>
    </row>
    <row r="40" spans="1:12" ht="18" customHeight="1">
      <c r="A40" s="49">
        <f>IF(Inställningar!$B$5="JA",Matchnummer!A24,"")</f>
      </c>
      <c r="B40" s="50"/>
      <c r="C40" s="51">
        <f>IF(AND(Inställningar!$B$6="JA",Inställningar!$B$5="JA"),E39+Inställningar!$B$4,IF(Inställningar!$B$5="JA",E39+Inställningar!$B$4,""))</f>
      </c>
      <c r="D40" s="31">
        <f>IF(Inställningar!$B$5="JA","-","")</f>
      </c>
      <c r="E40" s="51">
        <f>IF(AND(Inställningar!$B$6="JA",Inställningar!$B$5="JA"),C40+Inställningar!$B$2,IF(Inställningar!$B$5="JA",C40+Inställningar!$B$2,""))</f>
      </c>
      <c r="F40" s="30">
        <f>IF(Inställningar!$B$5="JA",(IF(AND(L38="X",AND(I38&lt;&gt;"",K38&lt;&gt;"")),(IF(I38&lt;K38,F38,H38)),"Förlorare semi 1")),"")</f>
      </c>
      <c r="G40" s="31">
        <f>IF(Inställningar!$B$5="JA","-","")</f>
      </c>
      <c r="H40" s="30">
        <f>IF(Inställningar!$B$5="JA",(IF(AND(L39="x",AND(I39&lt;&gt;"",K39&lt;&gt;"")),(IF(I39&lt;K39,F39,H39)),"Förlorare semi 2")),"")</f>
      </c>
      <c r="I40" s="32"/>
      <c r="J40" s="31">
        <f>IF(Inställningar!$B$5="JA","-","")</f>
      </c>
      <c r="L40" s="52"/>
    </row>
    <row r="41" spans="1:12" ht="18" customHeight="1">
      <c r="A41" s="49">
        <f>IF(Inställningar!$B$5="JA",Matchnummer!A25,"")</f>
      </c>
      <c r="B41" s="50"/>
      <c r="C41" s="51">
        <f>IF(AND(Inställningar!$B$6="JA",Inställningar!$B$5="JA"),E40+Inställningar!$B$3,IF(Inställningar!$B$5="JA",E40+Inställningar!$B$3,""))</f>
      </c>
      <c r="D41" s="31">
        <f>IF(Inställningar!$B$5="JA","-","")</f>
      </c>
      <c r="E41" s="51">
        <f>IF(AND(Inställningar!$B$6="JA",Inställningar!$B$5="JA"),C41+Inställningar!$B$2,IF(Inställningar!$B$5="JA",C41+Inställningar!$B$2,""))</f>
      </c>
      <c r="F41" s="30">
        <f>IF(Inställningar!$B$5="JA",(IF(AND(L38="X",AND(I38&lt;&gt;"",K38&lt;&gt;"")),(IF(I38&gt;K38,F38,H38)),"Vinnare semi 1")),"")</f>
      </c>
      <c r="G41" s="31">
        <f>IF(Inställningar!$B$5="JA","-","")</f>
      </c>
      <c r="H41" s="30">
        <f>IF(Inställningar!$B$5="JA",(IF(AND(L39="X",AND(I39&lt;&gt;"",K39&lt;&gt;"")),(IF(I39&gt;K39,F39,H39)),"Vinnare semi 2")),"")</f>
      </c>
      <c r="I41" s="32"/>
      <c r="J41" s="31">
        <f>IF(Inställningar!$B$5="JA","-","")</f>
      </c>
      <c r="L41" s="52"/>
    </row>
    <row r="42" spans="1:12" ht="18" customHeight="1">
      <c r="A42" s="49"/>
      <c r="B42" s="50"/>
      <c r="C42" s="51"/>
      <c r="E42" s="51"/>
      <c r="F42" s="15"/>
      <c r="G42" s="31"/>
      <c r="I42" s="32"/>
      <c r="J42" s="31"/>
      <c r="L42" s="52"/>
    </row>
    <row r="43" spans="1:10" ht="26.25" customHeight="1">
      <c r="A43" s="54">
        <f>+IF(AND(L41="X",L40="X",L39="X",L38="X",Inställningar!B5="JA"),"Slutresultat","")</f>
      </c>
      <c r="B43" s="63"/>
      <c r="G43" s="54">
        <f>+IF(AND(L41="X",L40="X",L39="X",L38="X",Inställningar!B5="JA",Inställningar!B7="JA"),"Cupens lirare","")</f>
      </c>
      <c r="H43" s="34"/>
      <c r="I43" s="32"/>
      <c r="J43" s="30"/>
    </row>
    <row r="44" spans="1:12" ht="23.25" customHeight="1">
      <c r="A44" s="56">
        <f>+IF(AND(L41="X",L40="X",L39="X",L38="X",Inställningar!B5="JA"),"Vinnare","")</f>
      </c>
      <c r="B44" s="57"/>
      <c r="C44" s="58">
        <f>IF(AND(L41="X",L40="X",L39="X",L38="X",OR(I40&gt;0,K40&gt;0),OR(I41&gt;0,K41&gt;0)),(IF(I41&gt;K41,F41,H41)),"")</f>
      </c>
      <c r="D44" s="58"/>
      <c r="E44" s="58"/>
      <c r="F44" s="58"/>
      <c r="G44" s="29">
        <f>+IF(AND(L41="X",L40="X",L39="X",L38="X",Inställningar!B5="JA",Inställningar!B7="JA"),"Namn:","")</f>
      </c>
      <c r="H44" s="122"/>
      <c r="I44" s="122"/>
      <c r="J44" s="122"/>
      <c r="K44" s="122"/>
      <c r="L44" s="59"/>
    </row>
    <row r="45" spans="1:12" ht="23.25" customHeight="1">
      <c r="A45" s="56">
        <f>+IF(AND(L41="X",L40="X",L39="X",L38="X",Inställningar!B5="JA"),"Tvåa","")</f>
      </c>
      <c r="B45" s="57"/>
      <c r="C45" s="58">
        <f>+IF(AND(L41="X",L40="X",L39="X",L38="X",OR(I41&gt;0,K41&gt;0),OR(I40&gt;0,K40&gt;0)),(IF(I41&lt;K41,F41,H41)),"")</f>
      </c>
      <c r="D45" s="58"/>
      <c r="E45" s="58"/>
      <c r="F45" s="58"/>
      <c r="G45" s="29">
        <f>+IF(AND(L41="X",L40="X",L39="X",L38="X",Inställningar!B5="JA",Inställningar!B7="JA"),"Klubb:","")</f>
      </c>
      <c r="H45" s="122"/>
      <c r="I45" s="122"/>
      <c r="J45" s="122"/>
      <c r="K45" s="122"/>
      <c r="L45" s="59"/>
    </row>
    <row r="46" spans="1:12" ht="23.25" customHeight="1">
      <c r="A46" s="56">
        <f>+IF(AND(L41="X",L40="X",L39="X",L38="X",Inställningar!B5="JA"),"Trea","")</f>
      </c>
      <c r="B46" s="57"/>
      <c r="C46" s="58">
        <f>+IF(AND(L41="X",L40="X",L39="X",L38="X",OR(I41&gt;0,K41&gt;0),OR(I40&gt;0,K40&gt;0)),(IF(I40&gt;K40,F40,H40)),"")</f>
      </c>
      <c r="D46" s="58"/>
      <c r="E46" s="58"/>
      <c r="F46" s="58"/>
      <c r="G46" s="58"/>
      <c r="J46" s="30"/>
      <c r="K46" s="30"/>
      <c r="L46" s="30"/>
    </row>
    <row r="47" spans="1:12" ht="23.25" customHeight="1">
      <c r="A47" s="60">
        <f>+IF(AND(L41="X",L40="X",L39="X",L38="X",Inställningar!B5="JA"),"Fyra","")</f>
      </c>
      <c r="B47" s="61"/>
      <c r="C47" s="58">
        <f>++IF(AND(L41="X",L40="X",L39="X",L38="X",OR(I41&gt;0,K41&gt;0),OR(I40&gt;0,K40&gt;0)),(IF(I40&lt;K40,F40,H40)),"")</f>
      </c>
      <c r="D47" s="58"/>
      <c r="E47" s="58"/>
      <c r="F47" s="58"/>
      <c r="G47" s="58"/>
      <c r="J47" s="30"/>
      <c r="K47" s="30"/>
      <c r="L47" s="30"/>
    </row>
    <row r="48" spans="1:12" ht="12.75" customHeight="1" hidden="1">
      <c r="A48" s="49">
        <f>+IF(Vakant!AX48&gt;0,Vakant!AX48,"")</f>
      </c>
      <c r="B48" s="49"/>
      <c r="C48" s="51"/>
      <c r="D48" s="51"/>
      <c r="E48" s="51"/>
      <c r="F48" s="30">
        <f>IF(OR(A48&lt;=20,A48="semifinal 1",A48="semifinal 2",A48="3:e pris",A48="final"),(VLOOKUP(A48,Vakant!$A$10:$G$51,5,FALSE)),"")</f>
      </c>
      <c r="G48" s="31">
        <f>+IF((OR(A48&lt;=20,A48="semifinal 1",A48="semifinal 2",A48="3:e pris",A48="final")),"-","")</f>
      </c>
      <c r="H48" s="30">
        <f>+IF(OR(A48&lt;=20,A48="semifinal 1",A48="semifinal 2",A48="3:e pris",A48="final"),(VLOOKUP(A48,Vakant!$A$10:$G$51,7,FALSE)),"")</f>
      </c>
      <c r="J48" s="31">
        <f>+IF((OR(A48&lt;=20,A48="semifinal 1",A48="semifinal 2",A48="3:e pris",A48="final")),"-","")</f>
      </c>
      <c r="K48" s="30"/>
      <c r="L48" s="30"/>
    </row>
    <row r="49" spans="1:12" ht="12.75" customHeight="1" hidden="1">
      <c r="A49" s="49">
        <f>+IF(Vakant!AX49&gt;0,Vakant!AX49,"")</f>
      </c>
      <c r="B49" s="49"/>
      <c r="C49" s="51"/>
      <c r="D49" s="51"/>
      <c r="E49" s="51"/>
      <c r="F49" s="30">
        <f>IF(OR(A49&lt;=20,A49="semifinal 1",A49="semifinal 2",A49="3:e pris",A49="final"),(VLOOKUP(A49,Vakant!$A$10:$G$51,5,FALSE)),"")</f>
      </c>
      <c r="G49" s="31">
        <f>+IF((OR(A49&lt;=20,A49="semifinal 1",A49="semifinal 2",A49="3:e pris",A49="final")),"-","")</f>
      </c>
      <c r="H49" s="30">
        <f>+IF(OR(A49&lt;=20,A49="semifinal 1",A49="semifinal 2",A49="3:e pris",A49="final"),(VLOOKUP(A49,Vakant!$A$10:$G$51,7,FALSE)),"")</f>
      </c>
      <c r="J49" s="31">
        <f>+IF((OR(A49&lt;=20,A49="semifinal 1",A49="semifinal 2",A49="3:e pris",A49="final")),"-","")</f>
      </c>
      <c r="K49" s="30"/>
      <c r="L49" s="30"/>
    </row>
    <row r="50" spans="1:12" ht="12.75" customHeight="1" hidden="1">
      <c r="A50" s="49">
        <f>+IF(Vakant!AX50&gt;0,Vakant!AX50,"")</f>
      </c>
      <c r="B50" s="49"/>
      <c r="C50" s="51"/>
      <c r="D50" s="51"/>
      <c r="E50" s="51"/>
      <c r="F50" s="30">
        <f>IF(OR(A50&lt;=20,A50="semifinal 1",A50="semifinal 2",A50="3:e pris",A50="final"),(VLOOKUP(A50,Vakant!$A$10:$G$51,5,FALSE)),"")</f>
      </c>
      <c r="G50" s="31">
        <f>+IF((OR(A50&lt;=20,A50="semifinal 1",A50="semifinal 2",A50="3:e pris",A50="final")),"-","")</f>
      </c>
      <c r="H50" s="30">
        <f>+IF(OR(A50&lt;=20,A50="semifinal 1",A50="semifinal 2",A50="3:e pris",A50="final"),(VLOOKUP(A50,Vakant!$A$10:$G$51,7,FALSE)),"")</f>
      </c>
      <c r="J50" s="31">
        <f>+IF((OR(A50&lt;=20,A50="semifinal 1",A50="semifinal 2",A50="3:e pris",A50="final")),"-","")</f>
      </c>
      <c r="K50" s="30"/>
      <c r="L50" s="30"/>
    </row>
    <row r="51" spans="1:12" ht="12.75" customHeight="1" hidden="1">
      <c r="A51" s="49">
        <f>+IF(Vakant!AX51&gt;0,Vakant!AX51,"")</f>
      </c>
      <c r="B51" s="49"/>
      <c r="C51" s="51"/>
      <c r="D51" s="51"/>
      <c r="E51" s="51"/>
      <c r="F51" s="30">
        <f>IF(OR(A51&lt;=20,A51="semifinal 1",A51="semifinal 2",A51="3:e pris",A51="final"),(VLOOKUP(A51,Vakant!$A$10:$G$51,5,FALSE)),"")</f>
      </c>
      <c r="G51" s="31">
        <f>+IF((OR(A51&lt;=20,A51="semifinal 1",A51="semifinal 2",A51="3:e pris",A51="final")),"-","")</f>
      </c>
      <c r="H51" s="30">
        <f>+IF(OR(A51&lt;=20,A51="semifinal 1",A51="semifinal 2",A51="3:e pris",A51="final"),(VLOOKUP(A51,Vakant!$A$10:$G$51,7,FALSE)),"")</f>
      </c>
      <c r="J51" s="31">
        <f>+IF((OR(A51&lt;=20,A51="semifinal 1",A51="semifinal 2",A51="3:e pris",A51="final")),"-","")</f>
      </c>
      <c r="K51" s="30"/>
      <c r="L51" s="30"/>
    </row>
  </sheetData>
  <sheetProtection/>
  <mergeCells count="5">
    <mergeCell ref="L1:L3"/>
    <mergeCell ref="L4:L6"/>
    <mergeCell ref="I9:K9"/>
    <mergeCell ref="H44:K44"/>
    <mergeCell ref="H45:K45"/>
  </mergeCells>
  <conditionalFormatting sqref="E10:E37">
    <cfRule type="cellIs" priority="1" dxfId="1" operator="equal" stopIfTrue="1">
      <formula>$E9</formula>
    </cfRule>
  </conditionalFormatting>
  <conditionalFormatting sqref="C10:C37">
    <cfRule type="cellIs" priority="2" dxfId="1" operator="equal" stopIfTrue="1">
      <formula>C9</formula>
    </cfRule>
  </conditionalFormatting>
  <conditionalFormatting sqref="A10:A37">
    <cfRule type="cellIs" priority="3" dxfId="1" operator="equal" stopIfTrue="1">
      <formula>0</formula>
    </cfRule>
  </conditionalFormatting>
  <printOptions/>
  <pageMargins left="0.6298611111111111" right="0.2361111111111111" top="0.9402777777777778" bottom="0.5513888888888889" header="0.27569444444444446" footer="0.5513888888888889"/>
  <pageSetup fitToHeight="1" fitToWidth="1" horizontalDpi="300" verticalDpi="300" orientation="portrait" paperSize="9"/>
  <headerFooter alignWithMargins="0">
    <oddHeader>&amp;C&amp;24&amp;E&amp;F</oddHeader>
    <oddFooter>&amp;R&amp;8&amp;D Carola Sääski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20"/>
  <dimension ref="A1:L23"/>
  <sheetViews>
    <sheetView showGridLines="0" zoomScalePageLayoutView="0" workbookViewId="0" topLeftCell="A13">
      <selection activeCell="A13" sqref="A13"/>
    </sheetView>
  </sheetViews>
  <sheetFormatPr defaultColWidth="0" defaultRowHeight="12.75" customHeight="1" zeroHeight="1"/>
  <cols>
    <col min="1" max="1" width="1.1484375" style="64" customWidth="1"/>
    <col min="2" max="2" width="3.28125" style="64" customWidth="1"/>
    <col min="3" max="3" width="21.57421875" style="64" customWidth="1"/>
    <col min="4" max="8" width="13.00390625" style="64" customWidth="1"/>
    <col min="9" max="9" width="1.57421875" style="64" customWidth="1"/>
    <col min="10" max="12" width="13.00390625" style="64" customWidth="1"/>
    <col min="13" max="13" width="7.140625" style="52" customWidth="1"/>
    <col min="14" max="15" width="0" style="52" hidden="1" customWidth="1"/>
    <col min="16" max="16384" width="0" style="64" hidden="1" customWidth="1"/>
  </cols>
  <sheetData>
    <row r="1" spans="2:12" s="42" customFormat="1" ht="12.75" customHeight="1" hidden="1">
      <c r="B1" s="29"/>
      <c r="C1" s="65"/>
      <c r="D1" s="29" t="s">
        <v>62</v>
      </c>
      <c r="E1" s="29" t="s">
        <v>63</v>
      </c>
      <c r="F1" s="29" t="s">
        <v>64</v>
      </c>
      <c r="G1" s="29" t="s">
        <v>65</v>
      </c>
      <c r="H1" s="29" t="s">
        <v>66</v>
      </c>
      <c r="I1" s="29"/>
      <c r="J1" s="29" t="s">
        <v>67</v>
      </c>
      <c r="K1" s="29" t="s">
        <v>68</v>
      </c>
      <c r="L1" s="29" t="s">
        <v>69</v>
      </c>
    </row>
    <row r="2" spans="1:12" ht="12.75" customHeight="1" hidden="1">
      <c r="A2" s="1" t="s">
        <v>70</v>
      </c>
      <c r="B2" s="66" t="str">
        <f>+Grupper!A1</f>
        <v>A1</v>
      </c>
      <c r="C2" s="67" t="str">
        <f>IF(Inställningar!$B$6="Nej",IF(Grupper!B1="vakant","",Grupper!B1),0)</f>
        <v>Svalövs BK 2</v>
      </c>
      <c r="D2" s="68">
        <f>+IF(Inställningar!$B$6="NEJ",IF(Grupper!B1="vakant","",COUNTIF(Schema!M:M,"SANT")),0)</f>
        <v>0</v>
      </c>
      <c r="E2" s="68">
        <f>+IF(Inställningar!$B$6="NEJ",IF(Grupper!B1="vakant","",COUNTIF(Schema!AK:AK,"sant")),0)</f>
        <v>0</v>
      </c>
      <c r="F2" s="68">
        <f>+IF(Inställningar!$B$6="NEJ",IF(Grupper!B1="vakant","",COUNTIF(Schema!Y:Y,"sant")),0)</f>
        <v>0</v>
      </c>
      <c r="G2" s="69">
        <f>IF(Inställningar!$B$6="Nej",IF(Grupper!B1="vakant","",D2+E2+F2),0)</f>
        <v>0</v>
      </c>
      <c r="H2" s="70">
        <f>IF(Inställningar!$B$6="Nej",IF(Grupper!B1="vakant",0,(SUMIF(Schema!$F$10:$F$37,Tabell!C2,Schema!$I$10:$I$37)+SUMIF(Schema!$H$10:$H$37,Tabell!C2,Schema!$K$10:$K$37))),0)</f>
        <v>0</v>
      </c>
      <c r="I2" s="71" t="s">
        <v>56</v>
      </c>
      <c r="J2" s="72">
        <f>IF(Inställningar!$B$6="Nej",IF(Grupper!B1="vakant",0,SUMIF(Schema!$F$10:$F$37,Tabell!C2,Schema!$K$10:$K$37)+SUMIF(Schema!$H$10:$H$37,Tabell!C2,Schema!$I$10:$I$37)),0)</f>
        <v>0</v>
      </c>
      <c r="K2" s="69">
        <f>IF(Grupper!B1="vakant","",H2-J2)</f>
        <v>0</v>
      </c>
      <c r="L2" s="69">
        <f>IF(Grupper!B1="vakant",-100,D2*3+E2*1+F2*0)</f>
        <v>0</v>
      </c>
    </row>
    <row r="3" spans="1:12" ht="12.75" customHeight="1" hidden="1">
      <c r="A3" s="1"/>
      <c r="B3" s="73" t="str">
        <f>+Grupper!A2</f>
        <v>A2</v>
      </c>
      <c r="C3" s="74" t="str">
        <f>IF(Inställningar!$B$6="Nej",IF(Grupper!B2="vakant","",Grupper!B2),0)</f>
        <v>Dösjöbro IF 1</v>
      </c>
      <c r="D3" s="75">
        <f>+IF(Inställningar!$B$6="NEJ",IF(Grupper!B2="vakant","",COUNTIF(Schema!N:N,"SANT")),0)</f>
        <v>0</v>
      </c>
      <c r="E3" s="75">
        <f>+IF(Inställningar!$B$6="NEJ",IF(Grupper!B2="vakant","",COUNTIF(Schema!AL:AL,"sant")),0)</f>
        <v>0</v>
      </c>
      <c r="F3" s="75">
        <f>+IF(Inställningar!$B$6="NEJ",IF(Grupper!B2="vakant","",COUNTIF(Schema!Z:Z,"sant")),0)</f>
        <v>0</v>
      </c>
      <c r="G3" s="76">
        <f>IF(Inställningar!$B$6="Nej",IF(Grupper!B2="vakant","",D3+E3+F3),0)</f>
        <v>0</v>
      </c>
      <c r="H3" s="77">
        <f>IF(Inställningar!$B$6="Nej",IF(Grupper!B2="vakant",0,(SUMIF(Schema!$F$10:$F$37,Tabell!C3,Schema!$I$10:$I$37)+SUMIF(Schema!$H$10:$H$37,Tabell!C3,Schema!$K$10:$K$37))),0)</f>
        <v>0</v>
      </c>
      <c r="I3" s="78" t="s">
        <v>56</v>
      </c>
      <c r="J3" s="79">
        <f>IF(Inställningar!$B$6="Nej",IF(Grupper!B2="vakant",0,SUMIF(Schema!$F$10:$F$37,Tabell!C3,Schema!$K$10:$K$37)+SUMIF(Schema!$H$10:$H$37,Tabell!C3,Schema!$I$10:$I$37)),0)</f>
        <v>0</v>
      </c>
      <c r="K3" s="76">
        <f>IF(Grupper!B2="vakant","",H3-J3)</f>
        <v>0</v>
      </c>
      <c r="L3" s="76">
        <f>IF(Grupper!B2="vakant",-100,D3*3+E3*1+F3*0)</f>
        <v>0</v>
      </c>
    </row>
    <row r="4" spans="1:12" ht="12.75" customHeight="1" hidden="1">
      <c r="A4" s="1"/>
      <c r="B4" s="73" t="str">
        <f>+Grupper!A3</f>
        <v>A3</v>
      </c>
      <c r="C4" s="74" t="str">
        <f>IF(Inställningar!$B$6="Nej",IF(Grupper!B3="vakant","",Grupper!B3),0)</f>
        <v>IK Wormo</v>
      </c>
      <c r="D4" s="75">
        <f>+IF(Inställningar!$B$6="NEJ",IF(Grupper!B3="vakant","",COUNTIF(Schema!O:O,"SANT")),0)</f>
        <v>0</v>
      </c>
      <c r="E4" s="75">
        <f>+IF(Inställningar!$B$6="NEJ",IF(Grupper!B3="vakant","",COUNTIF(Schema!AM:AM,"sant")),0)</f>
        <v>0</v>
      </c>
      <c r="F4" s="75">
        <f>+IF(Inställningar!$B$6="NEJ",IF(Grupper!B3="vakant","",COUNTIF(Schema!AA:AA,"sant")),0)</f>
        <v>0</v>
      </c>
      <c r="G4" s="76">
        <f>IF(Inställningar!$B$6="Nej",IF(Grupper!B3="vakant","",D4+E4+F4),0)</f>
        <v>0</v>
      </c>
      <c r="H4" s="77">
        <f>IF(Inställningar!$B$6="Nej",IF(Grupper!B3="vakant",0,(SUMIF(Schema!$F$10:$F$37,Tabell!C4,Schema!$I$10:$I$37)+SUMIF(Schema!$H$10:$H$37,Tabell!C4,Schema!$K$10:$K$37))),0)</f>
        <v>0</v>
      </c>
      <c r="I4" s="78" t="s">
        <v>56</v>
      </c>
      <c r="J4" s="79">
        <f>IF(Inställningar!$B$6="Nej",IF(Grupper!B3="vakant",0,SUMIF(Schema!$F$10:$F$37,Tabell!C4,Schema!$K$10:$K$37)+SUMIF(Schema!$H$10:$H$37,Tabell!C4,Schema!$I$10:$I$37)),0)</f>
        <v>0</v>
      </c>
      <c r="K4" s="76">
        <f>IF(Grupper!B3="vakant","",H4-J4)</f>
        <v>0</v>
      </c>
      <c r="L4" s="76">
        <f>IF(Grupper!B3="vakant",-100,D4*3+E4*1+F4*0)</f>
        <v>0</v>
      </c>
    </row>
    <row r="5" spans="1:12" ht="12.75" customHeight="1" hidden="1">
      <c r="A5" s="1"/>
      <c r="B5" s="73" t="str">
        <f>+Grupper!A4</f>
        <v>A4</v>
      </c>
      <c r="C5" s="74" t="str">
        <f>IF(Inställningar!$B$6="Nej",IF(Grupper!B4="vakant","",Grupper!B4),0)</f>
        <v>Häljarps IF 2</v>
      </c>
      <c r="D5" s="75">
        <f>+IF(Inställningar!$B$6="NEJ",IF(Grupper!B4="vakant","",COUNTIF(Schema!P:P,"SANT")),0)</f>
        <v>0</v>
      </c>
      <c r="E5" s="75">
        <f>+IF(Inställningar!$B$6="NEJ",IF(Grupper!B4="vakant","",COUNTIF(Schema!AN:AN,"sant")),0)</f>
        <v>0</v>
      </c>
      <c r="F5" s="75">
        <f>+IF(Inställningar!$B$6="NEJ",IF(Grupper!B4="vakant","",COUNTIF(Schema!AB:AB,"sant")),0)</f>
        <v>0</v>
      </c>
      <c r="G5" s="76">
        <f>IF(Inställningar!$B$6="Nej",IF(Grupper!B4="vakant","",D5+E5+F5),0)</f>
        <v>0</v>
      </c>
      <c r="H5" s="77">
        <f>IF(Inställningar!$B$6="Nej",IF(Grupper!B4="vakant",0,(SUMIF(Schema!$F$10:$F$37,Tabell!C5,Schema!$I$10:$I$37)+SUMIF(Schema!$H$10:$H$37,Tabell!C5,Schema!$K$10:$K$37))),0)</f>
        <v>0</v>
      </c>
      <c r="I5" s="78" t="s">
        <v>56</v>
      </c>
      <c r="J5" s="79">
        <f>IF(Inställningar!$B$6="Nej",IF(Grupper!B4="vakant",0,SUMIF(Schema!$F$10:$F$37,Tabell!C5,Schema!$K$10:$K$37)+SUMIF(Schema!$H$10:$H$37,Tabell!C5,Schema!$I$10:$I$37)),0)</f>
        <v>0</v>
      </c>
      <c r="K5" s="76">
        <f>IF(Grupper!B4="vakant","",H5-J5)</f>
        <v>0</v>
      </c>
      <c r="L5" s="76">
        <f>IF(Grupper!B4="vakant",-100,D5*3+E5*1+F5*0)</f>
        <v>0</v>
      </c>
    </row>
    <row r="6" spans="1:12" ht="12.75" customHeight="1" hidden="1">
      <c r="A6" s="1"/>
      <c r="B6" s="80" t="str">
        <f>+Grupper!A5</f>
        <v>A5</v>
      </c>
      <c r="C6" s="81" t="str">
        <f>IF(Inställningar!$B$6="Nej",IF(Grupper!B5="vakant","",Grupper!B5),0)</f>
        <v>Åstorps FF 1</v>
      </c>
      <c r="D6" s="82">
        <f>+IF(Inställningar!$B$6="NEJ",IF(Grupper!B5="vakant","",COUNTIF(Schema!Q:Q,"SANT")),0)</f>
        <v>0</v>
      </c>
      <c r="E6" s="82">
        <f>+IF(Inställningar!$B$6="NEJ",IF(Grupper!B5="vakant","",COUNTIF(Schema!AO:AO,"sant")),0)</f>
        <v>0</v>
      </c>
      <c r="F6" s="82">
        <f>+IF(Inställningar!$B$6="NEJ",IF(Grupper!B5="vakant","",COUNTIF(Schema!AC:AC,"sant")),0)</f>
        <v>0</v>
      </c>
      <c r="G6" s="83">
        <f>IF(Inställningar!$B$6="Nej",IF(Grupper!B5="vakant","",D6+E6+F6),0)</f>
        <v>0</v>
      </c>
      <c r="H6" s="84">
        <f>IF(Inställningar!$B$6="Nej",IF(Grupper!B5="vakant",0,(SUMIF(Schema!$F$10:$F$37,Tabell!C6,Schema!$I$10:$I$37)+SUMIF(Schema!$H$10:$H$37,Tabell!C6,Schema!$K$10:$K$37))),0)</f>
        <v>0</v>
      </c>
      <c r="I6" s="85" t="s">
        <v>56</v>
      </c>
      <c r="J6" s="86">
        <f>IF(Inställningar!$B$6="Nej",IF(Grupper!B5="vakant",0,SUMIF(Schema!$F$10:$F$37,Tabell!C6,Schema!$K$10:$K$37)+SUMIF(Schema!$H$10:$H$37,Tabell!C6,Schema!$I$10:$I$37)),0)</f>
        <v>0</v>
      </c>
      <c r="K6" s="83">
        <f>IF(Grupper!B5="vakant","",H6-J6)</f>
        <v>0</v>
      </c>
      <c r="L6" s="83">
        <f>IF(Grupper!B5="vakant",-100,D6*3+E6*1+F6*0)</f>
        <v>0</v>
      </c>
    </row>
    <row r="7" spans="1:12" ht="12.75" customHeight="1" hidden="1">
      <c r="A7" s="1" t="s">
        <v>71</v>
      </c>
      <c r="B7" s="87" t="str">
        <f>+Grupper!A6</f>
        <v>A6</v>
      </c>
      <c r="C7" s="88" t="str">
        <f>IF(Inställningar!$B$6="Nej",IF(Grupper!B8="vakant","",Grupper!B8),0)</f>
        <v>Häljarps IF 1</v>
      </c>
      <c r="D7" s="89">
        <f>+IF(Inställningar!$B$6="NEJ",IF(Grupper!B8="vakant","",COUNTIF(Schema!T:T,"SANT")),0)</f>
        <v>0</v>
      </c>
      <c r="E7" s="89">
        <f>+IF(Inställningar!$B$6="NEJ",IF(Grupper!B8="vakant","",COUNTIF(Schema!AR:AR,"sant")),0)</f>
        <v>0</v>
      </c>
      <c r="F7" s="89">
        <f>+IF(Inställningar!$B$6="NEJ",IF(Grupper!B8="vakant","",COUNTIF(Schema!AF:AF,"sant")),0)</f>
        <v>0</v>
      </c>
      <c r="G7" s="90">
        <f>IF(Inställningar!$B$6="nej",IF(Grupper!B8="vakant","",D7+E7+F7),0)</f>
        <v>0</v>
      </c>
      <c r="H7" s="91">
        <f>IF(Inställningar!$B$6="Nej",IF(Grupper!B6="vakant",0,(SUMIF(Schema!$F$10:$F$37,Tabell!C7,Schema!$I$10:$I$37)+SUMIF(Schema!$H$10:$H$37,Tabell!C7,Schema!$K$10:$K$37))),0)</f>
        <v>0</v>
      </c>
      <c r="I7" s="92" t="s">
        <v>56</v>
      </c>
      <c r="J7" s="93">
        <f>IF(Inställningar!$B$6="Nej",IF(Grupper!B6="vakant",0,SUMIF(Schema!$F$10:$F$37,Tabell!C7,Schema!$K$10:$K$37)+SUMIF(Schema!$H$10:$H$37,Tabell!C7,Schema!$I$10:$I$37)),0)</f>
        <v>0</v>
      </c>
      <c r="K7" s="90">
        <f>IF(Grupper!B8="vakant","",H7-J7)</f>
        <v>0</v>
      </c>
      <c r="L7" s="90">
        <f>IF(Grupper!B8="vakant",-100,D7*3+E7*1+F7*0)</f>
        <v>0</v>
      </c>
    </row>
    <row r="8" spans="1:12" ht="12.75" customHeight="1" hidden="1">
      <c r="A8" s="1"/>
      <c r="B8" s="73" t="str">
        <f>+Grupper!A7</f>
        <v>A7</v>
      </c>
      <c r="C8" s="88" t="str">
        <f>IF(Inställningar!$B$6="Nej",IF(Grupper!B9="vakant","",Grupper!B9),0)</f>
        <v>Dösjöbro IF 2</v>
      </c>
      <c r="D8" s="75">
        <f>+IF(Inställningar!$B$6="NEJ",IF(Grupper!B9="vakant","",COUNTIF(Schema!U:U,"SANT")),0)</f>
        <v>0</v>
      </c>
      <c r="E8" s="75">
        <f>+IF(Inställningar!$B$6="NEJ",IF(Grupper!B9="vakant","",COUNTIF(Schema!AS:AS,"sant")),0)</f>
        <v>0</v>
      </c>
      <c r="F8" s="75">
        <f>+IF(Inställningar!$B$6="NEJ",IF(Grupper!B9="vakant","",COUNTIF(Schema!AG:AG,"sant")),0)</f>
        <v>0</v>
      </c>
      <c r="G8" s="76">
        <f>IF(Inställningar!$B$6="nej",IF(Grupper!B9="vakant","",D8+E8+F8),0)</f>
        <v>0</v>
      </c>
      <c r="H8" s="77">
        <f>IF(Inställningar!$B$6="Nej",IF(Grupper!B7="vakant",0,(SUMIF(Schema!$F$10:$F$37,Tabell!C8,Schema!$I$10:$I$37)+SUMIF(Schema!$H$10:$H$37,Tabell!C8,Schema!$K$10:$K$37))),0)</f>
        <v>0</v>
      </c>
      <c r="I8" s="78" t="s">
        <v>56</v>
      </c>
      <c r="J8" s="79">
        <f>IF(Inställningar!$B$6="Nej",IF(Grupper!B7="vakant",0,SUMIF(Schema!$F$10:$F$37,Tabell!C8,Schema!$K$10:$K$37)+SUMIF(Schema!$H$10:$H$37,Tabell!C8,Schema!$I$10:$I$37)),0)</f>
        <v>0</v>
      </c>
      <c r="K8" s="76">
        <f>IF(Grupper!B9="vakant","",H8-J8)</f>
        <v>0</v>
      </c>
      <c r="L8" s="76">
        <f>IF(Grupper!B9="vakant",-100,D8*3+E8*1+F8*0)</f>
        <v>0</v>
      </c>
    </row>
    <row r="9" spans="1:12" ht="12.75" customHeight="1" hidden="1">
      <c r="A9" s="1"/>
      <c r="B9" s="73" t="str">
        <f>+Grupper!A8</f>
        <v>B1</v>
      </c>
      <c r="C9" s="74" t="str">
        <f>IF(Inställningar!$B$6="Nej",IF(Grupper!B10="vakant","",Grupper!B10),0)</f>
        <v>Åstorps FF 2</v>
      </c>
      <c r="D9" s="75">
        <f>+IF(Inställningar!$B$6="NEJ",IF(Grupper!B10="vakant","",COUNTIF(Schema!V:V,"SANT")),0)</f>
        <v>0</v>
      </c>
      <c r="E9" s="75">
        <f>+IF(Inställningar!$B$6="NEJ",IF(Grupper!B10="vakant","",COUNTIF(Schema!AT:AT,"sant")),0)</f>
        <v>0</v>
      </c>
      <c r="F9" s="75">
        <f>+IF(Inställningar!$B$6="NEJ",IF(Grupper!B10="vakant","",COUNTIF(Schema!AH:AH,"sant")),0)</f>
        <v>0</v>
      </c>
      <c r="G9" s="76">
        <f>IF(Inställningar!$B$6="nej",IF(Grupper!B10="vakant","",D9+E9+F9),0)</f>
        <v>0</v>
      </c>
      <c r="H9" s="77">
        <f>IF(Inställningar!$B$6="Nej",IF(Grupper!B8="vakant",0,(SUMIF(Schema!$F$10:$F$37,Tabell!C9,Schema!$I$10:$I$37)+SUMIF(Schema!$H$10:$H$37,Tabell!C9,Schema!$K$10:$K$37))),0)</f>
        <v>0</v>
      </c>
      <c r="I9" s="78" t="str">
        <f>IF(Inställningar!$B$6="NEJ","-","")</f>
        <v>-</v>
      </c>
      <c r="J9" s="79">
        <f>IF(Inställningar!$B$6="Nej",IF(Grupper!B8="vakant",0,SUMIF(Schema!$F$10:$F$37,Tabell!C9,Schema!$K$10:$K$37)+SUMIF(Schema!$H$10:$H$37,Tabell!C9,Schema!$I$10:$I$37)),0)</f>
        <v>0</v>
      </c>
      <c r="K9" s="76">
        <f>IF(Grupper!B10="vakant","",H9-J9)</f>
        <v>0</v>
      </c>
      <c r="L9" s="76">
        <f>IF(Grupper!B10="vakant",-100,D9*3+E9*1+F9*0)</f>
        <v>0</v>
      </c>
    </row>
    <row r="10" spans="1:12" ht="12.75" customHeight="1" hidden="1">
      <c r="A10" s="1"/>
      <c r="B10" s="73" t="str">
        <f>+Grupper!A9</f>
        <v>B2</v>
      </c>
      <c r="C10" s="74" t="str">
        <f>IF(Inställningar!$B$6="Nej",IF(Grupper!B11="vakant","",Grupper!B11),0)</f>
        <v>Billesholms GIF</v>
      </c>
      <c r="D10" s="75">
        <f>+IF(Inställningar!$B$6="NEJ",IF(Grupper!B11="vakant","",COUNTIF(Schema!W:W,"SANT")),0)</f>
        <v>0</v>
      </c>
      <c r="E10" s="75">
        <f>+IF(Inställningar!$B$6="NEJ",IF(Grupper!B11="vakant","",COUNTIF(Schema!AU:AU,"sant")),0)</f>
        <v>0</v>
      </c>
      <c r="F10" s="75">
        <f>+IF(Inställningar!$B$6="NEJ",IF(Grupper!B11="vakant","",COUNTIF(Schema!AI:AI,"sant")),0)</f>
        <v>0</v>
      </c>
      <c r="G10" s="76">
        <f>IF(Inställningar!$B$6="nej",IF(Grupper!B11="vakant","",D10+E10+F10),0)</f>
        <v>0</v>
      </c>
      <c r="H10" s="77">
        <f>IF(Inställningar!$B$6="Nej",IF(Grupper!B9="vakant",0,(SUMIF(Schema!$F$10:$F$37,Tabell!C10,Schema!$I$10:$I$37)+SUMIF(Schema!$H$10:$H$37,Tabell!C10,Schema!$K$10:$K$37))),0)</f>
        <v>0</v>
      </c>
      <c r="I10" s="78" t="str">
        <f>IF(Inställningar!$B$6="NEJ","-","")</f>
        <v>-</v>
      </c>
      <c r="J10" s="79">
        <f>IF(Inställningar!$B$6="Nej",IF(Grupper!B9="vakant",0,SUMIF(Schema!$F$10:$F$37,Tabell!C10,Schema!$K$10:$K$37)+SUMIF(Schema!$H$10:$H$37,Tabell!C10,Schema!$I$10:$I$37)),0)</f>
        <v>0</v>
      </c>
      <c r="K10" s="76">
        <f>IF(Grupper!B11="vakant","",H10-J10)</f>
        <v>0</v>
      </c>
      <c r="L10" s="76">
        <f>IF(Grupper!B11="vakant",-100,D10*3+E10*1+F10*0)</f>
        <v>0</v>
      </c>
    </row>
    <row r="11" spans="1:12" ht="12.75" customHeight="1" hidden="1">
      <c r="A11" s="1"/>
      <c r="B11" s="80" t="str">
        <f>+Grupper!A10</f>
        <v>B3</v>
      </c>
      <c r="C11" s="81" t="str">
        <f>IF(Inställningar!$B$6="Nej",IF(Grupper!B12="vakant","",Grupper!B12),0)</f>
        <v>Svalövs BK 1</v>
      </c>
      <c r="D11" s="82">
        <f>+IF(Inställningar!$B$6="NEJ",IF(Grupper!B12="vakant","",COUNTIF(Schema!X:X,"SANT")),0)</f>
        <v>0</v>
      </c>
      <c r="E11" s="82">
        <f>+IF(Inställningar!$B$6="NEJ",IF(Grupper!B12="vakant","",COUNTIF(Schema!AV:AV,"sant")),0)</f>
        <v>0</v>
      </c>
      <c r="F11" s="82">
        <f>+IF(Inställningar!$B$6="NEJ",IF(Grupper!B12="vakant","",COUNTIF(Schema!AJ:AJ,"sant")),0)</f>
        <v>0</v>
      </c>
      <c r="G11" s="83">
        <f>IF(Inställningar!$B$6="nej",IF(Grupper!B12="vakant","",D11+E11+F11),0)</f>
        <v>0</v>
      </c>
      <c r="H11" s="82">
        <f>IF(Inställningar!$B$6="Nej",IF(Grupper!B10="vakant",0,(SUMIF(Schema!$F$10:$F$37,Tabell!C11,Schema!$I$10:$I$37)+SUMIF(Schema!$H$10:$H$37,Tabell!C11,Schema!$K$10:$K$37))),0)</f>
        <v>0</v>
      </c>
      <c r="I11" s="82" t="str">
        <f>IF(Inställningar!$B$6="NEJ","-","")</f>
        <v>-</v>
      </c>
      <c r="J11" s="86">
        <f>IF(Inställningar!$B$6="Nej",IF(Grupper!B10="vakant",0,SUMIF(Schema!$F$10:$F$37,Tabell!C11,Schema!$K$10:$K$37)+SUMIF(Schema!$H$10:$H$37,Tabell!C11,Schema!$I$10:$I$37)),0)</f>
        <v>0</v>
      </c>
      <c r="K11" s="83">
        <f>IF(Grupper!B12="vakant","",H11-J11)</f>
        <v>0</v>
      </c>
      <c r="L11" s="83">
        <f>IF(Grupper!B12="vakant",-100,D11*3+E11*1+F11*0)</f>
        <v>0</v>
      </c>
    </row>
    <row r="12" spans="3:12" ht="12.75" customHeight="1" hidden="1">
      <c r="C12" s="94"/>
      <c r="D12" s="95"/>
      <c r="E12" s="95"/>
      <c r="F12" s="95"/>
      <c r="G12" s="95"/>
      <c r="H12" s="52"/>
      <c r="I12" s="95"/>
      <c r="J12" s="52"/>
      <c r="K12" s="52"/>
      <c r="L12" s="52"/>
    </row>
    <row r="13" spans="1:12" ht="29.25" customHeight="1">
      <c r="A13" s="42"/>
      <c r="B13" s="42"/>
      <c r="C13" s="96"/>
      <c r="D13" s="42"/>
      <c r="E13" s="42"/>
      <c r="F13" s="42"/>
      <c r="G13" s="42"/>
      <c r="H13" s="42"/>
      <c r="I13" s="42"/>
      <c r="J13" s="42"/>
      <c r="K13" s="42"/>
      <c r="L13" s="42"/>
    </row>
    <row r="14" spans="1:12" ht="29.25" customHeight="1">
      <c r="A14" s="125"/>
      <c r="B14" s="97" t="s">
        <v>27</v>
      </c>
      <c r="C14" s="98">
        <v>0</v>
      </c>
      <c r="D14" s="68">
        <v>0</v>
      </c>
      <c r="E14" s="68">
        <v>0</v>
      </c>
      <c r="F14" s="68">
        <v>0</v>
      </c>
      <c r="G14" s="99">
        <v>0</v>
      </c>
      <c r="H14" s="100">
        <v>0</v>
      </c>
      <c r="I14" s="68" t="s">
        <v>56</v>
      </c>
      <c r="J14" s="101">
        <v>0</v>
      </c>
      <c r="K14" s="99">
        <v>0</v>
      </c>
      <c r="L14" s="99">
        <v>0</v>
      </c>
    </row>
    <row r="15" spans="1:12" ht="29.25" customHeight="1">
      <c r="A15" s="125"/>
      <c r="B15" s="102" t="s">
        <v>28</v>
      </c>
      <c r="C15" s="103">
        <v>0</v>
      </c>
      <c r="D15" s="75">
        <v>0</v>
      </c>
      <c r="E15" s="75">
        <v>0</v>
      </c>
      <c r="F15" s="75">
        <v>0</v>
      </c>
      <c r="G15" s="104">
        <v>0</v>
      </c>
      <c r="H15" s="105">
        <v>0</v>
      </c>
      <c r="I15" s="75" t="s">
        <v>56</v>
      </c>
      <c r="J15" s="106">
        <v>0</v>
      </c>
      <c r="K15" s="104">
        <v>0</v>
      </c>
      <c r="L15" s="104">
        <v>0</v>
      </c>
    </row>
    <row r="16" spans="1:12" ht="29.25" customHeight="1">
      <c r="A16" s="125"/>
      <c r="B16" s="102" t="s">
        <v>29</v>
      </c>
      <c r="C16" s="103">
        <v>0</v>
      </c>
      <c r="D16" s="75">
        <v>0</v>
      </c>
      <c r="E16" s="75">
        <v>0</v>
      </c>
      <c r="F16" s="75">
        <v>0</v>
      </c>
      <c r="G16" s="104">
        <v>0</v>
      </c>
      <c r="H16" s="105">
        <v>0</v>
      </c>
      <c r="I16" s="75" t="s">
        <v>56</v>
      </c>
      <c r="J16" s="106">
        <v>0</v>
      </c>
      <c r="K16" s="104">
        <v>0</v>
      </c>
      <c r="L16" s="104">
        <v>0</v>
      </c>
    </row>
    <row r="17" spans="1:12" ht="29.25" customHeight="1">
      <c r="A17" s="125"/>
      <c r="B17" s="102" t="s">
        <v>30</v>
      </c>
      <c r="C17" s="103">
        <v>0</v>
      </c>
      <c r="D17" s="75">
        <v>0</v>
      </c>
      <c r="E17" s="75">
        <v>0</v>
      </c>
      <c r="F17" s="75">
        <v>0</v>
      </c>
      <c r="G17" s="104">
        <v>0</v>
      </c>
      <c r="H17" s="105">
        <v>0</v>
      </c>
      <c r="I17" s="75" t="s">
        <v>56</v>
      </c>
      <c r="J17" s="106">
        <v>0</v>
      </c>
      <c r="K17" s="104">
        <v>0</v>
      </c>
      <c r="L17" s="104">
        <v>0</v>
      </c>
    </row>
    <row r="18" spans="1:12" ht="29.25" customHeight="1">
      <c r="A18" s="125"/>
      <c r="B18" s="107" t="s">
        <v>31</v>
      </c>
      <c r="C18" s="108">
        <v>0</v>
      </c>
      <c r="D18" s="82">
        <v>0</v>
      </c>
      <c r="E18" s="82">
        <v>0</v>
      </c>
      <c r="F18" s="82">
        <v>0</v>
      </c>
      <c r="G18" s="109">
        <v>0</v>
      </c>
      <c r="H18" s="110">
        <v>0</v>
      </c>
      <c r="I18" s="82" t="s">
        <v>56</v>
      </c>
      <c r="J18" s="111">
        <v>0</v>
      </c>
      <c r="K18" s="109">
        <v>0</v>
      </c>
      <c r="L18" s="109">
        <v>0</v>
      </c>
    </row>
    <row r="19" spans="1:12" ht="29.25" customHeight="1">
      <c r="A19" s="125"/>
      <c r="B19" s="112" t="s">
        <v>32</v>
      </c>
      <c r="C19" s="113">
        <v>0</v>
      </c>
      <c r="D19" s="89">
        <v>0</v>
      </c>
      <c r="E19" s="89">
        <v>0</v>
      </c>
      <c r="F19" s="89">
        <v>0</v>
      </c>
      <c r="G19" s="114">
        <v>0</v>
      </c>
      <c r="H19" s="115">
        <v>0</v>
      </c>
      <c r="I19" s="89" t="s">
        <v>56</v>
      </c>
      <c r="J19" s="116">
        <v>0</v>
      </c>
      <c r="K19" s="114">
        <v>0</v>
      </c>
      <c r="L19" s="114">
        <v>0</v>
      </c>
    </row>
    <row r="20" spans="1:12" ht="29.25" customHeight="1">
      <c r="A20" s="125"/>
      <c r="B20" s="102" t="s">
        <v>33</v>
      </c>
      <c r="C20" s="103">
        <v>0</v>
      </c>
      <c r="D20" s="75">
        <v>0</v>
      </c>
      <c r="E20" s="75">
        <v>0</v>
      </c>
      <c r="F20" s="75">
        <v>0</v>
      </c>
      <c r="G20" s="104">
        <v>0</v>
      </c>
      <c r="H20" s="105">
        <v>0</v>
      </c>
      <c r="I20" s="75" t="s">
        <v>56</v>
      </c>
      <c r="J20" s="106">
        <v>0</v>
      </c>
      <c r="K20" s="104">
        <v>0</v>
      </c>
      <c r="L20" s="104">
        <v>0</v>
      </c>
    </row>
    <row r="21" spans="1:12" ht="29.25" customHeight="1">
      <c r="A21" s="125"/>
      <c r="B21" s="102" t="s">
        <v>34</v>
      </c>
      <c r="C21" s="103">
        <v>0</v>
      </c>
      <c r="D21" s="75">
        <v>0</v>
      </c>
      <c r="E21" s="75">
        <v>0</v>
      </c>
      <c r="F21" s="75">
        <v>0</v>
      </c>
      <c r="G21" s="104">
        <v>0</v>
      </c>
      <c r="H21" s="105">
        <v>0</v>
      </c>
      <c r="I21" s="75"/>
      <c r="J21" s="106">
        <v>0</v>
      </c>
      <c r="K21" s="104">
        <v>0</v>
      </c>
      <c r="L21" s="104">
        <v>0</v>
      </c>
    </row>
    <row r="22" spans="1:12" ht="29.25" customHeight="1">
      <c r="A22" s="125"/>
      <c r="B22" s="102" t="s">
        <v>35</v>
      </c>
      <c r="C22" s="103">
        <v>0</v>
      </c>
      <c r="D22" s="75">
        <v>0</v>
      </c>
      <c r="E22" s="75">
        <v>0</v>
      </c>
      <c r="F22" s="75">
        <v>0</v>
      </c>
      <c r="G22" s="104">
        <v>0</v>
      </c>
      <c r="H22" s="105">
        <v>0</v>
      </c>
      <c r="I22" s="75"/>
      <c r="J22" s="106">
        <v>0</v>
      </c>
      <c r="K22" s="104">
        <v>0</v>
      </c>
      <c r="L22" s="104">
        <v>0</v>
      </c>
    </row>
    <row r="23" spans="1:12" ht="29.25" customHeight="1">
      <c r="A23" s="125"/>
      <c r="B23" s="107" t="s">
        <v>36</v>
      </c>
      <c r="C23" s="108">
        <v>0</v>
      </c>
      <c r="D23" s="82">
        <v>0</v>
      </c>
      <c r="E23" s="82">
        <v>0</v>
      </c>
      <c r="F23" s="82">
        <v>0</v>
      </c>
      <c r="G23" s="109">
        <v>0</v>
      </c>
      <c r="H23" s="110">
        <v>0</v>
      </c>
      <c r="I23" s="82"/>
      <c r="J23" s="111">
        <v>0</v>
      </c>
      <c r="K23" s="109">
        <v>0</v>
      </c>
      <c r="L23" s="109">
        <v>0</v>
      </c>
    </row>
    <row r="24" ht="29.25" customHeight="1"/>
  </sheetData>
  <sheetProtection sheet="1" objects="1" scenarios="1"/>
  <mergeCells count="2">
    <mergeCell ref="A14:A18"/>
    <mergeCell ref="A19:A23"/>
  </mergeCells>
  <conditionalFormatting sqref="B10:L12">
    <cfRule type="cellIs" priority="1" dxfId="1" operator="equal" stopIfTrue="1">
      <formula>-100</formula>
    </cfRule>
  </conditionalFormatting>
  <conditionalFormatting sqref="B13:L23">
    <cfRule type="cellIs" priority="2" dxfId="1" operator="equal" stopIfTrue="1">
      <formula>-100</formula>
    </cfRule>
  </conditionalFormatting>
  <printOptions horizontalCentered="1" verticalCentered="1"/>
  <pageMargins left="0.27569444444444446" right="0.43333333333333335" top="1.5395833333333333" bottom="0.9840277777777777" header="1.1298611111111112" footer="0.5118055555555555"/>
  <pageSetup horizontalDpi="300" verticalDpi="300" orientation="landscape" paperSize="9"/>
  <headerFooter alignWithMargins="0">
    <oddHeader>&amp;C&amp;"Arial,Fet"&amp;20&amp;EAKTUELL TABELL &amp;F</oddHeader>
    <oddFooter>&amp;R&amp;8&amp;D Carola Sääski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21"/>
  <dimension ref="A1:L17"/>
  <sheetViews>
    <sheetView showGridLines="0" zoomScalePageLayoutView="0" workbookViewId="0" topLeftCell="B10">
      <selection activeCell="C11" sqref="C11"/>
    </sheetView>
  </sheetViews>
  <sheetFormatPr defaultColWidth="0" defaultRowHeight="12.75" customHeight="1" zeroHeight="1"/>
  <cols>
    <col min="1" max="1" width="0" style="64" hidden="1" customWidth="1"/>
    <col min="2" max="2" width="3.28125" style="64" customWidth="1"/>
    <col min="3" max="3" width="20.7109375" style="64" customWidth="1"/>
    <col min="4" max="8" width="13.00390625" style="64" customWidth="1"/>
    <col min="9" max="9" width="1.57421875" style="64" customWidth="1"/>
    <col min="10" max="12" width="13.00390625" style="64" customWidth="1"/>
    <col min="13" max="13" width="7.140625" style="52" customWidth="1"/>
    <col min="14" max="15" width="0" style="52" hidden="1" customWidth="1"/>
    <col min="16" max="16384" width="0" style="64" hidden="1" customWidth="1"/>
  </cols>
  <sheetData>
    <row r="1" spans="2:12" s="42" customFormat="1" ht="12.75" customHeight="1" hidden="1">
      <c r="B1" s="29"/>
      <c r="C1" s="65"/>
      <c r="D1" s="29" t="s">
        <v>62</v>
      </c>
      <c r="E1" s="29" t="s">
        <v>63</v>
      </c>
      <c r="F1" s="29" t="s">
        <v>64</v>
      </c>
      <c r="G1" s="29" t="s">
        <v>65</v>
      </c>
      <c r="H1" s="29" t="s">
        <v>66</v>
      </c>
      <c r="I1" s="29"/>
      <c r="J1" s="29" t="s">
        <v>67</v>
      </c>
      <c r="K1" s="29" t="s">
        <v>68</v>
      </c>
      <c r="L1" s="29" t="s">
        <v>69</v>
      </c>
    </row>
    <row r="2" spans="1:12" ht="12.75" customHeight="1" hidden="1">
      <c r="A2" s="1"/>
      <c r="B2" s="66" t="str">
        <f>+Grupper!A1</f>
        <v>A1</v>
      </c>
      <c r="C2" s="67" t="str">
        <f>IF(Grupper!B1="vakant","",Grupper!B1)</f>
        <v>Svalövs BK 2</v>
      </c>
      <c r="D2" s="70">
        <f>IF(Grupper!B1="vakant","",COUNTIF(Schema!M:M,"sant"))</f>
        <v>0</v>
      </c>
      <c r="E2" s="71">
        <f>IF(Grupper!B1="vakant","",COUNTIF(Schema!AK:AK,"sant"))</f>
        <v>0</v>
      </c>
      <c r="F2" s="72">
        <f>IF(Grupper!B1="vakant","",COUNTIF(Schema!Y:Y,"sant"))</f>
        <v>0</v>
      </c>
      <c r="G2" s="69">
        <f>IF(Grupper!B1="vakant","",D2+E2+F2)</f>
        <v>0</v>
      </c>
      <c r="H2" s="70">
        <f>IF(Grupper!B1="vakant","",(SUMIF(Schema!$F$10:$F$37,'Tabell alla'!C2,Schema!$I$10:$I$37)+SUMIF(Schema!$H$10:$H$37,'Tabell alla'!C2,Schema!$K$10:$K$37)))</f>
        <v>0</v>
      </c>
      <c r="I2" s="71" t="s">
        <v>56</v>
      </c>
      <c r="J2" s="72">
        <f>IF(Grupper!B1="vakant","",SUMIF(Schema!$F$10:$F$37,'Tabell alla'!C2,Schema!$K$10:$K$37)+SUMIF(Schema!$H$10:$H$37,'Tabell alla'!C2,Schema!$I$10:$I$37))</f>
        <v>0</v>
      </c>
      <c r="K2" s="69">
        <f>IF(Grupper!B1="vakant","",H2-J2)</f>
        <v>0</v>
      </c>
      <c r="L2" s="69">
        <f>IF(Grupper!B1="vakant",-100,D2*3+E2*1+F2*0)</f>
        <v>0</v>
      </c>
    </row>
    <row r="3" spans="1:12" ht="12.75" customHeight="1" hidden="1">
      <c r="A3" s="1"/>
      <c r="B3" s="73" t="str">
        <f>+Grupper!A2</f>
        <v>A2</v>
      </c>
      <c r="C3" s="74" t="str">
        <f>IF(Grupper!B2="vakant","",Grupper!B2)</f>
        <v>Dösjöbro IF 1</v>
      </c>
      <c r="D3" s="77">
        <f>IF(Grupper!B2="vakant","",COUNTIF(Schema!N:N,"sant"))</f>
        <v>0</v>
      </c>
      <c r="E3" s="78">
        <f>IF(Grupper!B2="vakant","",COUNTIF(Schema!AL:AL,"sant"))</f>
        <v>0</v>
      </c>
      <c r="F3" s="79">
        <f>IF(Grupper!B2="vakant","",COUNTIF(Schema!Z:Z,"sant"))</f>
        <v>0</v>
      </c>
      <c r="G3" s="76">
        <f>IF(Grupper!B2="vakant","",D3+E3+F3)</f>
        <v>0</v>
      </c>
      <c r="H3" s="77">
        <f>IF(Grupper!B2="vakant","",(SUMIF(Schema!$F$10:$F$37,'Tabell alla'!C3,Schema!$I$10:$I$37)+SUMIF(Schema!$H$10:$H$37,'Tabell alla'!C3,Schema!$K$10:$K$37)))</f>
        <v>0</v>
      </c>
      <c r="I3" s="78" t="s">
        <v>56</v>
      </c>
      <c r="J3" s="79">
        <f>IF(Grupper!B2="vakant","",SUMIF(Schema!$F$10:$F$37,'Tabell alla'!C3,Schema!$K$10:$K$37)+SUMIF(Schema!$H$10:$H$37,'Tabell alla'!C3,Schema!$I$10:$I$37))</f>
        <v>0</v>
      </c>
      <c r="K3" s="76">
        <f>IF(Grupper!B2="vakant","",H3-J3)</f>
        <v>0</v>
      </c>
      <c r="L3" s="76">
        <f>IF(Grupper!B2="vakant",-100,D3*3+E3*1+F3*0)</f>
        <v>0</v>
      </c>
    </row>
    <row r="4" spans="1:12" ht="12.75" customHeight="1" hidden="1">
      <c r="A4" s="1"/>
      <c r="B4" s="73" t="str">
        <f>+Grupper!A3</f>
        <v>A3</v>
      </c>
      <c r="C4" s="74" t="str">
        <f>IF(Grupper!B3="vakant","",Grupper!B3)</f>
        <v>IK Wormo</v>
      </c>
      <c r="D4" s="77">
        <f>IF(Grupper!B3="vakant","",COUNTIF(Schema!O:O,"sant"))</f>
        <v>0</v>
      </c>
      <c r="E4" s="78">
        <f>IF(Grupper!B3="vakant","",COUNTIF(Schema!AM:AM,"sant"))</f>
        <v>0</v>
      </c>
      <c r="F4" s="79">
        <f>IF(Grupper!B3="vakant","",COUNTIF(Schema!AA:AA,"sant"))</f>
        <v>0</v>
      </c>
      <c r="G4" s="76">
        <f>IF(Grupper!B3="vakant","",D4+E4+F4)</f>
        <v>0</v>
      </c>
      <c r="H4" s="77">
        <f>IF(Grupper!B3="vakant","",(SUMIF(Schema!$F$10:$F$37,'Tabell alla'!C4,Schema!$I$10:$I$37)+SUMIF(Schema!$H$10:$H$37,'Tabell alla'!C4,Schema!$K$10:$K$37)))</f>
        <v>0</v>
      </c>
      <c r="I4" s="78" t="s">
        <v>56</v>
      </c>
      <c r="J4" s="79">
        <f>IF(Grupper!B3="vakant","",SUMIF(Schema!$F$10:$F$37,'Tabell alla'!C4,Schema!$K$10:$K$37)+SUMIF(Schema!$H$10:$H$37,'Tabell alla'!C4,Schema!$I$10:$I$37))</f>
        <v>0</v>
      </c>
      <c r="K4" s="76">
        <f>IF(Grupper!B3="vakant","",H4-J4)</f>
        <v>0</v>
      </c>
      <c r="L4" s="76">
        <f>IF(Grupper!B3="vakant",-100,D4*3+E4*1+F4*0)</f>
        <v>0</v>
      </c>
    </row>
    <row r="5" spans="1:12" ht="12.75" customHeight="1" hidden="1">
      <c r="A5" s="1"/>
      <c r="B5" s="73" t="str">
        <f>+Grupper!A4</f>
        <v>A4</v>
      </c>
      <c r="C5" s="74" t="str">
        <f>IF(Grupper!B4="vakant","",Grupper!B4)</f>
        <v>Häljarps IF 2</v>
      </c>
      <c r="D5" s="77">
        <f>IF(Grupper!B4="vakant","",COUNTIF(Schema!P:P,"sant"))</f>
        <v>0</v>
      </c>
      <c r="E5" s="78">
        <f>IF(Grupper!B4="vakant","",COUNTIF(Schema!AN:AN,"sant"))</f>
        <v>0</v>
      </c>
      <c r="F5" s="79">
        <f>IF(Grupper!B4="vakant","",COUNTIF(Schema!AB:AB,"sant"))</f>
        <v>0</v>
      </c>
      <c r="G5" s="76">
        <f>IF(Grupper!B4="vakant","",D5+E5+F5)</f>
        <v>0</v>
      </c>
      <c r="H5" s="77">
        <f>IF(Grupper!B4="vakant","",(SUMIF(Schema!$F$10:$F$37,'Tabell alla'!C5,Schema!$I$10:$I$37)+SUMIF(Schema!$H$10:$H$37,'Tabell alla'!C5,Schema!$K$10:$K$37)))</f>
        <v>0</v>
      </c>
      <c r="I5" s="78" t="s">
        <v>56</v>
      </c>
      <c r="J5" s="79">
        <f>IF(Grupper!B4="vakant","",SUMIF(Schema!$F$10:$F$37,'Tabell alla'!C5,Schema!$K$10:$K$37)+SUMIF(Schema!$H$10:$H$37,'Tabell alla'!C5,Schema!$I$10:$I$37))</f>
        <v>0</v>
      </c>
      <c r="K5" s="76">
        <f>IF(Grupper!B4="vakant","",H5-J5)</f>
        <v>0</v>
      </c>
      <c r="L5" s="76">
        <f>IF(Grupper!B4="vakant",-100,D5*3+E5*1+F5*0)</f>
        <v>0</v>
      </c>
    </row>
    <row r="6" spans="1:12" ht="12.75" customHeight="1" hidden="1">
      <c r="A6" s="1"/>
      <c r="B6" s="73" t="str">
        <f>+Grupper!A5</f>
        <v>A5</v>
      </c>
      <c r="C6" s="74" t="str">
        <f>IF(Grupper!B5="vakant","",Grupper!B5)</f>
        <v>Åstorps FF 1</v>
      </c>
      <c r="D6" s="77">
        <f>IF(Grupper!B5="vakant","",COUNTIF(Schema!Q:Q,"sant"))</f>
        <v>0</v>
      </c>
      <c r="E6" s="78">
        <f>IF(Grupper!B5="vakant","",COUNTIF(Schema!AO:AO,"sant"))</f>
        <v>0</v>
      </c>
      <c r="F6" s="79">
        <f>IF(Grupper!B5="vakant","",COUNTIF(Schema!AC:AC,"sant"))</f>
        <v>0</v>
      </c>
      <c r="G6" s="76">
        <f>IF(Grupper!B5="vakant","",D6+E6+F6)</f>
        <v>0</v>
      </c>
      <c r="H6" s="77">
        <f>IF(Grupper!B5="vakant","",(SUMIF(Schema!$F$10:$F$37,'Tabell alla'!C6,Schema!$I$10:$I$37)+SUMIF(Schema!$H$10:$H$37,'Tabell alla'!C6,Schema!$K$10:$K$37)))</f>
        <v>0</v>
      </c>
      <c r="I6" s="78" t="s">
        <v>56</v>
      </c>
      <c r="J6" s="79">
        <f>IF(Grupper!B5="vakant","",SUMIF(Schema!$F$10:$F$37,'Tabell alla'!C6,Schema!$K$10:$K$37)+SUMIF(Schema!$H$10:$H$37,'Tabell alla'!C6,Schema!$I$10:$I$37))</f>
        <v>0</v>
      </c>
      <c r="K6" s="76">
        <f>IF(Grupper!B5="vakant","",H6-J6)</f>
        <v>0</v>
      </c>
      <c r="L6" s="76">
        <f>IF(Grupper!B5="vakant",-100,D6*3+E6*1+F6*0)</f>
        <v>0</v>
      </c>
    </row>
    <row r="7" spans="1:12" ht="12.75" customHeight="1" hidden="1">
      <c r="A7" s="1"/>
      <c r="B7" s="73" t="str">
        <f>+IF(Inställningar!$B$6="nej",Grupper!A8,Grupper!A6)</f>
        <v>B1</v>
      </c>
      <c r="C7" s="74">
        <f>IF(Grupper!B6="vakant","",Grupper!B6)</f>
        <v>0</v>
      </c>
      <c r="D7" s="77">
        <f>IF(Grupper!B6="vakant","",COUNTIF(Schema!R:R,"sant"))</f>
        <v>0</v>
      </c>
      <c r="E7" s="78">
        <f>IF(Grupper!B6="vakant","",COUNTIF(Schema!AP:AP,"sant"))</f>
        <v>0</v>
      </c>
      <c r="F7" s="79">
        <f>IF(Grupper!B6="vakant","",COUNTIF(Schema!AD:AD,"sant"))</f>
        <v>0</v>
      </c>
      <c r="G7" s="76">
        <f>IF(Grupper!B6="vakant","",D7+E7+F7)</f>
        <v>0</v>
      </c>
      <c r="H7" s="77">
        <f>IF(Grupper!B6="vakant","",(SUMIF(Schema!$F$10:$F$37,'Tabell alla'!C7,Schema!$I$10:$I$37)+SUMIF(Schema!$H$10:$H$37,'Tabell alla'!C7,Schema!$K$10:$K$37)))</f>
        <v>0</v>
      </c>
      <c r="I7" s="78" t="s">
        <v>56</v>
      </c>
      <c r="J7" s="79">
        <f>IF(Grupper!B6="vakant","",SUMIF(Schema!$F$10:$F$37,'Tabell alla'!C7,Schema!$K$10:$K$37)+SUMIF(Schema!$H$10:$H$37,'Tabell alla'!C7,Schema!$I$10:$I$37))</f>
        <v>0</v>
      </c>
      <c r="K7" s="76">
        <f>IF(Grupper!B6="vakant","",H7-J7)</f>
        <v>0</v>
      </c>
      <c r="L7" s="76">
        <f>IF(Grupper!B6="vakant",-100,D7*3+E7*1+F7*0)</f>
        <v>0</v>
      </c>
    </row>
    <row r="8" spans="1:12" ht="12.75" customHeight="1" hidden="1">
      <c r="A8" s="1"/>
      <c r="B8" s="80" t="str">
        <f>+IF(Inställningar!$B$6="nej",Grupper!A9,Grupper!A7)</f>
        <v>B2</v>
      </c>
      <c r="C8" s="117">
        <f>IF(Grupper!B7="vakant","",Grupper!B7)</f>
        <v>0</v>
      </c>
      <c r="D8" s="84">
        <f>IF(Grupper!B7="vakant","",COUNTIF(Schema!S:S,"sant"))</f>
        <v>0</v>
      </c>
      <c r="E8" s="85">
        <f>IF(Grupper!B7="vakant","",COUNTIF(Schema!AQ:AQ,"sant"))</f>
        <v>0</v>
      </c>
      <c r="F8" s="86">
        <f>IF(Grupper!B7="vakant","",COUNTIF(Schema!AE:AE,"sant"))</f>
        <v>0</v>
      </c>
      <c r="G8" s="83">
        <f>IF(Grupper!B7="vakant","",D8+E8+F8)</f>
        <v>0</v>
      </c>
      <c r="H8" s="84">
        <f>IF(Grupper!B7="vakant","",(SUMIF(Schema!$F$10:$F$37,'Tabell alla'!C8,Schema!$I$10:$I$37)+SUMIF(Schema!$H$10:$H$37,'Tabell alla'!C8,Schema!$K$10:$K$37)))</f>
        <v>0</v>
      </c>
      <c r="I8" s="85" t="s">
        <v>56</v>
      </c>
      <c r="J8" s="86">
        <f>IF(Grupper!B7="vakant","",SUMIF(Schema!$F$10:$F$37,'Tabell alla'!C8,Schema!$K$10:$K$37)+SUMIF(Schema!$H$10:$H$37,'Tabell alla'!C8,Schema!$I$10:$I$37))</f>
        <v>0</v>
      </c>
      <c r="K8" s="83">
        <f>IF(Grupper!B7="vakant","",H8-J8)</f>
        <v>0</v>
      </c>
      <c r="L8" s="83">
        <f>IF(Grupper!B7="vakant",-100,D8*3+E8*1+F8*0)</f>
        <v>0</v>
      </c>
    </row>
    <row r="9" spans="3:12" ht="12.75" customHeight="1" hidden="1">
      <c r="C9" s="94"/>
      <c r="D9" s="95"/>
      <c r="E9" s="95"/>
      <c r="F9" s="95"/>
      <c r="G9" s="95"/>
      <c r="H9" s="52"/>
      <c r="I9" s="95"/>
      <c r="J9" s="52"/>
      <c r="K9" s="52"/>
      <c r="L9" s="52"/>
    </row>
    <row r="10" spans="1:12" ht="29.25" customHeight="1">
      <c r="A10" s="42"/>
      <c r="B10" s="42"/>
      <c r="C10" s="96"/>
      <c r="D10" s="42" t="s">
        <v>62</v>
      </c>
      <c r="E10" s="42" t="s">
        <v>63</v>
      </c>
      <c r="F10" s="42" t="s">
        <v>64</v>
      </c>
      <c r="G10" s="42" t="s">
        <v>65</v>
      </c>
      <c r="H10" s="42" t="s">
        <v>66</v>
      </c>
      <c r="I10" s="42"/>
      <c r="J10" s="42" t="s">
        <v>67</v>
      </c>
      <c r="K10" s="42" t="s">
        <v>68</v>
      </c>
      <c r="L10" s="42" t="s">
        <v>69</v>
      </c>
    </row>
    <row r="11" spans="1:12" ht="29.25" customHeight="1">
      <c r="A11" s="1"/>
      <c r="B11" s="97" t="s">
        <v>32</v>
      </c>
      <c r="C11" s="98"/>
      <c r="D11" s="100">
        <v>4</v>
      </c>
      <c r="E11" s="68">
        <v>0</v>
      </c>
      <c r="F11" s="101">
        <v>1</v>
      </c>
      <c r="G11" s="99">
        <v>5</v>
      </c>
      <c r="H11" s="100">
        <v>26</v>
      </c>
      <c r="I11" s="68" t="s">
        <v>56</v>
      </c>
      <c r="J11" s="101">
        <v>7</v>
      </c>
      <c r="K11" s="99">
        <v>19</v>
      </c>
      <c r="L11" s="99">
        <v>12</v>
      </c>
    </row>
    <row r="12" spans="1:12" ht="29.25" customHeight="1">
      <c r="A12" s="1"/>
      <c r="B12" s="102" t="s">
        <v>31</v>
      </c>
      <c r="C12" s="103" t="s">
        <v>72</v>
      </c>
      <c r="D12" s="105">
        <v>3</v>
      </c>
      <c r="E12" s="75">
        <v>1</v>
      </c>
      <c r="F12" s="106">
        <v>1</v>
      </c>
      <c r="G12" s="104">
        <v>5</v>
      </c>
      <c r="H12" s="105">
        <v>11</v>
      </c>
      <c r="I12" s="75" t="s">
        <v>56</v>
      </c>
      <c r="J12" s="106">
        <v>7</v>
      </c>
      <c r="K12" s="104">
        <v>4</v>
      </c>
      <c r="L12" s="104">
        <v>10</v>
      </c>
    </row>
    <row r="13" spans="1:12" ht="29.25" customHeight="1">
      <c r="A13" s="1"/>
      <c r="B13" s="102" t="s">
        <v>27</v>
      </c>
      <c r="C13" s="103" t="s">
        <v>73</v>
      </c>
      <c r="D13" s="105">
        <v>3</v>
      </c>
      <c r="E13" s="75">
        <v>1</v>
      </c>
      <c r="F13" s="106">
        <v>1</v>
      </c>
      <c r="G13" s="104">
        <v>5</v>
      </c>
      <c r="H13" s="105">
        <v>13</v>
      </c>
      <c r="I13" s="75" t="s">
        <v>56</v>
      </c>
      <c r="J13" s="106">
        <v>12</v>
      </c>
      <c r="K13" s="104">
        <v>1</v>
      </c>
      <c r="L13" s="104">
        <v>10</v>
      </c>
    </row>
    <row r="14" spans="1:12" ht="29.25" customHeight="1">
      <c r="A14" s="1"/>
      <c r="B14" s="102" t="s">
        <v>30</v>
      </c>
      <c r="C14" s="103" t="s">
        <v>74</v>
      </c>
      <c r="D14" s="105">
        <v>1</v>
      </c>
      <c r="E14" s="75">
        <v>1</v>
      </c>
      <c r="F14" s="106">
        <v>3</v>
      </c>
      <c r="G14" s="104">
        <v>5</v>
      </c>
      <c r="H14" s="105">
        <v>6</v>
      </c>
      <c r="I14" s="75" t="s">
        <v>56</v>
      </c>
      <c r="J14" s="106">
        <v>9</v>
      </c>
      <c r="K14" s="104">
        <v>-3</v>
      </c>
      <c r="L14" s="104">
        <v>4</v>
      </c>
    </row>
    <row r="15" spans="1:12" ht="29.25" customHeight="1">
      <c r="A15" s="1"/>
      <c r="B15" s="102" t="s">
        <v>28</v>
      </c>
      <c r="C15" s="103" t="s">
        <v>75</v>
      </c>
      <c r="D15" s="105">
        <v>1</v>
      </c>
      <c r="E15" s="75">
        <v>1</v>
      </c>
      <c r="F15" s="106">
        <v>3</v>
      </c>
      <c r="G15" s="104">
        <v>5</v>
      </c>
      <c r="H15" s="105">
        <v>10</v>
      </c>
      <c r="I15" s="75" t="s">
        <v>56</v>
      </c>
      <c r="J15" s="106">
        <v>15</v>
      </c>
      <c r="K15" s="104">
        <v>-5</v>
      </c>
      <c r="L15" s="104">
        <v>4</v>
      </c>
    </row>
    <row r="16" spans="1:12" ht="29.25" customHeight="1">
      <c r="A16" s="1"/>
      <c r="B16" s="102" t="s">
        <v>29</v>
      </c>
      <c r="C16" s="103" t="s">
        <v>76</v>
      </c>
      <c r="D16" s="105">
        <v>1</v>
      </c>
      <c r="E16" s="75">
        <v>0</v>
      </c>
      <c r="F16" s="106">
        <v>4</v>
      </c>
      <c r="G16" s="104">
        <v>5</v>
      </c>
      <c r="H16" s="105">
        <v>7</v>
      </c>
      <c r="I16" s="75" t="s">
        <v>56</v>
      </c>
      <c r="J16" s="106">
        <v>23</v>
      </c>
      <c r="K16" s="104">
        <v>-16</v>
      </c>
      <c r="L16" s="104">
        <v>3</v>
      </c>
    </row>
    <row r="17" spans="1:12" ht="29.25" customHeight="1">
      <c r="A17" s="1"/>
      <c r="B17" s="107" t="s">
        <v>33</v>
      </c>
      <c r="C17" s="118"/>
      <c r="D17" s="110"/>
      <c r="E17" s="82"/>
      <c r="F17" s="111"/>
      <c r="G17" s="109"/>
      <c r="H17" s="110"/>
      <c r="I17" s="82" t="s">
        <v>56</v>
      </c>
      <c r="J17" s="111"/>
      <c r="K17" s="109"/>
      <c r="L17" s="109">
        <v>-100</v>
      </c>
    </row>
    <row r="18" ht="29.25" customHeight="1"/>
  </sheetData>
  <sheetProtection sheet="1" objects="1" scenarios="1"/>
  <conditionalFormatting sqref="B10:L17">
    <cfRule type="cellIs" priority="1" dxfId="1" operator="equal" stopIfTrue="1">
      <formula>-100</formula>
    </cfRule>
  </conditionalFormatting>
  <printOptions horizontalCentered="1" verticalCentered="1"/>
  <pageMargins left="0.27569444444444446" right="0.43333333333333335" top="1.5395833333333333" bottom="0.9840277777777777" header="1.1298611111111112" footer="0.5118055555555555"/>
  <pageSetup horizontalDpi="300" verticalDpi="300" orientation="landscape" paperSize="9"/>
  <headerFooter alignWithMargins="0">
    <oddHeader>&amp;C&amp;"Arial,Fet"&amp;20&amp;EAKTUELL TABELL &amp;F</oddHeader>
    <oddFooter>&amp;R&amp;8&amp;D Carola Sääski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Svalov</dc:creator>
  <cp:keywords/>
  <dc:description/>
  <cp:lastModifiedBy>hans engwall</cp:lastModifiedBy>
  <dcterms:created xsi:type="dcterms:W3CDTF">2014-11-10T14:12:10Z</dcterms:created>
  <dcterms:modified xsi:type="dcterms:W3CDTF">2014-11-17T08:59:22Z</dcterms:modified>
  <cp:category/>
  <cp:version/>
  <cp:contentType/>
  <cp:contentStatus/>
</cp:coreProperties>
</file>