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<sst xmlns="http://schemas.openxmlformats.org/spreadsheetml/2006/main" count="383" uniqueCount="83">
  <si>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</si>
  <si>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</si>
  <si>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</si>
  <si>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</si>
  <si>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</si>
  <si>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</si>
  <si>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</si>
  <si>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</si>
  <si>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</si>
  <si>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</si>
  <si>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</si>
  <si>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</si>
  <si>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</si>
  <si>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</si>
  <si>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</si>
  <si>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</si>
  <si>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</si>
  <si>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</si>
  <si>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</si>
  <si>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</si>
  <si>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</si>
  <si>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</si>
  <si>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</si>
  <si>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</si>
  <si>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</si>
  <si>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</si>
  <si>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</si>
  <si>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</si>
  <si>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</si>
  <si>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</si>
  <si>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</si>
  <si>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</si>
  <si>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</si>
  <si>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</si>
  <si>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</si>
  <si>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</si>
  <si>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</si>
  <si>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</si>
  <si>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</si>
  <si>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</si>
  <si>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</si>
  <si>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</si>
  <si>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</si>
  <si>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</si>
  <si>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</si>
  <si>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</si>
  <si>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</si>
  <si>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</si>
  <si>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</si>
  <si>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</si>
  <si>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</si>
  <si>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</si>
  <si>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</si>
  <si>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</si>
  <si>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</si>
  <si>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</si>
  <si>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</si>
  <si>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</si>
  <si>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</si>
  <si>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</si>
  <si>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</si>
  <si>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</si>
  <si>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</si>
  <si>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</si>
  <si>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</si>
  <si>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</si>
  <si>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</si>
  <si>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</si>
  <si>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</si>
  <si>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</si>
  <si>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</si>
  <si>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</si>
  <si>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</si>
  <si>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Billeberga GIF</t>
  </si>
  <si>
    <t>Kågeröds BoIF 1</t>
  </si>
  <si>
    <t>Kågeröds BoIF 2</t>
  </si>
  <si>
    <t>Linero IF</t>
  </si>
  <si>
    <t>Harrie FF/Furulunds IK</t>
  </si>
  <si>
    <t>Svalövs BK 1</t>
  </si>
  <si>
    <t>Svalövs BK 2</t>
  </si>
  <si>
    <t>x</t>
  </si>
  <si>
    <t xml:space="preserve"> </t>
  </si>
  <si>
    <t>Svalövs BK1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</si>
</sst>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9" borderId="3" applyNumberFormat="0" applyAlignment="0" applyProtection="0"/>
    <xf numFmtId="0" fontId="9" fillId="0" borderId="4" applyNumberFormat="0" applyFill="0" applyAlignment="0" applyProtection="0"/>
    <xf numFmtId="0" fontId="10" fillId="30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30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31" borderId="0" xfId="0" applyFont="1" applyFill="1" applyBorder="1" applyAlignment="1" applyProtection="1">
      <alignment horizontal="center" vertical="top" wrapText="1"/>
      <protection/>
    </xf>
    <xf numFmtId="0" fontId="26" fillId="32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Dåligt" xfId="43"/>
    <cellStyle name="Färg1" xfId="44"/>
    <cellStyle name="Färg2" xfId="45"/>
    <cellStyle name="Färg3" xfId="46"/>
    <cellStyle name="Färg4" xfId="47"/>
    <cellStyle name="Färg5" xfId="48"/>
    <cellStyle name="Färg6" xfId="49"/>
    <cellStyle name="Förklarande text" xfId="50"/>
    <cellStyle name="Indata" xfId="51"/>
    <cellStyle name="Kontrollcell" xfId="52"/>
    <cellStyle name="Länkad cell" xfId="53"/>
    <cellStyle name="Neutral" xfId="54"/>
    <cellStyle name="Percent" xfId="55"/>
    <cellStyle name="Rubrik" xfId="56"/>
    <cellStyle name="Rubrik 1" xfId="57"/>
    <cellStyle name="Rubrik 1 1" xfId="58"/>
    <cellStyle name="Rubrik 2" xfId="59"/>
    <cellStyle name="Rubrik 3" xfId="60"/>
    <cellStyle name="Rubrik 4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dxfs count="16">
    <dxf>
      <font>
        <color indexed="9"/>
      </font>
    </dxf>
    <dxf>
      <font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0.007638888888888889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 t="s">
        <v>81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5</v>
      </c>
    </row>
    <row r="7" spans="1:2" ht="23.25">
      <c r="A7" s="1" t="s">
        <v>7</v>
      </c>
      <c r="B7" s="4" t="s">
        <v>5</v>
      </c>
    </row>
    <row r="8" spans="1:2" ht="23.25">
      <c r="A8" s="1" t="s">
        <v>8</v>
      </c>
      <c r="B8" s="3">
        <v>0.75</v>
      </c>
    </row>
    <row r="9" spans="1:2" ht="45" customHeight="1">
      <c r="A9" s="119" t="s">
        <v>9</v>
      </c>
      <c r="B9" s="119"/>
    </row>
    <row r="10" spans="1:2" ht="23.25">
      <c r="A10" s="5" t="s">
        <v>10</v>
      </c>
      <c r="B10" s="4" t="s">
        <v>11</v>
      </c>
    </row>
    <row r="11" spans="1:2" ht="23.25">
      <c r="A11" s="5" t="s">
        <v>12</v>
      </c>
      <c r="B11" s="4" t="s">
        <v>13</v>
      </c>
    </row>
    <row r="12" spans="1:2" ht="23.25">
      <c r="A12" s="5" t="s">
        <v>14</v>
      </c>
      <c r="B12" s="4" t="s">
        <v>15</v>
      </c>
    </row>
    <row r="13" spans="1:2" ht="23.25">
      <c r="A13" s="5" t="s">
        <v>16</v>
      </c>
      <c r="B13" s="4" t="s">
        <v>17</v>
      </c>
    </row>
    <row r="14" spans="1:2" ht="23.25">
      <c r="A14" s="5" t="s">
        <v>18</v>
      </c>
      <c r="B14" s="4" t="s">
        <v>19</v>
      </c>
    </row>
    <row r="15" spans="1:2" ht="23.25">
      <c r="A15" s="5" t="s">
        <v>20</v>
      </c>
      <c r="B15" s="4" t="s">
        <v>21</v>
      </c>
    </row>
    <row r="16" spans="1:2" ht="23.25">
      <c r="A16" s="5" t="s">
        <v>22</v>
      </c>
      <c r="B16" s="4" t="s">
        <v>23</v>
      </c>
    </row>
    <row r="17" spans="1:2" ht="23.25">
      <c r="A17" s="5" t="s">
        <v>24</v>
      </c>
      <c r="B17" s="4" t="s">
        <v>25</v>
      </c>
    </row>
  </sheetData>
  <sheetProtection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DELTAGANDE LAG</v>
      </c>
      <c r="F1" s="34">
        <f>IF(Originalschema!G1&gt;0,Originalschema!G1,"")</f>
      </c>
      <c r="G1" s="34">
        <f>IF(Originalschema!H1&gt;0,Originalschema!H1,"")</f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8"/>
      <c r="N1" s="118"/>
      <c r="O1" s="118"/>
      <c r="P1" s="118"/>
      <c r="Q1" s="118"/>
      <c r="R1" s="118"/>
      <c r="S1" s="118"/>
      <c r="T1" s="118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Svalövs BK 1</v>
      </c>
      <c r="F2" s="38">
        <f>IF(Originalschema!G2&gt;0,Originalschema!G2,"")</f>
      </c>
      <c r="G2" s="29">
        <f>IF(Originalschema!H2&gt;0,Originalschema!H2,"")</f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Billeberga GIF</v>
      </c>
      <c r="F3" s="38">
        <f>IF(Originalschema!G3&gt;0,Originalschema!G3,"")</f>
      </c>
      <c r="G3" s="29">
        <f>IF(Originalschema!H3&gt;0,Originalschema!H3,"")</f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Kågeröds BoIF 1</v>
      </c>
      <c r="F4" s="38">
        <f>IF(Originalschema!G4&gt;0,Originalschema!G4,"")</f>
      </c>
      <c r="G4" s="29">
        <f>IF(Originalschema!H4&gt;0,Originalschema!H4,"")</f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Linero IF</v>
      </c>
      <c r="F5" s="38">
        <f>IF(Originalschema!G5&gt;0,Originalschema!G5,"")</f>
      </c>
      <c r="G5" s="29">
        <f>IF(Originalschema!H5&gt;0,Originalschema!H5,"")</f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Kågeröds BoIF 2</v>
      </c>
      <c r="F6" s="38">
        <f>IF(Originalschema!G6&gt;0,Originalschema!G6,"")</f>
      </c>
      <c r="G6" s="29">
        <f>IF(Originalschema!H6&gt;0,Originalschema!H6,"")</f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 t="str">
        <f>IF(Originalschema!F7&gt;0,Originalschema!F7,"")</f>
        <v>Harrie FF/Furulunds IK</v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 t="str">
        <f>IF(Originalschema!F8&gt;0,Originalschema!F8,"")</f>
        <v>Svalövs BK 2</v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0" t="str">
        <f>IF(Originalschema!I9&gt;0,Originalschema!I9,"")</f>
        <v>Resultat</v>
      </c>
      <c r="I9" s="120" t="e">
        <f>IF(#REF!&gt;0,#REF!,"")</f>
        <v>#REF!</v>
      </c>
      <c r="J9" s="120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Svalövs BK 1</v>
      </c>
      <c r="M9" s="39" t="str">
        <f>IF(Originalschema!N9&gt;0,Originalschema!N9,"")</f>
        <v>Billeberga GIF</v>
      </c>
      <c r="N9" s="39" t="str">
        <f>IF(Originalschema!O9&gt;0,Originalschema!O9,"")</f>
        <v>Kågeröds BoIF 1</v>
      </c>
      <c r="O9" s="39" t="str">
        <f>IF(Originalschema!P9&gt;0,Originalschema!P9,"")</f>
        <v>Linero IF</v>
      </c>
      <c r="P9" s="39" t="str">
        <f>IF(Originalschema!Q9&gt;0,Originalschema!Q9,"")</f>
        <v>Kågeröds BoIF 2</v>
      </c>
      <c r="Q9" s="39">
        <f>IF(Originalschema!T9&gt;0,Originalschema!T9,"")</f>
      </c>
      <c r="R9" s="39">
        <f>IF(Originalschema!U9&gt;0,Originalschema!U9,"")</f>
      </c>
      <c r="S9" s="39">
        <f>IF(Originalschema!V9&gt;0,Originalschema!V9,"")</f>
      </c>
      <c r="T9" s="39">
        <f>IF(Originalschema!W9&gt;0,Originalschema!W9,"")</f>
      </c>
      <c r="U9" s="39">
        <f>IF(Originalschema!X9&gt;0,Originalschema!X9,"")</f>
      </c>
      <c r="V9" s="39" t="str">
        <f>IF(Originalschema!Y9&gt;0,Originalschema!Y9,"")</f>
        <v>Svalövs BK 1</v>
      </c>
      <c r="W9" s="39" t="str">
        <f>IF(Originalschema!Z9&gt;0,Originalschema!Z9,"")</f>
        <v>Billeberga GIF</v>
      </c>
      <c r="X9" s="39" t="str">
        <f>IF(Originalschema!AA9&gt;0,Originalschema!AA9,"")</f>
        <v>Kågeröds BoIF 1</v>
      </c>
      <c r="Y9" s="39" t="str">
        <f>IF(Originalschema!AB9&gt;0,Originalschema!AB9,"")</f>
        <v>Linero IF</v>
      </c>
      <c r="Z9" s="39" t="str">
        <f>IF(Originalschema!AC9&gt;0,Originalschema!AC9,"")</f>
        <v>Kågeröds BoIF 2</v>
      </c>
      <c r="AA9" s="39">
        <f>IF(Originalschema!AF9&gt;0,Originalschema!AF9,"")</f>
      </c>
      <c r="AB9" s="39">
        <f>IF(Originalschema!AG9&gt;0,Originalschema!AG9,"")</f>
      </c>
      <c r="AC9" s="39">
        <f>IF(Originalschema!AH9&gt;0,Originalschema!AH9,"")</f>
      </c>
      <c r="AD9" s="39">
        <f>IF(Originalschema!AI9&gt;0,Originalschema!AI9,"")</f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Svalövs BK 1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Billeberga GIF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Kågeröds BoIF 1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Linero IF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Kågeröds BoIF 2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Harrie FF/Furulunds IK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Svalövs BK 2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Svalövs BK 1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Billeberga GIF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Kågeröds BoIF 1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Linero IF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Kågeröds BoIF 2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Harrie FF/Furulunds IK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Svalövs BK 2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Svalövs BK 1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Kågeröds BoIF 1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Billeberga GIF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Linero IF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Kågeröds BoIF 2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Svalövs BK 2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Harrie FF/Furulunds IK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Linero IF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Svalövs BK 1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Kågeröds BoIF 2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Kågeröds BoIF 1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Svalövs BK 2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Harrie FF/Furulunds IK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Billeberga GIF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Svalövs BK 1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Linero IF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Billeberga GIF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Kågeröds BoIF 2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16</v>
      </c>
      <c r="AF28" s="47">
        <f t="shared" si="2"/>
        <v>16</v>
      </c>
      <c r="AG28" s="47">
        <f t="shared" si="3"/>
        <v>16</v>
      </c>
      <c r="AH28" s="47">
        <f t="shared" si="4"/>
        <v>16</v>
      </c>
      <c r="AI28" s="47">
        <f t="shared" si="5"/>
        <v>16</v>
      </c>
      <c r="AJ28" s="47">
        <f t="shared" si="6"/>
        <v>16</v>
      </c>
      <c r="AK28" s="47">
        <f t="shared" si="7"/>
        <v>16</v>
      </c>
      <c r="AL28" s="47">
        <f t="shared" si="8"/>
        <v>16</v>
      </c>
      <c r="AM28" s="47">
        <f t="shared" si="9"/>
        <v>16</v>
      </c>
      <c r="AN28" s="47">
        <f t="shared" si="10"/>
        <v>16</v>
      </c>
      <c r="AO28" s="47">
        <f t="shared" si="11"/>
        <v>16</v>
      </c>
      <c r="AP28" s="47">
        <f t="shared" si="12"/>
        <v>16</v>
      </c>
      <c r="AQ28" s="47">
        <f t="shared" si="13"/>
        <v>16</v>
      </c>
      <c r="AR28" s="47">
        <f t="shared" si="14"/>
        <v>16</v>
      </c>
      <c r="AS28" s="47">
        <f t="shared" si="15"/>
        <v>16</v>
      </c>
      <c r="AT28" s="47">
        <f t="shared" si="16"/>
        <v>16</v>
      </c>
      <c r="AU28" s="47">
        <f t="shared" si="17"/>
        <v>16</v>
      </c>
      <c r="AV28" s="47">
        <f t="shared" si="18"/>
        <v>16</v>
      </c>
      <c r="AW28" s="47">
        <f t="shared" si="19"/>
        <v>16</v>
      </c>
      <c r="AX28" s="47">
        <f t="shared" si="20"/>
        <v>16</v>
      </c>
      <c r="AY28" s="47">
        <f t="shared" si="21"/>
        <v>16</v>
      </c>
      <c r="AZ28" s="47">
        <f t="shared" si="22"/>
        <v>16</v>
      </c>
      <c r="BA28" s="47">
        <f t="shared" si="23"/>
        <v>16</v>
      </c>
      <c r="BB28" s="47">
        <f t="shared" si="24"/>
        <v>16</v>
      </c>
      <c r="BC28" s="47">
        <f t="shared" si="25"/>
        <v>16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47">
        <f t="shared" si="5"/>
        <v>0</v>
      </c>
      <c r="AJ29" s="47">
        <f t="shared" si="6"/>
        <v>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17</v>
      </c>
      <c r="B30" s="50"/>
      <c r="D30" s="50"/>
      <c r="E30" s="28" t="str">
        <f>IF(OR(Originalschema!F31="vakant",Originalschema!H31="vakant"),Originalschema!F32,Originalschema!F31)</f>
        <v>Kågeröds BoIF 1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Harrie FF/Furulunds IK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17</v>
      </c>
      <c r="AF30" s="47">
        <f t="shared" si="2"/>
        <v>17</v>
      </c>
      <c r="AG30" s="47">
        <f t="shared" si="3"/>
        <v>17</v>
      </c>
      <c r="AH30" s="47">
        <f t="shared" si="4"/>
        <v>17</v>
      </c>
      <c r="AI30" s="47">
        <f t="shared" si="5"/>
        <v>17</v>
      </c>
      <c r="AJ30" s="47">
        <f t="shared" si="6"/>
        <v>17</v>
      </c>
      <c r="AK30" s="47">
        <f t="shared" si="7"/>
        <v>17</v>
      </c>
      <c r="AL30" s="47">
        <f t="shared" si="8"/>
        <v>17</v>
      </c>
      <c r="AM30" s="47">
        <f t="shared" si="9"/>
        <v>17</v>
      </c>
      <c r="AN30" s="47">
        <f t="shared" si="10"/>
        <v>17</v>
      </c>
      <c r="AO30" s="47">
        <f t="shared" si="11"/>
        <v>17</v>
      </c>
      <c r="AP30" s="47">
        <f t="shared" si="12"/>
        <v>17</v>
      </c>
      <c r="AQ30" s="47">
        <f t="shared" si="13"/>
        <v>17</v>
      </c>
      <c r="AR30" s="47">
        <f t="shared" si="14"/>
        <v>17</v>
      </c>
      <c r="AS30" s="47">
        <f t="shared" si="15"/>
        <v>17</v>
      </c>
      <c r="AT30" s="47">
        <f t="shared" si="16"/>
        <v>17</v>
      </c>
      <c r="AU30" s="47">
        <f t="shared" si="17"/>
        <v>17</v>
      </c>
      <c r="AV30" s="47">
        <f t="shared" si="18"/>
        <v>17</v>
      </c>
      <c r="AW30" s="47">
        <f t="shared" si="19"/>
        <v>17</v>
      </c>
      <c r="AX30" s="47">
        <f t="shared" si="20"/>
        <v>17</v>
      </c>
      <c r="AY30" s="47">
        <f t="shared" si="21"/>
        <v>17</v>
      </c>
      <c r="AZ30" s="47">
        <f t="shared" si="22"/>
        <v>17</v>
      </c>
      <c r="BA30" s="47">
        <f t="shared" si="23"/>
        <v>17</v>
      </c>
      <c r="BB30" s="47">
        <f t="shared" si="24"/>
        <v>17</v>
      </c>
      <c r="BC30" s="47">
        <f t="shared" si="25"/>
        <v>17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Svalövs BK 2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Billeberga GIF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18</v>
      </c>
      <c r="AF31" s="47">
        <f aca="true" t="shared" si="27" ref="AF31:BC31">+IF(AE31=AE30,AE32,AE31)</f>
        <v>18</v>
      </c>
      <c r="AG31" s="47">
        <f t="shared" si="27"/>
        <v>18</v>
      </c>
      <c r="AH31" s="47">
        <f t="shared" si="27"/>
        <v>18</v>
      </c>
      <c r="AI31" s="47">
        <f t="shared" si="27"/>
        <v>18</v>
      </c>
      <c r="AJ31" s="47">
        <f t="shared" si="27"/>
        <v>18</v>
      </c>
      <c r="AK31" s="47">
        <f t="shared" si="27"/>
        <v>18</v>
      </c>
      <c r="AL31" s="47">
        <f t="shared" si="27"/>
        <v>18</v>
      </c>
      <c r="AM31" s="47">
        <f t="shared" si="27"/>
        <v>18</v>
      </c>
      <c r="AN31" s="47">
        <f t="shared" si="27"/>
        <v>18</v>
      </c>
      <c r="AO31" s="47">
        <f t="shared" si="27"/>
        <v>18</v>
      </c>
      <c r="AP31" s="47">
        <f t="shared" si="27"/>
        <v>18</v>
      </c>
      <c r="AQ31" s="47">
        <f t="shared" si="27"/>
        <v>18</v>
      </c>
      <c r="AR31" s="47">
        <f t="shared" si="27"/>
        <v>18</v>
      </c>
      <c r="AS31" s="47">
        <f t="shared" si="27"/>
        <v>18</v>
      </c>
      <c r="AT31" s="47">
        <f t="shared" si="27"/>
        <v>18</v>
      </c>
      <c r="AU31" s="47">
        <f t="shared" si="27"/>
        <v>18</v>
      </c>
      <c r="AV31" s="47">
        <f t="shared" si="27"/>
        <v>18</v>
      </c>
      <c r="AW31" s="47">
        <f t="shared" si="27"/>
        <v>18</v>
      </c>
      <c r="AX31" s="47">
        <f t="shared" si="27"/>
        <v>18</v>
      </c>
      <c r="AY31" s="47">
        <f t="shared" si="27"/>
        <v>18</v>
      </c>
      <c r="AZ31" s="47">
        <f t="shared" si="27"/>
        <v>18</v>
      </c>
      <c r="BA31" s="47">
        <f t="shared" si="27"/>
        <v>18</v>
      </c>
      <c r="BB31" s="47">
        <f t="shared" si="27"/>
        <v>18</v>
      </c>
      <c r="BC31" s="47">
        <f t="shared" si="27"/>
        <v>18</v>
      </c>
    </row>
    <row r="32" spans="1:55" ht="18">
      <c r="A32" s="48">
        <f>IF((OR(Originalschema!F33="vakant",Originalschema!H33="vakant")),Originalschema!A34,Originalschema!A33)</f>
        <v>19</v>
      </c>
      <c r="B32" s="50"/>
      <c r="D32" s="50"/>
      <c r="E32" s="28" t="str">
        <f>IF(OR(Originalschema!F33="vakant",Originalschema!H33="vakant"),Originalschema!F34,Originalschema!F33)</f>
        <v>Kågeröds BoIF 2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Kågeröds BoIF 1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19</v>
      </c>
      <c r="AF32" s="47">
        <f aca="true" t="shared" si="28" ref="AF32:BC32">+IF(AE32=AE31,AE33,AE32)</f>
        <v>19</v>
      </c>
      <c r="AG32" s="47">
        <f t="shared" si="28"/>
        <v>19</v>
      </c>
      <c r="AH32" s="47">
        <f t="shared" si="28"/>
        <v>19</v>
      </c>
      <c r="AI32" s="47">
        <f t="shared" si="28"/>
        <v>19</v>
      </c>
      <c r="AJ32" s="47">
        <f t="shared" si="28"/>
        <v>19</v>
      </c>
      <c r="AK32" s="47">
        <f t="shared" si="28"/>
        <v>19</v>
      </c>
      <c r="AL32" s="47">
        <f t="shared" si="28"/>
        <v>19</v>
      </c>
      <c r="AM32" s="47">
        <f t="shared" si="28"/>
        <v>19</v>
      </c>
      <c r="AN32" s="47">
        <f t="shared" si="28"/>
        <v>19</v>
      </c>
      <c r="AO32" s="47">
        <f t="shared" si="28"/>
        <v>19</v>
      </c>
      <c r="AP32" s="47">
        <f t="shared" si="28"/>
        <v>19</v>
      </c>
      <c r="AQ32" s="47">
        <f t="shared" si="28"/>
        <v>19</v>
      </c>
      <c r="AR32" s="47">
        <f t="shared" si="28"/>
        <v>19</v>
      </c>
      <c r="AS32" s="47">
        <f t="shared" si="28"/>
        <v>19</v>
      </c>
      <c r="AT32" s="47">
        <f t="shared" si="28"/>
        <v>19</v>
      </c>
      <c r="AU32" s="47">
        <f t="shared" si="28"/>
        <v>19</v>
      </c>
      <c r="AV32" s="47">
        <f t="shared" si="28"/>
        <v>19</v>
      </c>
      <c r="AW32" s="47">
        <f t="shared" si="28"/>
        <v>19</v>
      </c>
      <c r="AX32" s="47">
        <f t="shared" si="28"/>
        <v>19</v>
      </c>
      <c r="AY32" s="47">
        <f t="shared" si="28"/>
        <v>19</v>
      </c>
      <c r="AZ32" s="47">
        <f t="shared" si="28"/>
        <v>19</v>
      </c>
      <c r="BA32" s="47">
        <f t="shared" si="28"/>
        <v>19</v>
      </c>
      <c r="BB32" s="47">
        <f t="shared" si="28"/>
        <v>19</v>
      </c>
      <c r="BC32" s="47">
        <f t="shared" si="28"/>
        <v>19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Svalövs BK 1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Harrie FF/Furulunds IK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20</v>
      </c>
      <c r="AF33" s="47">
        <f aca="true" t="shared" si="29" ref="AF33:BC33">+IF(AE33=AE32,AE34,AE33)</f>
        <v>20</v>
      </c>
      <c r="AG33" s="47">
        <f t="shared" si="29"/>
        <v>20</v>
      </c>
      <c r="AH33" s="47">
        <f t="shared" si="29"/>
        <v>20</v>
      </c>
      <c r="AI33" s="47">
        <f t="shared" si="29"/>
        <v>20</v>
      </c>
      <c r="AJ33" s="47">
        <f t="shared" si="29"/>
        <v>20</v>
      </c>
      <c r="AK33" s="47">
        <f t="shared" si="29"/>
        <v>20</v>
      </c>
      <c r="AL33" s="47">
        <f t="shared" si="29"/>
        <v>20</v>
      </c>
      <c r="AM33" s="47">
        <f t="shared" si="29"/>
        <v>20</v>
      </c>
      <c r="AN33" s="47">
        <f t="shared" si="29"/>
        <v>20</v>
      </c>
      <c r="AO33" s="47">
        <f t="shared" si="29"/>
        <v>20</v>
      </c>
      <c r="AP33" s="47">
        <f t="shared" si="29"/>
        <v>20</v>
      </c>
      <c r="AQ33" s="47">
        <f t="shared" si="29"/>
        <v>20</v>
      </c>
      <c r="AR33" s="47">
        <f t="shared" si="29"/>
        <v>20</v>
      </c>
      <c r="AS33" s="47">
        <f t="shared" si="29"/>
        <v>20</v>
      </c>
      <c r="AT33" s="47">
        <f t="shared" si="29"/>
        <v>20</v>
      </c>
      <c r="AU33" s="47">
        <f t="shared" si="29"/>
        <v>20</v>
      </c>
      <c r="AV33" s="47">
        <f t="shared" si="29"/>
        <v>20</v>
      </c>
      <c r="AW33" s="47">
        <f t="shared" si="29"/>
        <v>20</v>
      </c>
      <c r="AX33" s="47">
        <f t="shared" si="29"/>
        <v>20</v>
      </c>
      <c r="AY33" s="47">
        <f t="shared" si="29"/>
        <v>20</v>
      </c>
      <c r="AZ33" s="47">
        <f t="shared" si="29"/>
        <v>20</v>
      </c>
      <c r="BA33" s="47">
        <f t="shared" si="29"/>
        <v>20</v>
      </c>
      <c r="BB33" s="47">
        <f t="shared" si="29"/>
        <v>20</v>
      </c>
      <c r="BC33" s="47">
        <f t="shared" si="29"/>
        <v>20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21</v>
      </c>
      <c r="B35" s="50"/>
      <c r="D35" s="50"/>
      <c r="E35" s="28" t="str">
        <f>IF(OR(Originalschema!F36="vakant",Originalschema!H36="vakant"),Originalschema!F37,Originalschema!F36)</f>
        <v>Linero IF</v>
      </c>
      <c r="F35" s="29" t="str">
        <f>+IF(Originalschema!G36&gt;0,Originalschema!G36,"")</f>
        <v>-</v>
      </c>
      <c r="G35" s="28" t="str">
        <f>IF(OR(Originalschema!H36="vakant",Originalschema!F36="vakant"),Originalschema!H37,Originalschema!H36)</f>
        <v>Svalövs BK 2</v>
      </c>
      <c r="H35" s="29">
        <f>+IF(Originalschema!I36&gt;0,Originalschema!I36,"")</f>
      </c>
      <c r="I35" s="29" t="str">
        <f>+IF(Originalschema!J36&gt;0,Originalschema!J36,"")</f>
        <v>-</v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21</v>
      </c>
      <c r="AF35" s="47">
        <f aca="true" t="shared" si="31" ref="AF35:BC35">+IF(AE35=AE34,AE36,AE35)</f>
        <v>21</v>
      </c>
      <c r="AG35" s="47">
        <f t="shared" si="31"/>
        <v>21</v>
      </c>
      <c r="AH35" s="47">
        <f t="shared" si="31"/>
        <v>21</v>
      </c>
      <c r="AI35" s="47">
        <f t="shared" si="31"/>
        <v>21</v>
      </c>
      <c r="AJ35" s="47">
        <f t="shared" si="31"/>
        <v>21</v>
      </c>
      <c r="AK35" s="47">
        <f t="shared" si="31"/>
        <v>21</v>
      </c>
      <c r="AL35" s="47">
        <f t="shared" si="31"/>
        <v>21</v>
      </c>
      <c r="AM35" s="47">
        <f t="shared" si="31"/>
        <v>21</v>
      </c>
      <c r="AN35" s="47">
        <f t="shared" si="31"/>
        <v>21</v>
      </c>
      <c r="AO35" s="47">
        <f t="shared" si="31"/>
        <v>21</v>
      </c>
      <c r="AP35" s="47">
        <f t="shared" si="31"/>
        <v>21</v>
      </c>
      <c r="AQ35" s="47">
        <f t="shared" si="31"/>
        <v>21</v>
      </c>
      <c r="AR35" s="47">
        <f t="shared" si="31"/>
        <v>21</v>
      </c>
      <c r="AS35" s="47">
        <f t="shared" si="31"/>
        <v>21</v>
      </c>
      <c r="AT35" s="47">
        <f t="shared" si="31"/>
        <v>21</v>
      </c>
      <c r="AU35" s="47">
        <f t="shared" si="31"/>
        <v>21</v>
      </c>
      <c r="AV35" s="47">
        <f t="shared" si="31"/>
        <v>21</v>
      </c>
      <c r="AW35" s="47">
        <f t="shared" si="31"/>
        <v>21</v>
      </c>
      <c r="AX35" s="47">
        <f t="shared" si="31"/>
        <v>21</v>
      </c>
      <c r="AY35" s="47">
        <f t="shared" si="31"/>
        <v>21</v>
      </c>
      <c r="AZ35" s="47">
        <f t="shared" si="31"/>
        <v>21</v>
      </c>
      <c r="BA35" s="47">
        <f t="shared" si="31"/>
        <v>21</v>
      </c>
      <c r="BB35" s="47">
        <f t="shared" si="31"/>
        <v>21</v>
      </c>
      <c r="BC35" s="47">
        <f t="shared" si="31"/>
        <v>21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2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zoomScalePageLayoutView="0" workbookViewId="0" topLeftCell="A1">
      <pane xSplit="1" ySplit="1" topLeftCell="B2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26</v>
      </c>
      <c r="B1" s="9" t="s">
        <v>27</v>
      </c>
    </row>
    <row r="2" spans="1:2" ht="48.75" customHeight="1">
      <c r="A2" s="10" t="s">
        <v>28</v>
      </c>
      <c r="B2" s="11" t="s">
        <v>78</v>
      </c>
    </row>
    <row r="3" spans="1:2" ht="48.75" customHeight="1">
      <c r="A3" s="10" t="s">
        <v>29</v>
      </c>
      <c r="B3" s="11" t="s">
        <v>73</v>
      </c>
    </row>
    <row r="4" spans="1:2" ht="48.75" customHeight="1">
      <c r="A4" s="10" t="s">
        <v>30</v>
      </c>
      <c r="B4" s="11" t="s">
        <v>74</v>
      </c>
    </row>
    <row r="5" spans="1:2" ht="48.75" customHeight="1">
      <c r="A5" s="10" t="s">
        <v>31</v>
      </c>
      <c r="B5" s="11" t="s">
        <v>76</v>
      </c>
    </row>
    <row r="6" spans="1:2" ht="48.75" customHeight="1">
      <c r="A6" s="10" t="s">
        <v>32</v>
      </c>
      <c r="B6" s="11" t="s">
        <v>75</v>
      </c>
    </row>
    <row r="7" spans="1:2" ht="48.75" customHeight="1">
      <c r="A7" s="10" t="s">
        <v>33</v>
      </c>
      <c r="B7" s="11" t="s">
        <v>77</v>
      </c>
    </row>
    <row r="8" spans="1:2" ht="48.75" customHeight="1">
      <c r="A8" s="10" t="s">
        <v>34</v>
      </c>
      <c r="B8" s="11" t="s">
        <v>79</v>
      </c>
    </row>
    <row r="9" spans="1:2" ht="48.75" customHeight="1">
      <c r="A9" s="10" t="s">
        <v>35</v>
      </c>
      <c r="B9" s="11"/>
    </row>
    <row r="10" spans="1:2" ht="48.75" customHeight="1">
      <c r="A10" s="10" t="s">
        <v>36</v>
      </c>
      <c r="B10" s="11"/>
    </row>
    <row r="11" spans="1:2" ht="48.75" customHeight="1">
      <c r="A11" s="10" t="s">
        <v>37</v>
      </c>
      <c r="B11" s="11"/>
    </row>
    <row r="12" spans="1:2" ht="48.75" customHeight="1">
      <c r="A12" s="10" t="s">
        <v>38</v>
      </c>
      <c r="B12" s="11"/>
    </row>
    <row r="13" spans="1:2" ht="48.75" customHeight="1">
      <c r="A13" s="10" t="s">
        <v>39</v>
      </c>
      <c r="B13" s="11"/>
    </row>
  </sheetData>
  <sheetProtection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40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28</v>
      </c>
      <c r="G2" s="1" t="s">
        <v>29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28</v>
      </c>
      <c r="O2" s="17" t="s">
        <v>29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30</v>
      </c>
      <c r="G3" s="1" t="s">
        <v>31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30</v>
      </c>
      <c r="O3" s="20" t="s">
        <v>31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A5</v>
      </c>
      <c r="C4" s="1" t="str">
        <f>+IF(Inställningar!$B$6="nej",Spelordning!G4,Spelordning!K4)</f>
        <v>A6</v>
      </c>
      <c r="E4" s="1">
        <v>3</v>
      </c>
      <c r="F4" s="1" t="s">
        <v>35</v>
      </c>
      <c r="G4" s="1" t="s">
        <v>36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32</v>
      </c>
      <c r="O4" s="14" t="s">
        <v>33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A7</v>
      </c>
      <c r="C5" s="1" t="str">
        <f>+IF(Inställningar!$B$6="nej",Spelordning!G5,Spelordning!K5)</f>
        <v>A1</v>
      </c>
      <c r="E5" s="1">
        <v>4</v>
      </c>
      <c r="F5" s="1" t="s">
        <v>37</v>
      </c>
      <c r="G5" s="1" t="s">
        <v>38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28</v>
      </c>
      <c r="O5" s="19" t="s">
        <v>30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A2</v>
      </c>
      <c r="C6" s="1" t="str">
        <f>+IF(Inställningar!$B$6="nej",Spelordning!G6,Spelordning!K6)</f>
        <v>A3</v>
      </c>
      <c r="E6" s="1">
        <v>5</v>
      </c>
      <c r="F6" s="1" t="s">
        <v>32</v>
      </c>
      <c r="G6" s="1" t="s">
        <v>28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29</v>
      </c>
      <c r="O6" s="21" t="s">
        <v>32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A4</v>
      </c>
      <c r="C7" s="1" t="str">
        <f>+IF(Inställningar!$B$6="nej",Spelordning!G7,Spelordning!K7)</f>
        <v>A5</v>
      </c>
      <c r="E7" s="1">
        <v>6</v>
      </c>
      <c r="F7" s="1" t="s">
        <v>29</v>
      </c>
      <c r="G7" s="1" t="s">
        <v>30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31</v>
      </c>
      <c r="O7" s="14" t="s">
        <v>33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A6</v>
      </c>
      <c r="C8" s="1" t="str">
        <f>+IF(Inställningar!$B$6="nej",Spelordning!G8,Spelordning!K8)</f>
        <v>A7</v>
      </c>
      <c r="E8" s="1">
        <v>7</v>
      </c>
      <c r="F8" s="1" t="s">
        <v>39</v>
      </c>
      <c r="G8" s="1" t="s">
        <v>35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30</v>
      </c>
      <c r="O8" s="21" t="s">
        <v>32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A1</v>
      </c>
      <c r="C9" s="1" t="str">
        <f>+IF(Inställningar!$B$6="nej",Spelordning!G9,Spelordning!K9)</f>
        <v>A3</v>
      </c>
      <c r="E9" s="1">
        <v>8</v>
      </c>
      <c r="F9" s="1" t="s">
        <v>36</v>
      </c>
      <c r="G9" s="1" t="s">
        <v>37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28</v>
      </c>
      <c r="O9" s="20" t="s">
        <v>31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A2</v>
      </c>
      <c r="C10" s="1" t="str">
        <f>+IF(Inställningar!$B$6="nej",Spelordning!G10,Spelordning!K10)</f>
        <v>A4</v>
      </c>
      <c r="E10" s="1">
        <v>9</v>
      </c>
      <c r="F10" s="1" t="s">
        <v>31</v>
      </c>
      <c r="G10" s="1" t="s">
        <v>32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33</v>
      </c>
      <c r="O10" s="17" t="s">
        <v>29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A5</v>
      </c>
      <c r="C11" s="1" t="str">
        <f>+IF(Inställningar!$B$6="nej",Spelordning!G11,Spelordning!K11)</f>
        <v>A7</v>
      </c>
      <c r="E11" s="1">
        <v>10</v>
      </c>
      <c r="F11" s="1" t="s">
        <v>28</v>
      </c>
      <c r="G11" s="1" t="s">
        <v>30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28</v>
      </c>
      <c r="O11" s="21" t="s">
        <v>32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A6</v>
      </c>
      <c r="C12" s="1" t="str">
        <f>+IF(Inställningar!$B$6="nej",Spelordning!G12,Spelordning!K12)</f>
        <v>A4</v>
      </c>
      <c r="E12" s="1">
        <v>11</v>
      </c>
      <c r="F12" s="1" t="s">
        <v>38</v>
      </c>
      <c r="G12" s="1" t="s">
        <v>39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33</v>
      </c>
      <c r="O12" s="19" t="s">
        <v>30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A1</v>
      </c>
      <c r="C13" s="1" t="str">
        <f>+IF(Inställningar!$B$6="nej",Spelordning!G13,Spelordning!K13)</f>
        <v>A5</v>
      </c>
      <c r="E13" s="1">
        <v>12</v>
      </c>
      <c r="F13" s="1" t="s">
        <v>35</v>
      </c>
      <c r="G13" s="1" t="s">
        <v>37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29</v>
      </c>
      <c r="O13" s="20" t="s">
        <v>31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A3</v>
      </c>
      <c r="C14" s="1" t="str">
        <f>+IF(Inställningar!$B$6="nej",Spelordning!G14,Spelordning!K14)</f>
        <v>A7</v>
      </c>
      <c r="E14" s="1">
        <v>13</v>
      </c>
      <c r="F14" s="1" t="s">
        <v>32</v>
      </c>
      <c r="G14" s="1" t="s">
        <v>29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28</v>
      </c>
      <c r="O14" s="14" t="s">
        <v>33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A6</v>
      </c>
      <c r="C15" s="1" t="str">
        <f>+IF(Inställningar!$B$6="nej",Spelordning!G15,Spelordning!K15)</f>
        <v>A2</v>
      </c>
      <c r="E15" s="1">
        <v>14</v>
      </c>
      <c r="F15" s="1" t="s">
        <v>31</v>
      </c>
      <c r="G15" s="1" t="s">
        <v>28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31</v>
      </c>
      <c r="O15" s="21" t="s">
        <v>32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A1</v>
      </c>
      <c r="C16" s="1" t="str">
        <f>+IF(Inställningar!$B$6="nej",Spelordning!G16,Spelordning!K16)</f>
        <v>A4</v>
      </c>
      <c r="E16" s="1">
        <v>15</v>
      </c>
      <c r="F16" s="1" t="s">
        <v>39</v>
      </c>
      <c r="G16" s="1" t="s">
        <v>36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30</v>
      </c>
      <c r="O16" s="17" t="s">
        <v>29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A2</v>
      </c>
      <c r="C17" s="1" t="str">
        <f>+IF(Inställningar!$B$6="nej",Spelordning!G17,Spelordning!K17)</f>
        <v>A5</v>
      </c>
      <c r="E17" s="1">
        <v>16</v>
      </c>
      <c r="F17" s="1" t="s">
        <v>38</v>
      </c>
      <c r="G17" s="1" t="s">
        <v>35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A6</v>
      </c>
      <c r="E18" s="1">
        <v>17</v>
      </c>
      <c r="F18" s="1" t="s">
        <v>30</v>
      </c>
      <c r="G18" s="1" t="s">
        <v>32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A7</v>
      </c>
      <c r="C19" s="1" t="str">
        <f>+IF(Inställningar!$B$6="nej",Spelordning!G19,Spelordning!K19)</f>
        <v>A2</v>
      </c>
      <c r="E19" s="1">
        <v>18</v>
      </c>
      <c r="F19" s="1" t="s">
        <v>29</v>
      </c>
      <c r="G19" s="1" t="s">
        <v>31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A5</v>
      </c>
      <c r="C20" s="1" t="str">
        <f>+IF(Inställningar!$B$6="nej",Spelordning!G20,Spelordning!K20)</f>
        <v>A3</v>
      </c>
      <c r="E20" s="1">
        <v>19</v>
      </c>
      <c r="F20" s="1" t="s">
        <v>37</v>
      </c>
      <c r="G20" s="1" t="s">
        <v>39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A1</v>
      </c>
      <c r="C21" s="1" t="str">
        <f>+IF(Inställningar!$B$6="nej",Spelordning!G21,Spelordning!K21)</f>
        <v>A6</v>
      </c>
      <c r="E21" s="1">
        <v>20</v>
      </c>
      <c r="F21" s="1" t="s">
        <v>36</v>
      </c>
      <c r="G21" s="1" t="s">
        <v>38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21</v>
      </c>
      <c r="B22" s="1" t="str">
        <f>+IF(Inställningar!$B$6="nej",Spelordning!F22,Spelordning!J22)</f>
        <v>A4</v>
      </c>
      <c r="C22" s="1" t="str">
        <f>+IF(Inställningar!$B$6="nej",Spelordning!G22,Spelordning!K22)</f>
        <v>A7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41</v>
      </c>
    </row>
  </sheetData>
  <sheetProtection sheet="1" objects="1" scenarios="1"/>
  <conditionalFormatting sqref="N2:O16 N18:O19 Q1:R1 Q20:R65536">
    <cfRule type="cellIs" priority="1" dxfId="15" operator="equal" stopIfTrue="1">
      <formula>1</formula>
    </cfRule>
    <cfRule type="cellIs" priority="2" dxfId="14" operator="equal" stopIfTrue="1">
      <formula>2</formula>
    </cfRule>
    <cfRule type="cellIs" priority="3" dxfId="13" operator="equal" stopIfTrue="1">
      <formula>3</formula>
    </cfRule>
  </conditionalFormatting>
  <conditionalFormatting sqref="A6:A65536 D23 E6:E65536">
    <cfRule type="cellIs" priority="4" dxfId="0" operator="equal" stopIfTrue="1">
      <formula>"A3"</formula>
    </cfRule>
  </conditionalFormatting>
  <conditionalFormatting sqref="D19:D22 D24:D65536">
    <cfRule type="cellIs" priority="5" dxfId="0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42</v>
      </c>
      <c r="B22" s="24"/>
      <c r="C22" s="24"/>
      <c r="F22" s="24"/>
      <c r="G22" s="24"/>
    </row>
    <row r="23" spans="1:7" ht="12.75">
      <c r="A23" s="1" t="s">
        <v>43</v>
      </c>
      <c r="B23" s="24"/>
      <c r="C23" s="24"/>
      <c r="F23" s="24"/>
      <c r="G23" s="24"/>
    </row>
    <row r="24" spans="1:7" ht="12.75">
      <c r="A24" s="1" t="s">
        <v>44</v>
      </c>
      <c r="B24" s="24"/>
      <c r="C24" s="24"/>
      <c r="F24" s="24"/>
      <c r="G24" s="24"/>
    </row>
    <row r="25" spans="1:7" ht="12.75">
      <c r="A25" s="1" t="s">
        <v>45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28</v>
      </c>
      <c r="B1" s="25" t="str">
        <f>+VLOOKUP(A1,Lottning!$A$2:$B$13,2,FALSE)</f>
        <v>Svalövs BK 1</v>
      </c>
      <c r="C1" s="25" t="s">
        <v>46</v>
      </c>
    </row>
    <row r="2" spans="1:3" ht="20.25" hidden="1">
      <c r="A2" s="25" t="s">
        <v>29</v>
      </c>
      <c r="B2" s="25" t="str">
        <f>+VLOOKUP(A2,Lottning!$A$2:$B$13,2,FALSE)</f>
        <v>Billeberga GIF</v>
      </c>
      <c r="C2" s="25" t="s">
        <v>46</v>
      </c>
    </row>
    <row r="3" spans="1:3" ht="20.25" hidden="1">
      <c r="A3" s="25" t="s">
        <v>30</v>
      </c>
      <c r="B3" s="25" t="str">
        <f>+VLOOKUP(A3,Lottning!$A$2:$B$13,2,FALSE)</f>
        <v>Kågeröds BoIF 1</v>
      </c>
      <c r="C3" s="25" t="s">
        <v>46</v>
      </c>
    </row>
    <row r="4" spans="1:3" ht="20.25" hidden="1">
      <c r="A4" s="25" t="s">
        <v>31</v>
      </c>
      <c r="B4" s="25" t="str">
        <f>+VLOOKUP(A4,Lottning!$A$2:$B$13,2,FALSE)</f>
        <v>Linero IF</v>
      </c>
      <c r="C4" s="25" t="s">
        <v>46</v>
      </c>
    </row>
    <row r="5" spans="1:3" ht="20.25" hidden="1">
      <c r="A5" s="25" t="s">
        <v>32</v>
      </c>
      <c r="B5" s="25" t="str">
        <f>+VLOOKUP(A5,Lottning!$A$2:$B$13,2,FALSE)</f>
        <v>Kågeröds BoIF 2</v>
      </c>
      <c r="C5" s="25" t="s">
        <v>46</v>
      </c>
    </row>
    <row r="6" spans="1:3" ht="20.25" hidden="1">
      <c r="A6" s="25" t="s">
        <v>33</v>
      </c>
      <c r="B6" s="25" t="str">
        <f>+VLOOKUP(A6,Lottning!$A$2:$B$13,2,FALSE)</f>
        <v>Harrie FF/Furulunds IK</v>
      </c>
      <c r="C6" s="25" t="s">
        <v>46</v>
      </c>
    </row>
    <row r="7" spans="1:3" ht="20.25" hidden="1">
      <c r="A7" s="25" t="s">
        <v>34</v>
      </c>
      <c r="B7" s="25" t="str">
        <f>+VLOOKUP(A7,Lottning!$A$2:$B$13,2,FALSE)</f>
        <v>Svalövs BK 2</v>
      </c>
      <c r="C7" s="25" t="s">
        <v>46</v>
      </c>
    </row>
    <row r="8" spans="1:3" ht="20.25" hidden="1">
      <c r="A8" s="25" t="str">
        <f>+IF(Lottning!A9&gt;0,Lottning!A9,"")</f>
        <v>B1</v>
      </c>
      <c r="B8" s="25">
        <f>+VLOOKUP(A8,Lottning!$A$2:$B$13,2,FALSE)</f>
        <v>0</v>
      </c>
      <c r="C8" s="25" t="s">
        <v>47</v>
      </c>
    </row>
    <row r="9" spans="1:3" ht="20.25" hidden="1">
      <c r="A9" s="25" t="str">
        <f>+IF(Lottning!A10&gt;0,Lottning!A10,"")</f>
        <v>B2</v>
      </c>
      <c r="B9" s="25">
        <f>+VLOOKUP(A9,Lottning!$A$2:$B$13,2,FALSE)</f>
        <v>0</v>
      </c>
      <c r="C9" s="25" t="s">
        <v>47</v>
      </c>
    </row>
    <row r="10" spans="1:3" ht="20.25" hidden="1">
      <c r="A10" s="25" t="str">
        <f>+IF(Lottning!A11&gt;0,Lottning!A11,"")</f>
        <v>B3</v>
      </c>
      <c r="B10" s="25">
        <f>+VLOOKUP(A10,Lottning!$A$2:$B$13,2,FALSE)</f>
        <v>0</v>
      </c>
      <c r="C10" s="25" t="s">
        <v>47</v>
      </c>
    </row>
    <row r="11" spans="1:3" ht="20.25" hidden="1">
      <c r="A11" s="25" t="str">
        <f>+IF(Lottning!A12&gt;0,Lottning!A12,"")</f>
        <v>B4</v>
      </c>
      <c r="B11" s="25">
        <f>+VLOOKUP(A11,Lottning!$A$2:$B$13,2,FALSE)</f>
        <v>0</v>
      </c>
      <c r="C11" s="25" t="s">
        <v>47</v>
      </c>
    </row>
    <row r="12" spans="1:3" ht="20.25" hidden="1">
      <c r="A12" s="25" t="str">
        <f>+IF(Lottning!A13&gt;0,Lottning!A13,"")</f>
        <v>B5</v>
      </c>
      <c r="B12" s="25">
        <f>+VLOOKUP(A12,Lottning!$A$2:$B$13,2,FALSE)</f>
        <v>0</v>
      </c>
      <c r="C12" s="25" t="s">
        <v>47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1.1484375" style="28" customWidth="1"/>
    <col min="4" max="4" width="1.57421875" style="29" customWidth="1"/>
    <col min="5" max="5" width="1.148437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1.1484375" style="30" customWidth="1"/>
    <col min="10" max="10" width="3.421875" style="30" customWidth="1"/>
    <col min="11" max="11" width="1.148437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DELTAGANDE LAG</v>
      </c>
      <c r="G1" s="34"/>
      <c r="H1" s="34">
        <f>+IF(Inställningar!$B$6="nej","GRUPP B","")</f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Svalövs BK 1</v>
      </c>
      <c r="G2" s="37"/>
      <c r="H2" s="37">
        <f>+IF(Inställningar!$B$6="nej",(Grupper!B8),"")</f>
      </c>
      <c r="I2" s="38"/>
      <c r="J2" s="28"/>
      <c r="K2" s="28"/>
      <c r="L2" s="28"/>
    </row>
    <row r="3" spans="6:12" ht="18">
      <c r="F3" s="37" t="str">
        <f>+IF(Inställningar!$B$6="nej",(Grupper!B2),Lottning!B3)</f>
        <v>Billeberga GIF</v>
      </c>
      <c r="G3" s="37"/>
      <c r="H3" s="37">
        <f>+IF(Inställningar!$B$6="nej",(Grupper!B9),"")</f>
      </c>
      <c r="I3" s="38"/>
      <c r="J3" s="28"/>
      <c r="K3" s="28"/>
      <c r="L3" s="28"/>
    </row>
    <row r="4" spans="6:12" ht="18">
      <c r="F4" s="37" t="str">
        <f>+IF(Inställningar!$B$6="nej",(Grupper!B3),Lottning!B4)</f>
        <v>Kågeröds BoIF 1</v>
      </c>
      <c r="G4" s="37"/>
      <c r="H4" s="37">
        <f>+IF(Inställningar!$B$6="nej",(Grupper!B10),"")</f>
      </c>
      <c r="I4" s="38"/>
      <c r="J4" s="28"/>
      <c r="K4" s="28"/>
      <c r="L4" s="26"/>
    </row>
    <row r="5" spans="6:12" ht="18">
      <c r="F5" s="37" t="str">
        <f>+IF(Inställningar!$B$6="nej",(Grupper!B4),Lottning!B5)</f>
        <v>Linero IF</v>
      </c>
      <c r="G5" s="37"/>
      <c r="H5" s="37">
        <f>+IF(Inställningar!$B$6="nej",(Grupper!B11),"")</f>
      </c>
      <c r="I5" s="38"/>
      <c r="J5" s="28"/>
      <c r="K5" s="28"/>
      <c r="L5" s="28"/>
    </row>
    <row r="6" spans="6:12" ht="18">
      <c r="F6" s="37" t="str">
        <f>+IF(Inställningar!$B$6="nej",(Grupper!B5),Lottning!B6)</f>
        <v>Kågeröds BoIF 2</v>
      </c>
      <c r="G6" s="37"/>
      <c r="H6" s="37">
        <f>+IF(Inställningar!$B$6="nej",(Grupper!B12),"")</f>
      </c>
      <c r="I6" s="38"/>
      <c r="J6" s="28"/>
      <c r="K6" s="28"/>
      <c r="L6" s="28"/>
    </row>
    <row r="7" spans="6:12" ht="18">
      <c r="F7" s="37" t="str">
        <f>+IF(Inställningar!$B$6="ja",(Grupper!B6),"")</f>
        <v>Harrie FF/Furulunds IK</v>
      </c>
      <c r="I7" s="28"/>
      <c r="J7" s="28"/>
      <c r="K7" s="28"/>
      <c r="L7" s="28"/>
    </row>
    <row r="8" spans="6:48" ht="18">
      <c r="F8" s="37" t="str">
        <f>(IF(Inställningar!$B$6="ja",(Grupper!B7),""))</f>
        <v>Svalövs BK 2</v>
      </c>
      <c r="I8" s="28"/>
      <c r="J8" s="28"/>
      <c r="K8" s="28"/>
      <c r="L8" s="28"/>
      <c r="M8" s="31" t="s">
        <v>48</v>
      </c>
      <c r="N8" s="31" t="s">
        <v>48</v>
      </c>
      <c r="O8" s="31" t="s">
        <v>48</v>
      </c>
      <c r="P8" s="31" t="s">
        <v>48</v>
      </c>
      <c r="Q8" s="31" t="s">
        <v>48</v>
      </c>
      <c r="R8" s="31" t="s">
        <v>48</v>
      </c>
      <c r="S8" s="31" t="s">
        <v>48</v>
      </c>
      <c r="T8" s="31" t="s">
        <v>48</v>
      </c>
      <c r="U8" s="31" t="s">
        <v>48</v>
      </c>
      <c r="V8" s="31" t="s">
        <v>48</v>
      </c>
      <c r="W8" s="31" t="s">
        <v>48</v>
      </c>
      <c r="X8" s="31" t="s">
        <v>48</v>
      </c>
      <c r="Y8" s="31" t="s">
        <v>49</v>
      </c>
      <c r="Z8" s="31" t="s">
        <v>49</v>
      </c>
      <c r="AA8" s="31" t="s">
        <v>49</v>
      </c>
      <c r="AB8" s="31" t="s">
        <v>49</v>
      </c>
      <c r="AC8" s="31" t="s">
        <v>49</v>
      </c>
      <c r="AD8" s="31" t="s">
        <v>49</v>
      </c>
      <c r="AE8" s="31" t="s">
        <v>49</v>
      </c>
      <c r="AF8" s="31" t="s">
        <v>49</v>
      </c>
      <c r="AG8" s="31" t="s">
        <v>49</v>
      </c>
      <c r="AH8" s="31" t="s">
        <v>49</v>
      </c>
      <c r="AI8" s="31" t="s">
        <v>49</v>
      </c>
      <c r="AJ8" s="31" t="s">
        <v>49</v>
      </c>
      <c r="AK8" s="31" t="s">
        <v>50</v>
      </c>
      <c r="AL8" s="31" t="s">
        <v>50</v>
      </c>
      <c r="AM8" s="31" t="s">
        <v>50</v>
      </c>
      <c r="AN8" s="31" t="s">
        <v>50</v>
      </c>
      <c r="AO8" s="31" t="s">
        <v>50</v>
      </c>
      <c r="AP8" s="31" t="s">
        <v>50</v>
      </c>
      <c r="AQ8" s="31" t="s">
        <v>50</v>
      </c>
      <c r="AR8" s="31" t="s">
        <v>50</v>
      </c>
      <c r="AS8" s="31" t="s">
        <v>50</v>
      </c>
      <c r="AT8" s="31" t="s">
        <v>50</v>
      </c>
      <c r="AU8" s="31" t="s">
        <v>50</v>
      </c>
      <c r="AV8" s="31" t="s">
        <v>50</v>
      </c>
    </row>
    <row r="9" spans="1:48" s="41" customFormat="1" ht="18">
      <c r="A9" s="26" t="s">
        <v>51</v>
      </c>
      <c r="B9" s="27" t="s">
        <v>52</v>
      </c>
      <c r="C9" s="27" t="s">
        <v>53</v>
      </c>
      <c r="D9" s="34"/>
      <c r="E9" s="27" t="s">
        <v>54</v>
      </c>
      <c r="F9" s="27"/>
      <c r="G9" s="27"/>
      <c r="H9" s="27"/>
      <c r="I9" s="120" t="s">
        <v>55</v>
      </c>
      <c r="J9" s="120"/>
      <c r="K9" s="120"/>
      <c r="L9" s="39" t="s">
        <v>56</v>
      </c>
      <c r="M9" s="40" t="str">
        <f>+$F$2</f>
        <v>Svalövs BK 1</v>
      </c>
      <c r="N9" s="40" t="str">
        <f>+$F$3</f>
        <v>Billeberga GIF</v>
      </c>
      <c r="O9" s="40" t="str">
        <f>+$F$4</f>
        <v>Kågeröds BoIF 1</v>
      </c>
      <c r="P9" s="40" t="str">
        <f>+$F$5</f>
        <v>Linero IF</v>
      </c>
      <c r="Q9" s="40" t="str">
        <f>+$F$6</f>
        <v>Kågeröds BoIF 2</v>
      </c>
      <c r="R9" s="40" t="str">
        <f>F7</f>
        <v>Harrie FF/Furulunds IK</v>
      </c>
      <c r="S9" s="40" t="str">
        <f>F8</f>
        <v>Svalövs BK 2</v>
      </c>
      <c r="T9" s="40">
        <f>+$H$2</f>
      </c>
      <c r="U9" s="40">
        <f>+$H$3</f>
      </c>
      <c r="V9" s="40">
        <f>+$H$4</f>
      </c>
      <c r="W9" s="40">
        <f>+$H$5</f>
      </c>
      <c r="X9" s="40">
        <f>+H$6</f>
      </c>
      <c r="Y9" s="40" t="str">
        <f>+$F$2</f>
        <v>Svalövs BK 1</v>
      </c>
      <c r="Z9" s="40" t="str">
        <f>+$F$3</f>
        <v>Billeberga GIF</v>
      </c>
      <c r="AA9" s="40" t="str">
        <f>+$F$4</f>
        <v>Kågeröds BoIF 1</v>
      </c>
      <c r="AB9" s="40" t="str">
        <f>+$F$5</f>
        <v>Linero IF</v>
      </c>
      <c r="AC9" s="40" t="str">
        <f>+$F$6</f>
        <v>Kågeröds BoIF 2</v>
      </c>
      <c r="AD9" s="40" t="str">
        <f>F7</f>
        <v>Harrie FF/Furulunds IK</v>
      </c>
      <c r="AE9" s="40" t="str">
        <f>F8</f>
        <v>Svalövs BK 2</v>
      </c>
      <c r="AF9" s="40">
        <f>+$H$2</f>
      </c>
      <c r="AG9" s="40">
        <f>+$H$3</f>
      </c>
      <c r="AH9" s="40">
        <f>+$H$4</f>
      </c>
      <c r="AI9" s="40">
        <f>+$H$5</f>
      </c>
      <c r="AJ9" s="40">
        <f>+$H$6</f>
      </c>
      <c r="AK9" s="40" t="str">
        <f>+$F$2</f>
        <v>Svalövs BK 1</v>
      </c>
      <c r="AL9" s="40" t="str">
        <f>+$F$3</f>
        <v>Billeberga GIF</v>
      </c>
      <c r="AM9" s="40" t="str">
        <f>+$F$4</f>
        <v>Kågeröds BoIF 1</v>
      </c>
      <c r="AN9" s="40" t="str">
        <f>+$F$5</f>
        <v>Linero IF</v>
      </c>
      <c r="AO9" s="40" t="str">
        <f>+$F$6</f>
        <v>Kågeröds BoIF 2</v>
      </c>
      <c r="AP9" s="40" t="str">
        <f>F7</f>
        <v>Harrie FF/Furulunds IK</v>
      </c>
      <c r="AQ9" s="40" t="str">
        <f>F8</f>
        <v>Svalövs BK 2</v>
      </c>
      <c r="AR9" s="40">
        <f>+$H$2</f>
      </c>
      <c r="AS9" s="40">
        <f>+$H$3</f>
      </c>
      <c r="AT9" s="40">
        <f>+$H$4</f>
      </c>
      <c r="AU9" s="40">
        <f>+$H$5</f>
      </c>
      <c r="AV9" s="40">
        <f>+$H$6</f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0.75</v>
      </c>
      <c r="D11" s="29" t="s">
        <v>57</v>
      </c>
      <c r="E11" s="50">
        <f>IF(AND(Lottning!$B$2&gt;0,OR(F11=F10,F11=H10,H11=F10,H11=H10)),C11+Inställningar!$B$3+Inställningar!$B$4,C11+Inställningar!$B$1)</f>
        <v>0.7576388888888889</v>
      </c>
      <c r="F11" s="28" t="str">
        <f>+VLOOKUP(Spelordning!B2,Lottning!$A$1:$B$13,2,FALSE)</f>
        <v>Svalövs BK 1</v>
      </c>
      <c r="G11" s="29" t="s">
        <v>57</v>
      </c>
      <c r="H11" s="28" t="str">
        <f>+VLOOKUP(Spelordning!C2,Lottning!$A$1:$B$13,2,FALSE)</f>
        <v>Billeberga GIF</v>
      </c>
      <c r="J11" s="29" t="s">
        <v>57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0.7583333333333333</v>
      </c>
      <c r="D12" s="29" t="s">
        <v>57</v>
      </c>
      <c r="E12" s="50">
        <f>IF(AND(Lottning!$B$2&gt;0,OR(F12=F11,F12=H11,H12=F11,H12=H11)),C12+Inställningar!$B$3+Inställningar!$B$4,C12+Inställningar!$B$1)</f>
        <v>0.7659722222222222</v>
      </c>
      <c r="F12" s="28" t="str">
        <f>+VLOOKUP(Spelordning!B3,Lottning!$A$1:$B$13,2,FALSE)</f>
        <v>Kågeröds BoIF 1</v>
      </c>
      <c r="G12" s="29" t="s">
        <v>57</v>
      </c>
      <c r="H12" s="28" t="str">
        <f>+VLOOKUP(Spelordning!C3,Lottning!$A$1:$B$13,2,FALSE)</f>
        <v>Linero IF</v>
      </c>
      <c r="J12" s="29" t="s">
        <v>57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A</v>
      </c>
      <c r="C13" s="50">
        <f>IF(AND(Lottning!$B$2&gt;0,OR(F13=F12,F13=H12,H13=F12,H13=H12)),E12+Inställningar!$B$3+Inställningar!$B$4,E12+Inställningar!$B$3)</f>
        <v>0.7666666666666666</v>
      </c>
      <c r="D13" s="29" t="s">
        <v>57</v>
      </c>
      <c r="E13" s="50">
        <f>IF(AND(Lottning!$B$2&gt;0,OR(F13=F12,F13=H12,H13=F12,H13=H12)),C13+Inställningar!$B$3+Inställningar!$B$4,C13+Inställningar!$B$1)</f>
        <v>0.7743055555555555</v>
      </c>
      <c r="F13" s="28" t="str">
        <f>+VLOOKUP(Spelordning!B4,Lottning!$A$1:$B$13,2,FALSE)</f>
        <v>Kågeröds BoIF 2</v>
      </c>
      <c r="G13" s="29" t="s">
        <v>57</v>
      </c>
      <c r="H13" s="28" t="str">
        <f>+VLOOKUP(Spelordning!C4,Lottning!$A$1:$B$13,2,FALSE)</f>
        <v>Harrie FF/Furulunds IK</v>
      </c>
      <c r="J13" s="29" t="s">
        <v>57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A</v>
      </c>
      <c r="C14" s="50">
        <f>IF(AND(Lottning!$B$2&gt;0,OR(F14=F13,F14=H13,H14=F13,H14=H13)),E13+Inställningar!$B$3+Inställningar!$B$4,E13+Inställningar!$B$3)</f>
        <v>0.7749999999999999</v>
      </c>
      <c r="D14" s="29" t="s">
        <v>57</v>
      </c>
      <c r="E14" s="50">
        <f>IF(AND(Lottning!$B$2&gt;0,OR(F14=F13,F14=H13,H14=F13,H14=H13)),C14+Inställningar!$B$3+Inställningar!$B$4,C14+Inställningar!$B$1)</f>
        <v>0.7826388888888888</v>
      </c>
      <c r="F14" s="28" t="str">
        <f>+VLOOKUP(Spelordning!B5,Lottning!$A$1:$B$13,2,FALSE)</f>
        <v>Svalövs BK 2</v>
      </c>
      <c r="G14" s="29" t="s">
        <v>57</v>
      </c>
      <c r="H14" s="28" t="str">
        <f>+VLOOKUP(Spelordning!C5,Lottning!$A$1:$B$13,2,FALSE)</f>
        <v>Svalövs BK 1</v>
      </c>
      <c r="J14" s="29" t="s">
        <v>57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0.7833333333333332</v>
      </c>
      <c r="D16" s="29" t="s">
        <v>57</v>
      </c>
      <c r="E16" s="50">
        <f>IF(AND(Lottning!$B$2&gt;0,OR(F16=F15,F16=H15,H16=F15,H16=H15)),C16+Inställningar!$B$3+Inställningar!$B$4,C16+Inställningar!$B$1)</f>
        <v>0.7909722222222221</v>
      </c>
      <c r="F16" s="28" t="str">
        <f>+VLOOKUP(Spelordning!B6,Lottning!$A$1:$B$13,2,FALSE)</f>
        <v>Billeberga GIF</v>
      </c>
      <c r="G16" s="29" t="s">
        <v>57</v>
      </c>
      <c r="H16" s="28" t="str">
        <f>+VLOOKUP(Spelordning!C6,Lottning!$A$1:$B$13,2,FALSE)</f>
        <v>Kågeröds BoIF 1</v>
      </c>
      <c r="J16" s="29" t="s">
        <v>57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0.7916666666666665</v>
      </c>
      <c r="D17" s="29" t="s">
        <v>57</v>
      </c>
      <c r="E17" s="50">
        <f>IF(AND(Lottning!$B$2&gt;0,OR(F17=F16,F17=H16,H17=F16,H17=H16)),C17+Inställningar!$B$3+Inställningar!$B$4,C17+Inställningar!$B$1)</f>
        <v>0.7993055555555554</v>
      </c>
      <c r="F17" s="28" t="str">
        <f>+VLOOKUP(Spelordning!B7,Lottning!$A$1:$B$13,2,FALSE)</f>
        <v>Linero IF</v>
      </c>
      <c r="G17" s="29" t="s">
        <v>57</v>
      </c>
      <c r="H17" s="28" t="str">
        <f>+VLOOKUP(Spelordning!C7,Lottning!$A$1:$B$13,2,FALSE)</f>
        <v>Kågeröds BoIF 2</v>
      </c>
      <c r="J17" s="29" t="s">
        <v>57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A</v>
      </c>
      <c r="C18" s="50">
        <f>IF(AND(Lottning!$B$2&gt;0,OR(F18=F16,F18=H16,H18=F16,H18=H16)),E17+Inställningar!$B$3+Inställningar!$B$4,E17+Inställningar!$B$3)</f>
        <v>0.7999999999999998</v>
      </c>
      <c r="D18" s="29" t="s">
        <v>57</v>
      </c>
      <c r="E18" s="50">
        <f>IF(AND(Lottning!$B$2&gt;0,OR(F18=F17,F18=H17,H18=F17,H18=H17)),C18+Inställningar!$B$3+Inställningar!$B$4,C18+Inställningar!$B$1)</f>
        <v>0.8076388888888887</v>
      </c>
      <c r="F18" s="28" t="str">
        <f>+VLOOKUP(Spelordning!B8,Lottning!$A$1:$B$13,2,FALSE)</f>
        <v>Harrie FF/Furulunds IK</v>
      </c>
      <c r="G18" s="29" t="s">
        <v>57</v>
      </c>
      <c r="H18" s="28" t="str">
        <f>+VLOOKUP(Spelordning!C8,Lottning!$A$1:$B$13,2,FALSE)</f>
        <v>Svalövs BK 2</v>
      </c>
      <c r="J18" s="29" t="s">
        <v>57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A</v>
      </c>
      <c r="C19" s="50">
        <f>IF(AND(Lottning!$B$2&gt;0,OR(F19=F17,F19=H17,H19=F17,H19=H17)),E18+Inställningar!$B$3+Inställningar!$B$4,E18+Inställningar!$B$3)</f>
        <v>0.8083333333333331</v>
      </c>
      <c r="D19" s="29" t="s">
        <v>57</v>
      </c>
      <c r="E19" s="50">
        <f>IF(AND(Lottning!$B$2&gt;0,OR(F19=F18,F19=H18,H19=F18,H19=H18)),C19+Inställningar!$B$3+Inställningar!$B$4,C19+Inställningar!$B$1)</f>
        <v>0.815972222222222</v>
      </c>
      <c r="F19" s="28" t="str">
        <f>+VLOOKUP(Spelordning!B9,Lottning!$A$1:$B$13,2,FALSE)</f>
        <v>Svalövs BK 1</v>
      </c>
      <c r="G19" s="29" t="s">
        <v>57</v>
      </c>
      <c r="H19" s="28" t="str">
        <f>+VLOOKUP(Spelordning!C9,Lottning!$A$1:$B$13,2,FALSE)</f>
        <v>Kågeröds BoIF 1</v>
      </c>
      <c r="J19" s="29" t="s">
        <v>57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0.8166666666666664</v>
      </c>
      <c r="D21" s="29" t="s">
        <v>57</v>
      </c>
      <c r="E21" s="50">
        <f>IF(AND(Lottning!$B$2&gt;0,OR(F21=F20,F21=H20,H21=F20,H21=H20)),C21+Inställningar!$B$3+Inställningar!$B$4,C21+Inställningar!$B$1)</f>
        <v>0.8243055555555553</v>
      </c>
      <c r="F21" s="28" t="str">
        <f>+VLOOKUP(Spelordning!B10,Lottning!$A$1:$B$13,2,FALSE)</f>
        <v>Billeberga GIF</v>
      </c>
      <c r="G21" s="29" t="s">
        <v>57</v>
      </c>
      <c r="H21" s="28" t="str">
        <f>+VLOOKUP(Spelordning!C10,Lottning!$A$1:$B$13,2,FALSE)</f>
        <v>Linero IF</v>
      </c>
      <c r="J21" s="29" t="s">
        <v>57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0.8249999999999997</v>
      </c>
      <c r="D22" s="29" t="s">
        <v>57</v>
      </c>
      <c r="E22" s="50">
        <f>IF(AND(Lottning!$B$2&gt;0,OR(F22=F21,F22=H21,H22=F21,H22=H21)),C22+Inställningar!$B$3+Inställningar!$B$4,C22+Inställningar!$B$1)</f>
        <v>0.8326388888888886</v>
      </c>
      <c r="F22" s="28" t="str">
        <f>+VLOOKUP(Spelordning!B11,Lottning!$A$1:$B$13,2,FALSE)</f>
        <v>Kågeröds BoIF 2</v>
      </c>
      <c r="G22" s="29" t="s">
        <v>57</v>
      </c>
      <c r="H22" s="28" t="str">
        <f>+VLOOKUP(Spelordning!C11,Lottning!$A$1:$B$13,2,FALSE)</f>
        <v>Svalövs BK 2</v>
      </c>
      <c r="J22" s="29" t="s">
        <v>57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A</v>
      </c>
      <c r="C23" s="50" t="e">
        <f>IF(AND(Lottning!$B$2&gt;0,OR(F23=F21,F23=H21,H23=F21,H23=H21)),E22+Inställningar!$B$3+Inställningar!$B$4,E22+Inställningar!$B$3)</f>
        <v>#VALUE!</v>
      </c>
      <c r="D23" s="29" t="s">
        <v>57</v>
      </c>
      <c r="E23" s="50" t="e">
        <f>IF(AND(Lottning!$B$2&gt;0,OR(F23=F22,F23=H22,H23=F22,H23=H22)),C23+Inställningar!$B$3+Inställningar!$B$4,C23+Inställningar!$B$1)</f>
        <v>#VALUE!</v>
      </c>
      <c r="F23" s="28" t="str">
        <f>+VLOOKUP(Spelordning!B12,Lottning!$A$1:$B$13,2,FALSE)</f>
        <v>Harrie FF/Furulunds IK</v>
      </c>
      <c r="G23" s="29" t="s">
        <v>57</v>
      </c>
      <c r="H23" s="28" t="str">
        <f>+VLOOKUP(Spelordning!C12,Lottning!$A$1:$B$13,2,FALSE)</f>
        <v>Linero IF</v>
      </c>
      <c r="J23" s="29" t="s">
        <v>57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A</v>
      </c>
      <c r="C24" s="50" t="e">
        <f>IF(AND(Lottning!$B$2&gt;0,OR(F24=F22,F24=H22,H24=F22,H24=H22)),E23+Inställningar!$B$3+Inställningar!$B$4,E23+Inställningar!$B$3)</f>
        <v>#VALUE!</v>
      </c>
      <c r="D24" s="29" t="s">
        <v>57</v>
      </c>
      <c r="E24" s="50" t="e">
        <f>IF(AND(Lottning!$B$2&gt;0,OR(F24=F23,F24=H23,H24=F23,H24=H23)),C24+Inställningar!$B$3+Inställningar!$B$4,C24+Inställningar!$B$1)</f>
        <v>#VALUE!</v>
      </c>
      <c r="F24" s="28" t="str">
        <f>+VLOOKUP(Spelordning!B13,Lottning!$A$1:$B$13,2,FALSE)</f>
        <v>Svalövs BK 1</v>
      </c>
      <c r="G24" s="29" t="s">
        <v>57</v>
      </c>
      <c r="H24" s="28" t="str">
        <f>+VLOOKUP(Spelordning!C13,Lottning!$A$1:$B$13,2,FALSE)</f>
        <v>Kågeröds BoIF 2</v>
      </c>
      <c r="J24" s="29" t="s">
        <v>57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 t="e">
        <f>IF(AND(Lottning!$B$2&gt;0,OR(F26=F24,F26=H24,H26=F24,H26=H24)),E24+Inställningar!$B$3+Inställningar!$B$4,E24+Inställningar!$B$3)</f>
        <v>#VALUE!</v>
      </c>
      <c r="D26" s="29" t="s">
        <v>57</v>
      </c>
      <c r="E26" s="50" t="e">
        <f>IF(AND(Lottning!$B$2&gt;0,OR(F26=F25,F26=H25,H26=F25,H26=H25)),C26+Inställningar!$B$3+Inställningar!$B$4,C26+Inställningar!$B$1)</f>
        <v>#VALUE!</v>
      </c>
      <c r="F26" s="28" t="str">
        <f>+VLOOKUP(Spelordning!B14,Lottning!$A$1:$B$13,2,FALSE)</f>
        <v>Kågeröds BoIF 1</v>
      </c>
      <c r="G26" s="29" t="s">
        <v>57</v>
      </c>
      <c r="H26" s="28" t="str">
        <f>+VLOOKUP(Spelordning!C14,Lottning!$A$1:$B$13,2,FALSE)</f>
        <v>Svalövs BK 2</v>
      </c>
      <c r="J26" s="29" t="s">
        <v>57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 t="e">
        <f>IF(AND(Lottning!$B$2&gt;0,OR(F27=F25,F27=H25,H27=F25,H27=H25)),E26+Inställningar!$B$3+Inställningar!$B$4,E26+Inställningar!$B$3)</f>
        <v>#VALUE!</v>
      </c>
      <c r="D27" s="29" t="s">
        <v>57</v>
      </c>
      <c r="E27" s="50" t="e">
        <f>IF(AND(Lottning!$B$2&gt;0,OR(F27=F26,F27=H26,H27=F26,H27=H26)),C27+Inställningar!$B$3+Inställningar!$B$4,C27+Inställningar!$B$1)</f>
        <v>#VALUE!</v>
      </c>
      <c r="F27" s="28" t="str">
        <f>+VLOOKUP(Spelordning!B15,Lottning!$A$1:$B$13,2,FALSE)</f>
        <v>Harrie FF/Furulunds IK</v>
      </c>
      <c r="G27" s="29" t="s">
        <v>57</v>
      </c>
      <c r="H27" s="28" t="str">
        <f>+VLOOKUP(Spelordning!C15,Lottning!$A$1:$B$13,2,FALSE)</f>
        <v>Billeberga GIF</v>
      </c>
      <c r="J27" s="29" t="s">
        <v>57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A</v>
      </c>
      <c r="C28" s="50" t="e">
        <f>IF(AND(Lottning!$B$2&gt;0,OR(F28=F26,F28=H26,H28=F26,H28=H26)),E27+Inställningar!$B$3+Inställningar!$B$4,E27+Inställningar!$B$3)</f>
        <v>#VALUE!</v>
      </c>
      <c r="D28" s="29" t="s">
        <v>57</v>
      </c>
      <c r="E28" s="50" t="e">
        <f>IF(AND(Lottning!$B$2&gt;0,OR(F28=F27,F28=H27,H28=F27,H28=H27)),C28+Inställningar!$B$3+Inställningar!$B$4,C28+Inställningar!$B$1)</f>
        <v>#VALUE!</v>
      </c>
      <c r="F28" s="28" t="str">
        <f>+VLOOKUP(Spelordning!B16,Lottning!$A$1:$B$13,2,FALSE)</f>
        <v>Svalövs BK 1</v>
      </c>
      <c r="G28" s="29" t="s">
        <v>57</v>
      </c>
      <c r="H28" s="28" t="str">
        <f>+VLOOKUP(Spelordning!C16,Lottning!$A$1:$B$13,2,FALSE)</f>
        <v>Linero IF</v>
      </c>
      <c r="J28" s="29" t="s">
        <v>57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A</v>
      </c>
      <c r="C29" s="50" t="e">
        <f>IF(AND(Lottning!$B$2&gt;0,OR(F29=F27,F29=H27,H29=F27,H29=H27)),E28+Inställningar!$B$3+Inställningar!$B$4,E28+Inställningar!$B$3)</f>
        <v>#VALUE!</v>
      </c>
      <c r="D29" s="29" t="b">
        <f>IF($A29="","")</f>
        <v>0</v>
      </c>
      <c r="E29" s="50" t="e">
        <f>IF(AND(Lottning!$B$2&gt;0,OR(F29=F28,F29=H28,H29=F28,H29=H28)),C29+Inställningar!$B$3+Inställningar!$B$4,C29+Inställningar!$B$1)</f>
        <v>#VALUE!</v>
      </c>
      <c r="F29" s="28" t="str">
        <f>IF(A29="","",(VLOOKUP(Spelordning!B17,Lottning!$A$1:$B$13,2,FALSE)))</f>
        <v>Billeberga GIF</v>
      </c>
      <c r="G29" s="29" t="str">
        <f>IF($A29="","","-")</f>
        <v>-</v>
      </c>
      <c r="H29" s="28" t="str">
        <f>IF(A29="","",(VLOOKUP(Spelordning!C17,Lottning!$A$1:$B$13,2,FALSE)))</f>
        <v>Kågeröds BoIF 2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 t="e">
        <f>IF(AND(Lottning!$B$2&gt;0,OR(F31=F29,F31=H29,H31=F29,H31=H29)),E29+Inställningar!$B$3+Inställningar!$B$4,E29+Inställningar!$B$3)</f>
        <v>#VALUE!</v>
      </c>
      <c r="D31" s="29" t="b">
        <f>IF($A31="","")</f>
        <v>0</v>
      </c>
      <c r="E31" s="50" t="e">
        <f>IF(AND(Lottning!$B$2&gt;0,OR(F31=F30,F31=H30,H31=F30,H31=H30)),C31+Inställningar!$B$3+Inställningar!$B$4,C31+Inställningar!$B$1)</f>
        <v>#VALUE!</v>
      </c>
      <c r="F31" s="28" t="str">
        <f>IF(A31="","",(VLOOKUP(Spelordning!B18,Lottning!$A$1:$B$13,2,FALSE)))</f>
        <v>Kågeröds BoIF 1</v>
      </c>
      <c r="G31" s="29" t="str">
        <f>IF($A31="","","-")</f>
        <v>-</v>
      </c>
      <c r="H31" s="28" t="str">
        <f>IF(A31="","",(VLOOKUP(Spelordning!C18,Lottning!$A$1:$B$13,2,FALSE)))</f>
        <v>Harrie FF/Furulunds IK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 t="e">
        <f>IF(AND(Lottning!$B$2&gt;0,OR(F32=F30,F32=H30,H32=F30,H32=H30)),E31+Inställningar!$B$3+Inställningar!$B$4,E31+Inställningar!$B$3)</f>
        <v>#VALUE!</v>
      </c>
      <c r="D32" s="29" t="b">
        <f>IF($A32="","")</f>
        <v>0</v>
      </c>
      <c r="E32" s="50" t="e">
        <f>IF(AND(Lottning!$B$2&gt;0,OR(F32=F31,F32=H31,H32=F31,H32=H31)),C32+Inställningar!$B$3+Inställningar!$B$4,C32+Inställningar!$B$1)</f>
        <v>#VALUE!</v>
      </c>
      <c r="F32" s="28" t="str">
        <f>IF(A32="","",(VLOOKUP(Spelordning!B19,Lottning!$A$1:$B$13,2,FALSE)))</f>
        <v>Svalövs BK 2</v>
      </c>
      <c r="G32" s="29" t="str">
        <f>IF($A32="","","-")</f>
        <v>-</v>
      </c>
      <c r="H32" s="28" t="str">
        <f>IF(A32="","",(VLOOKUP(Spelordning!C19,Lottning!$A$1:$B$13,2,FALSE)))</f>
        <v>Billeberga GIF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A</v>
      </c>
      <c r="C33" s="50" t="e">
        <f>IF(AND(Lottning!$B$2&gt;0,OR(F33=F31,F33=H31,H33=F31,H33=H31)),E32+Inställningar!$B$3+Inställningar!$B$4,E32+Inställningar!$B$3)</f>
        <v>#VALUE!</v>
      </c>
      <c r="D33" s="29" t="b">
        <f>IF($A33="","")</f>
        <v>0</v>
      </c>
      <c r="E33" s="50" t="e">
        <f>IF(AND(Lottning!$B$2&gt;0,OR(F33=F32,F33=H32,H33=F32,H33=H32)),C33+Inställningar!$B$3+Inställningar!$B$4,C33+Inställningar!$B$1)</f>
        <v>#VALUE!</v>
      </c>
      <c r="F33" s="28" t="str">
        <f>IF(A33="","",(VLOOKUP(Spelordning!B20,Lottning!$A$1:$B$13,2,FALSE)))</f>
        <v>Kågeröds BoIF 2</v>
      </c>
      <c r="G33" s="29" t="str">
        <f>IF($A33="","","-")</f>
        <v>-</v>
      </c>
      <c r="H33" s="28" t="str">
        <f>IF(A33="","",(VLOOKUP(Spelordning!C20,Lottning!$A$1:$B$13,2,FALSE)))</f>
        <v>Kågeröds BoIF 1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A</v>
      </c>
      <c r="C34" s="50" t="e">
        <f>IF(AND(Lottning!$B$2&gt;0,OR(F34=F32,F34=H32,H34=F32,H34=H32)),E33+Inställningar!$B$3+Inställningar!$B$4,E33+Inställningar!$B$3)</f>
        <v>#VALUE!</v>
      </c>
      <c r="D34" s="29" t="b">
        <f>IF($A34="","")</f>
        <v>0</v>
      </c>
      <c r="E34" s="50" t="e">
        <f>IF(AND(Lottning!$B$2&gt;0,OR(F34=F33,F34=H33,H34=F33,H34=H33)),C34+Inställningar!$B$3+Inställningar!$B$4,C34+Inställningar!$B$1)</f>
        <v>#VALUE!</v>
      </c>
      <c r="F34" s="28" t="str">
        <f>IF(A34="","",(VLOOKUP(Spelordning!B21,Lottning!$A$1:$B$13,2,FALSE)))</f>
        <v>Svalövs BK 1</v>
      </c>
      <c r="G34" s="29" t="str">
        <f>IF($A34="","","-")</f>
        <v>-</v>
      </c>
      <c r="H34" s="28" t="str">
        <f>IF(A34="","",(VLOOKUP(Spelordning!C21,Lottning!$A$1:$B$13,2,FALSE)))</f>
        <v>Harrie FF/Furulunds IK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21</v>
      </c>
      <c r="B36" s="49" t="str">
        <f>IF(A36="","",(IF(Inställningar!B6="JA",VLOOKUP(F36,Grupper!$B$1:$C$12,2,FALSE),"")))</f>
        <v>A</v>
      </c>
      <c r="C36" s="50" t="e">
        <f>IF(A36=0,C34,(IF(AND(Lottning!$B$2&gt;0,OR(F36=F34,F36=H34,H36=F34,H36=H34)),IF(Inställningar!B6="ja",E34+Inställningar!$B$3+Inställningar!$B$4,""),IF(Inställningar!B6="ja",E34+Inställningar!$B$3,C34))))</f>
        <v>#VALUE!</v>
      </c>
      <c r="D36" s="29" t="b">
        <f>IF($A36="","")</f>
        <v>0</v>
      </c>
      <c r="E36" s="50" t="e">
        <f>IF(Inställningar!B6="ja",(IF(A36=0,E34,(IF(AND(Lottning!$B$2&gt;0,OR(F36=F34,F36=H34,H36=F34,H36=H34)),C36+Inställningar!$B$1+Inställningar!$B$4,C36+Inställningar!$B$1)))),E34)</f>
        <v>#VALUE!</v>
      </c>
      <c r="F36" s="28" t="str">
        <f>IF(A36="","",(IF(Inställningar!B6="JA",VLOOKUP(Spelordning!B22,Lottning!$A$1:$B$12,2,FALSE),"")))</f>
        <v>Linero IF</v>
      </c>
      <c r="G36" s="29" t="str">
        <f>IF($A36=0,"","-")</f>
        <v>-</v>
      </c>
      <c r="H36" s="28" t="str">
        <f>IF(A36="","",(IF(Inställningar!B6="JA",VLOOKUP(Spelordning!C22,Lottning!$A$1:$B$12,2,FALSE),"")))</f>
        <v>Svalövs BK 2</v>
      </c>
      <c r="J36" s="29" t="str">
        <f>IF(A36="","",(IF(Inställningar!B6="JA","-","")))</f>
        <v>-</v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 t="str">
        <f>IF(Inställningar!$B$5="JA",Matchnummer!A22,"")</f>
        <v>Semifinal 1</v>
      </c>
      <c r="B38" s="49"/>
      <c r="C38" s="50" t="e">
        <f>IF(AND(Inställningar!$B$6="JA",Inställningar!$B$5="JA"),E36+Inställningar!$B$4,IF(Inställningar!$B$5="JA",E36+Inställningar!$B$4,""))</f>
        <v>#VALUE!</v>
      </c>
      <c r="D38" s="29" t="str">
        <f>IF(Inställningar!$B$5="JA","-","")</f>
        <v>-</v>
      </c>
      <c r="E38" s="50" t="e">
        <f>IF(AND(Inställningar!$B$6="JA",Inställningar!$B$5="JA"),C38+Inställningar!$B$1,IF(Inställningar!$B$5="JA",C38+Inställningar!$B$1,""))</f>
        <v>#VALUE!</v>
      </c>
      <c r="F38" s="52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</v>
      </c>
      <c r="G38" s="29" t="str">
        <f>IF(Inställningar!$B$5="JA","-","")</f>
        <v>-</v>
      </c>
      <c r="H38" s="28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Trean</v>
      </c>
      <c r="J38" s="29" t="str">
        <f>IF(Inställningar!$B$5="JA","-","")</f>
        <v>-</v>
      </c>
      <c r="L38" s="51"/>
    </row>
    <row r="39" spans="1:12" ht="18">
      <c r="A39" s="48" t="str">
        <f>IF(Inställningar!$B$5="JA",Matchnummer!A23,"")</f>
        <v>Semifinal 2</v>
      </c>
      <c r="B39" s="49"/>
      <c r="C39" s="50" t="e">
        <f>IF(AND(Inställningar!$B$6="JA",Inställningar!$B$5="JA"),E38+Inställningar!$B$3,IF(Inställningar!$B$5="JA",E38+Inställningar!$B$3,""))</f>
        <v>#VALUE!</v>
      </c>
      <c r="D39" s="29" t="str">
        <f>IF(Inställningar!$B$5="JA","-","")</f>
        <v>-</v>
      </c>
      <c r="E39" s="50" t="e">
        <f>IF(AND(Inställningar!$B$6="JA",Inställningar!$B$5="JA"),C39+Inställningar!$B$1,IF(Inställningar!$B$5="JA",C39+Inställningar!$B$1,""))</f>
        <v>#VALUE!</v>
      </c>
      <c r="F39" s="28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Tvåan</v>
      </c>
      <c r="G39" s="29" t="str">
        <f>IF(Inställningar!$B$5="JA","-","")</f>
        <v>-</v>
      </c>
      <c r="H39" s="28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Fyran</v>
      </c>
      <c r="J39" s="29" t="str">
        <f>IF(Inställningar!$B$5="JA","-","")</f>
        <v>-</v>
      </c>
      <c r="L39" s="51"/>
    </row>
    <row r="40" spans="1:12" ht="18">
      <c r="A40" s="48" t="str">
        <f>IF(Inställningar!$B$5="JA",Matchnummer!A24,"")</f>
        <v>3:e pris</v>
      </c>
      <c r="B40" s="49"/>
      <c r="C40" s="50" t="e">
        <f>IF(AND(Inställningar!$B$6="JA",Inställningar!$B$5="JA"),E39+Inställningar!$B$4,IF(Inställningar!$B$5="JA",E39+Inställningar!$B$4,""))</f>
        <v>#VALUE!</v>
      </c>
      <c r="D40" s="29" t="str">
        <f>IF(Inställningar!$B$5="JA","-","")</f>
        <v>-</v>
      </c>
      <c r="E40" s="50" t="e">
        <f>IF(AND(Inställningar!$B$6="JA",Inställningar!$B$5="JA"),C40+Inställningar!$B$1,IF(Inställningar!$B$5="JA",C40+Inställningar!$B$1,""))</f>
        <v>#VALUE!</v>
      </c>
      <c r="F40" s="28" t="str">
        <f>IF(Inställningar!$B$5="JA",(IF(AND(L38="X",OR(I38&gt;0,K38&gt;0)),(IF(I38&lt;K38,F38,H38)),"Förlorare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IF(Inställningar!$B$5="JA",(IF(AND(L39="x",OR(I39&gt;0,K39&gt;0)),(IF(I39&lt;K39,F39,H39)),"Förlorare semi 2")),"")</f>
        <v>Förlorare semi 2</v>
      </c>
      <c r="J40" s="29" t="str">
        <f>IF(Inställningar!$B$5="JA","-","")</f>
        <v>-</v>
      </c>
      <c r="L40" s="51"/>
    </row>
    <row r="41" spans="1:12" ht="18">
      <c r="A41" s="48" t="str">
        <f>IF(Inställningar!$B$5="JA",Matchnummer!A25,"")</f>
        <v>Final</v>
      </c>
      <c r="B41" s="49"/>
      <c r="C41" s="50" t="e">
        <f>IF(AND(Inställningar!$B$6="JA",Inställningar!$B$5="JA"),E40+Inställningar!$B$3,IF(Inställningar!$B$5="JA",E40+Inställningar!$B$3,""))</f>
        <v>#VALUE!</v>
      </c>
      <c r="D41" s="29" t="str">
        <f>IF(Inställningar!$B$5="JA","-","")</f>
        <v>-</v>
      </c>
      <c r="E41" s="50" t="e">
        <f>IF(AND(Inställningar!$B$6="JA",Inställningar!$B$5="JA"),C41+Inställningar!$B$1,IF(Inställningar!$B$5="JA",C41+Inställningar!$B$1,""))</f>
        <v>#VALUE!</v>
      </c>
      <c r="F41" s="28" t="str">
        <f>IF(Inställningar!$B$5="JA",(IF(L38="X",(IF(I38&gt;K38,F38,H38)),"Vinnare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IF(Inställningar!$B$5="JA",(IF(L39="X",(IF(I39&gt;K39,F39,H39)),"Vinnare semi 2")),"")</f>
        <v>Vinnare semi 2</v>
      </c>
      <c r="J41" s="29" t="str">
        <f>IF(Inställningar!$B$5="JA","-","")</f>
        <v>-</v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1"/>
      <c r="I43" s="121"/>
      <c r="J43" s="121"/>
      <c r="K43" s="121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1"/>
      <c r="I44" s="121"/>
      <c r="J44" s="121"/>
      <c r="K44" s="121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0" operator="equal" stopIfTrue="1">
      <formula>C34</formula>
    </cfRule>
  </conditionalFormatting>
  <conditionalFormatting sqref="M1:AV65536">
    <cfRule type="cellIs" priority="2" dxfId="2" operator="equal" stopIfTrue="1">
      <formula>TRUE</formula>
    </cfRule>
  </conditionalFormatting>
  <conditionalFormatting sqref="A11:A14 A16:A19 A21:A24 A26:A29 A31:A34 A36">
    <cfRule type="cellIs" priority="3" dxfId="0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zoomScalePageLayoutView="0" workbookViewId="0" topLeftCell="A1">
      <pane xSplit="8" ySplit="9" topLeftCell="I3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H40" sqref="H40"/>
    </sheetView>
  </sheetViews>
  <sheetFormatPr defaultColWidth="0" defaultRowHeight="12.75" customHeight="1" zeroHeight="1"/>
  <cols>
    <col min="1" max="1" width="11.28125" style="26" customWidth="1"/>
    <col min="2" max="2" width="6.57421875" style="27" customWidth="1"/>
    <col min="3" max="3" width="6.421875" style="28" customWidth="1"/>
    <col min="4" max="4" width="1.57421875" style="29" customWidth="1"/>
    <col min="5" max="5" width="6.00390625" style="28" customWidth="1"/>
    <col min="6" max="6" width="27.7109375" style="28" customWidth="1"/>
    <col min="7" max="7" width="5.421875" style="28" customWidth="1"/>
    <col min="8" max="8" width="26.28125" style="28" customWidth="1"/>
    <col min="9" max="9" width="3.00390625" style="28" customWidth="1"/>
    <col min="10" max="10" width="6.28125" style="30" customWidth="1"/>
    <col min="11" max="11" width="3.0039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DELTAGANDE LAG</v>
      </c>
      <c r="G1" s="34"/>
      <c r="H1" s="34">
        <f>+IF(Vakant!G1&gt;0,Vakant!G1,"")</f>
      </c>
      <c r="I1" s="28"/>
      <c r="J1" s="28"/>
      <c r="K1" s="28"/>
      <c r="L1" s="122" t="s">
        <v>58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Svalövs BK 1</v>
      </c>
      <c r="G2" s="37"/>
      <c r="H2" s="37">
        <f>IF(Vakant!G2="VAKANT","",(IF(Vakant!G2&gt;0,Vakant!G2,"")))</f>
      </c>
      <c r="I2" s="38"/>
      <c r="J2" s="28"/>
      <c r="K2" s="28"/>
      <c r="L2" s="122"/>
    </row>
    <row r="3" spans="2:12" ht="18" customHeight="1">
      <c r="B3" s="33"/>
      <c r="F3" s="37" t="str">
        <f>IF(Vakant!E3="VAKANT","",(IF(Vakant!E3&gt;0,Vakant!E3,"")))</f>
        <v>Billeberga GIF</v>
      </c>
      <c r="G3" s="37"/>
      <c r="H3" s="37">
        <f>IF(Vakant!G3="VAKANT","",(IF(Vakant!G3&gt;0,Vakant!G3,"")))</f>
      </c>
      <c r="I3" s="38"/>
      <c r="J3" s="28"/>
      <c r="K3" s="28"/>
      <c r="L3" s="122"/>
    </row>
    <row r="4" spans="2:12" ht="18" customHeight="1">
      <c r="B4" s="33"/>
      <c r="F4" s="37" t="str">
        <f>IF(Vakant!E4="VAKANT","",(IF(Vakant!E4&gt;0,Vakant!E4,"")))</f>
        <v>Kågeröds BoIF 1</v>
      </c>
      <c r="G4" s="37"/>
      <c r="H4" s="37">
        <f>IF(Vakant!G4="VAKANT","",(IF(Vakant!G4&gt;0,Vakant!G4,"")))</f>
      </c>
      <c r="I4" s="38"/>
      <c r="J4" s="28"/>
      <c r="K4" s="28"/>
      <c r="L4" s="123" t="s">
        <v>59</v>
      </c>
    </row>
    <row r="5" spans="1:12" ht="18" customHeight="1">
      <c r="A5" s="33"/>
      <c r="B5" s="33"/>
      <c r="F5" s="37" t="str">
        <f>IF(Vakant!E5="VAKANT","",(IF(Vakant!E5&gt;0,Vakant!E5,"")))</f>
        <v>Linero IF</v>
      </c>
      <c r="G5" s="37"/>
      <c r="H5" s="37">
        <f>IF(Vakant!G5="VAKANT","",(IF(Vakant!G5&gt;0,Vakant!G5,"")))</f>
      </c>
      <c r="I5" s="38"/>
      <c r="J5" s="28"/>
      <c r="K5" s="28"/>
      <c r="L5" s="123"/>
    </row>
    <row r="6" spans="1:12" ht="18" customHeight="1">
      <c r="A6" s="33"/>
      <c r="B6" s="33"/>
      <c r="F6" s="37" t="str">
        <f>IF(Vakant!E6="VAKANT","",(IF(Vakant!E6&gt;0,Vakant!E6,"")))</f>
        <v>Kågeröds BoIF 2</v>
      </c>
      <c r="G6" s="37"/>
      <c r="H6" s="37">
        <f>IF(Vakant!G6="VAKANT","",(IF(Vakant!G6&gt;0,Vakant!G6,"")))</f>
      </c>
      <c r="I6" s="38"/>
      <c r="J6" s="28"/>
      <c r="K6" s="28"/>
      <c r="L6" s="123"/>
    </row>
    <row r="7" spans="1:12" ht="18" customHeight="1">
      <c r="A7" s="33"/>
      <c r="B7" s="33"/>
      <c r="F7" s="37" t="str">
        <f>IF(Vakant!E7="VAKANT","",(IF(Vakant!E7&gt;0,Vakant!E7,"")))</f>
        <v>Harrie FF/Furulunds IK</v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 t="str">
        <f>IF(Vakant!E8="VAKANT","",(IF(Vakant!E8&gt;0,Vakant!E8,"")))</f>
        <v>Svalövs BK 2</v>
      </c>
      <c r="H8" s="28">
        <f>+IF(Vakant!G8&gt;0,Vakant!G8,"")</f>
      </c>
      <c r="J8" s="28"/>
      <c r="K8" s="28"/>
      <c r="L8" s="61"/>
      <c r="M8" s="31" t="s">
        <v>48</v>
      </c>
      <c r="N8" s="31" t="s">
        <v>48</v>
      </c>
      <c r="O8" s="31" t="s">
        <v>48</v>
      </c>
      <c r="P8" s="31" t="s">
        <v>48</v>
      </c>
      <c r="Q8" s="31" t="s">
        <v>48</v>
      </c>
      <c r="R8" s="31" t="s">
        <v>48</v>
      </c>
      <c r="S8" s="31" t="s">
        <v>48</v>
      </c>
      <c r="T8" s="31" t="s">
        <v>48</v>
      </c>
      <c r="U8" s="31" t="s">
        <v>48</v>
      </c>
      <c r="V8" s="31" t="s">
        <v>48</v>
      </c>
      <c r="W8" s="31" t="s">
        <v>48</v>
      </c>
      <c r="X8" s="31" t="s">
        <v>48</v>
      </c>
      <c r="Y8" s="31" t="s">
        <v>49</v>
      </c>
      <c r="Z8" s="31" t="s">
        <v>49</v>
      </c>
      <c r="AA8" s="31" t="s">
        <v>49</v>
      </c>
      <c r="AB8" s="31" t="s">
        <v>49</v>
      </c>
      <c r="AC8" s="31" t="s">
        <v>49</v>
      </c>
      <c r="AD8" s="31" t="s">
        <v>49</v>
      </c>
      <c r="AE8" s="31" t="s">
        <v>49</v>
      </c>
      <c r="AF8" s="31" t="s">
        <v>49</v>
      </c>
      <c r="AG8" s="31" t="s">
        <v>49</v>
      </c>
      <c r="AH8" s="31" t="s">
        <v>49</v>
      </c>
      <c r="AI8" s="31" t="s">
        <v>49</v>
      </c>
      <c r="AJ8" s="31" t="s">
        <v>49</v>
      </c>
      <c r="AK8" s="31" t="s">
        <v>50</v>
      </c>
      <c r="AL8" s="31" t="s">
        <v>50</v>
      </c>
      <c r="AM8" s="31" t="s">
        <v>50</v>
      </c>
      <c r="AN8" s="31" t="s">
        <v>50</v>
      </c>
      <c r="AO8" s="31" t="s">
        <v>50</v>
      </c>
      <c r="AP8" s="31" t="s">
        <v>50</v>
      </c>
      <c r="AQ8" s="31" t="s">
        <v>50</v>
      </c>
      <c r="AR8" s="31" t="s">
        <v>50</v>
      </c>
      <c r="AS8" s="31" t="s">
        <v>50</v>
      </c>
      <c r="AT8" s="31" t="s">
        <v>50</v>
      </c>
      <c r="AU8" s="31" t="s">
        <v>50</v>
      </c>
      <c r="AV8" s="31" t="s">
        <v>50</v>
      </c>
      <c r="AW8" s="32" t="s">
        <v>56</v>
      </c>
      <c r="AX8" s="32" t="s">
        <v>60</v>
      </c>
      <c r="AY8" s="32" t="s">
        <v>60</v>
      </c>
    </row>
    <row r="9" spans="1:51" s="41" customFormat="1" ht="18" customHeight="1">
      <c r="A9" s="26" t="str">
        <f>+IF(Vakant!A9&gt;0,Vakant!A9,"")</f>
        <v>Match</v>
      </c>
      <c r="B9" s="26" t="s">
        <v>52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0" t="str">
        <f>+IF(Vakant!H9&gt;0,Vakant!H9,"")</f>
        <v>Resultat</v>
      </c>
      <c r="J9" s="120" t="e">
        <f>+IF(#REF!&gt;0,#REF!,"")</f>
        <v>#REF!</v>
      </c>
      <c r="K9" s="120" t="e">
        <f>+IF(#REF!&gt;0,#REF!,"")</f>
        <v>#REF!</v>
      </c>
      <c r="L9" s="39" t="str">
        <f>+IF(Vakant!K9&gt;0,Vakant!K9,"")</f>
        <v>Spelad</v>
      </c>
      <c r="M9" s="40" t="str">
        <f>+$F$2</f>
        <v>Svalövs BK 1</v>
      </c>
      <c r="N9" s="40" t="str">
        <f>+$F$3</f>
        <v>Billeberga GIF</v>
      </c>
      <c r="O9" s="40" t="str">
        <f>+$F$4</f>
        <v>Kågeröds BoIF 1</v>
      </c>
      <c r="P9" s="40" t="str">
        <f>+$F$5</f>
        <v>Linero IF</v>
      </c>
      <c r="Q9" s="40" t="str">
        <f>+$F$6</f>
        <v>Kågeröds BoIF 2</v>
      </c>
      <c r="R9" s="40" t="str">
        <f>+$F$7</f>
        <v>Harrie FF/Furulunds IK</v>
      </c>
      <c r="S9" s="40" t="str">
        <f>+$F$8</f>
        <v>Svalövs BK 2</v>
      </c>
      <c r="T9" s="40">
        <f>+$H$2</f>
      </c>
      <c r="U9" s="40">
        <f>+$H$3</f>
      </c>
      <c r="V9" s="40">
        <f>+$H$4</f>
      </c>
      <c r="W9" s="40">
        <f>+$H$5</f>
      </c>
      <c r="X9" s="40">
        <f>+H$6</f>
      </c>
      <c r="Y9" s="40" t="str">
        <f>+$F$2</f>
        <v>Svalövs BK 1</v>
      </c>
      <c r="Z9" s="40" t="str">
        <f>+$F$3</f>
        <v>Billeberga GIF</v>
      </c>
      <c r="AA9" s="40" t="str">
        <f>+$F$4</f>
        <v>Kågeröds BoIF 1</v>
      </c>
      <c r="AB9" s="40" t="str">
        <f>+$F$5</f>
        <v>Linero IF</v>
      </c>
      <c r="AC9" s="40" t="str">
        <f>+$F$6</f>
        <v>Kågeröds BoIF 2</v>
      </c>
      <c r="AD9" s="40" t="str">
        <f>$F$7</f>
        <v>Harrie FF/Furulunds IK</v>
      </c>
      <c r="AE9" s="40" t="str">
        <f>$F$8</f>
        <v>Svalövs BK 2</v>
      </c>
      <c r="AF9" s="40">
        <f>+$H$2</f>
      </c>
      <c r="AG9" s="40">
        <f>+$H$3</f>
      </c>
      <c r="AH9" s="40">
        <f>+$H$4</f>
      </c>
      <c r="AI9" s="40">
        <f>+$H$5</f>
      </c>
      <c r="AJ9" s="40">
        <f>+$H$6</f>
      </c>
      <c r="AK9" s="40" t="str">
        <f>+$F$2</f>
        <v>Svalövs BK 1</v>
      </c>
      <c r="AL9" s="40" t="str">
        <f>+$F$3</f>
        <v>Billeberga GIF</v>
      </c>
      <c r="AM9" s="40" t="str">
        <f>+$F$4</f>
        <v>Kågeröds BoIF 1</v>
      </c>
      <c r="AN9" s="40" t="str">
        <f>+$F$5</f>
        <v>Linero IF</v>
      </c>
      <c r="AO9" s="40" t="str">
        <f>+$F$6</f>
        <v>Kågeröds BoIF 2</v>
      </c>
      <c r="AP9" s="40" t="str">
        <f>F7</f>
        <v>Harrie FF/Furulunds IK</v>
      </c>
      <c r="AQ9" s="40" t="str">
        <f>F8</f>
        <v>Svalövs BK 2</v>
      </c>
      <c r="AR9" s="40">
        <f>+$H$2</f>
      </c>
      <c r="AS9" s="40">
        <f>+$H$3</f>
      </c>
      <c r="AT9" s="40">
        <f>+$H$4</f>
      </c>
      <c r="AU9" s="40">
        <f>+$H$5</f>
      </c>
      <c r="AV9" s="40">
        <f>+$H$6</f>
      </c>
      <c r="AX9" s="41" t="s">
        <v>61</v>
      </c>
      <c r="AY9" s="41" t="s">
        <v>62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0.75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0.7576388888888889</v>
      </c>
      <c r="F10" s="28" t="str">
        <f>IF(OR(AND(A10&lt;=21,A10&gt;0)),(VLOOKUP(A10,Vakant!$A$10:$G$51,5,FALSE)),"")</f>
        <v>Svalövs BK 1</v>
      </c>
      <c r="G10" s="29" t="str">
        <f>+IF((OR(AND(A10&lt;=21,A10&gt;0))),"-","")</f>
        <v>-</v>
      </c>
      <c r="H10" s="28" t="str">
        <f>+IF(OR(AND(A10&lt;=21,A10&gt;0)),(VLOOKUP(A10,Vakant!$A$10:$G$51,7,FALSE)),"")</f>
        <v>Billeberga GIF</v>
      </c>
      <c r="I10" s="30">
        <v>2</v>
      </c>
      <c r="J10" s="29" t="str">
        <f aca="true" t="shared" si="0" ref="J10:J36">+IF((OR(AND(A10&lt;=21,A10&gt;0))),"-","")</f>
        <v>-</v>
      </c>
      <c r="K10" s="30">
        <v>3</v>
      </c>
      <c r="L10" s="30" t="s">
        <v>80</v>
      </c>
      <c r="M10" s="31" t="b">
        <f>IF(AW10=TRUE,(OR(AND(M$9=$F10,$I10&gt;$K10,AW10=TRUE),AND(M$9=$H10,$K10&gt;$I10,AW10=TRUE))),0)</f>
        <v>0</v>
      </c>
      <c r="N10" s="31" t="b">
        <f>IF(AW10=TRUE,(OR(AND(N$9=$F10,$I10&gt;$K10,AW10=TRUE),AND(N$9=$H10,$K10&gt;$I10,AW10=TRUE))),0)</f>
        <v>1</v>
      </c>
      <c r="O10" s="31" t="b">
        <f>IF(AW10=TRUE,(OR(AND(O$9=$F10,$I10&gt;$K10,AW10=TRUE),AND(O$9=$H10,$K10&gt;$I10,AW10=TRUE))),0)</f>
        <v>0</v>
      </c>
      <c r="P10" s="31" t="b">
        <f>IF(AW10=TRUE,(OR(AND(P$9=$F10,$I10&gt;$K10,AW10=TRUE),AND(P$9=$H10,$K10&gt;$I10,AW10=TRUE))),0)</f>
        <v>0</v>
      </c>
      <c r="Q10" s="31" t="b">
        <f>IF(AW10=TRUE,(OR(AND(Q$9=$F10,$I10&gt;$K10,AW10=TRUE),AND(Q$9=$H10,$K10&gt;$I10,AW10=TRUE))),0)</f>
        <v>0</v>
      </c>
      <c r="R10" s="31" t="b">
        <f>IF(AW10=TRUE,(OR(AND(R$9=$F10,$I10&gt;$K10,AW10=TRUE),AND(R$9=$H10,$K10&gt;$I10,AW10=TRUE))),0)</f>
        <v>0</v>
      </c>
      <c r="S10" s="31" t="b">
        <f>IF(AW10=TRUE,(OR(AND(S$9=$F10,$I10&gt;$K10,AW10=TRUE),AND(S$9=$H10,$K10&gt;$I10,AW10=TRUE))),0)</f>
        <v>0</v>
      </c>
      <c r="T10" s="31" t="b">
        <f>IF(AW10=TRUE,(OR(AND(T$9=$F10,$I10&gt;$K10,AW10=TRUE),AND(T$9=$H10,$K10&gt;$I10,AW10=TRUE))),0)</f>
        <v>0</v>
      </c>
      <c r="U10" s="31" t="b">
        <f>IF(AW10=TRUE,(OR(AND(U$9=$F10,$I10&gt;$K10,AW10=TRUE),AND(U$9=$H10,$K10&gt;$I10,AW10=TRUE))),0)</f>
        <v>0</v>
      </c>
      <c r="V10" s="31" t="b">
        <f>IF(AW10=TRUE,(OR(AND(V$9=$F10,$I10&gt;$K10,AW10=TRUE),AND(V$9=$H10,$K10&gt;$I10,AW10=TRUE))),0)</f>
        <v>0</v>
      </c>
      <c r="W10" s="31" t="b">
        <f>IF(AW10=TRUE,(OR(AND(W$9=$F10,$I10&gt;$K10,AW10=TRUE),AND(W$9=$H10,$K10&gt;$I10,AW10=TRUE))),0)</f>
        <v>0</v>
      </c>
      <c r="X10" s="31" t="b">
        <f>IF(AW10=TRUE,(OR(AND(X$9=$F10,$I10&gt;$K10,AW10=TRUE),AND(X$9=$H10,$K10&gt;$I10,AW10=TRUE))),0)</f>
        <v>0</v>
      </c>
      <c r="Y10" s="31" t="b">
        <f>IF(AW10=TRUE,(OR(AND(Y$9=$F10,$I10&lt;$K10,AW10=TRUE),AND(Y$9=$H10,$K10&lt;$I10,AW10=TRUE))),0)</f>
        <v>1</v>
      </c>
      <c r="Z10" s="31" t="b">
        <f>IF(AW10=TRUE,(OR(AND(Z$9=$F10,$I10&lt;$K10,AW10=TRUE),AND(Z$9=$H10,$K10&lt;$I10,AW10=TRUE))),0)</f>
        <v>0</v>
      </c>
      <c r="AA10" s="31" t="b">
        <f>IF(AW10=TRUE,(OR(AND(AA$9=$F10,$I10&lt;$K10,AW10=TRUE),AND(AA$9=$H10,$K10&lt;$I10,AW10=TRUE))),0)</f>
        <v>0</v>
      </c>
      <c r="AB10" s="31" t="b">
        <f>IF(AW10=TRUE,(OR(AND(AB$9=$F10,$I10&lt;$K10,AW10=TRUE),AND(AB$9=$H10,$K10&lt;$I10,AW10=TRUE))),0)</f>
        <v>0</v>
      </c>
      <c r="AC10" s="31" t="b">
        <f>IF(AW10=TRUE,(OR(AND(AC$9=$F10,$I10&lt;$K10,AW10=TRUE),AND(AC$9=$H10,$K10&lt;$I10,AW10=TRUE))),0)</f>
        <v>0</v>
      </c>
      <c r="AD10" s="31" t="b">
        <f>IF(AW10=TRUE,(OR(AND(AD$9=$F10,$I10&lt;$K10,AW10=TRUE),AND(AD$9=$H10,$K10&lt;$I10,AW10=TRUE))),0)</f>
        <v>0</v>
      </c>
      <c r="AE10" s="31" t="b">
        <f>IF(AW10=TRUE,(OR(AND(AE$9=$F10,$I10&lt;$K10,AW10=TRUE),AND(AE$9=$H10,$K10&lt;$I10,AW10=TRUE))),0)</f>
        <v>0</v>
      </c>
      <c r="AF10" s="31" t="b">
        <f>IF(AW10=TRUE,(OR(AND(AF$9=$F10,$I10&lt;$K10,AW10=TRUE),AND(AF$9=$H10,$K10&lt;$I10,AW10=TRUE))),0)</f>
        <v>0</v>
      </c>
      <c r="AG10" s="31" t="b">
        <f>IF(AW10=TRUE,(OR(AND(AG$9=$F10,$I10&lt;$K10,AW10=TRUE),AND(AG$9=$H10,$K10&lt;$I10,AW10=TRUE))),0)</f>
        <v>0</v>
      </c>
      <c r="AH10" s="31" t="b">
        <f>IF(AW10=TRUE,(OR(AND(AH$9=$F10,$I10&lt;$K10,AW10=TRUE),AND(AH$9=$H10,$K10&lt;$I10,AW10=TRUE))),0)</f>
        <v>0</v>
      </c>
      <c r="AI10" s="31" t="b">
        <f>IF(AW10=TRUE,(OR(AND(AI$9=$F10,$I10&lt;$K10,AW10=TRUE),AND(AI$9=$H10,$K10&lt;$I10,AW10=TRUE))),0)</f>
        <v>0</v>
      </c>
      <c r="AJ10" s="31" t="b">
        <f>IF(AW10=TRUE,(OR(AND(AJ$9=$F10,$I10&lt;$K10,AW10=TRUE),AND(AJ$9=$H10,$K10&lt;$I10,AW10=TRUE))),0)</f>
        <v>0</v>
      </c>
      <c r="AK10" s="31" t="b">
        <f>IF(AW10=TRUE,(OR(AND(AK$9=$F10,$I10=$K10,AW10=TRUE),AND(AK$9=$H10,$K10=$I10,AW10=TRUE))),0)</f>
        <v>0</v>
      </c>
      <c r="AL10" s="31" t="b">
        <f>IF(AW10=TRUE,(OR(AND(AL$9=$F10,$I10=$K10,AW10=TRUE),AND(AL$9=$H10,$K10=$I10,AW10=TRUE))),0)</f>
        <v>0</v>
      </c>
      <c r="AM10" s="31" t="b">
        <f>IF(AW10=TRUE,(OR(AND(AM$9=$F10,$I10=$K10,AW10=TRUE),AND(AM$9=$H10,$K10=$I10,AW10=TRUE))),0)</f>
        <v>0</v>
      </c>
      <c r="AN10" s="31" t="b">
        <f>IF(AW10=TRUE,(OR(AND(AN$9=$F10,$I10=$K10,AW10=TRUE),AND(AN$9=$H10,$K10=$I10,AW10=TRUE))),0)</f>
        <v>0</v>
      </c>
      <c r="AO10" s="31" t="b">
        <f>IF(AW10=TRUE,(OR(AND(AO$9=$F10,$I10=$K10,AW10=TRUE),AND(AO$9=$H10,$K10=$I10,AW10=TRUE))),0)</f>
        <v>0</v>
      </c>
      <c r="AP10" s="31" t="b">
        <f>IF(AW10=TRUE,(OR(AND(AP$9=$F10,$I10=$K10,AW10=TRUE),AND(AP$9=$H10,$K10=$I10,AW10=TRUE))),0)</f>
        <v>0</v>
      </c>
      <c r="AQ10" s="31" t="b">
        <f>IF(AW10=TRUE,(OR(AND(AQ$9=$F10,$I10=$K10,AW10=TRUE),AND(AQ$9=$H10,$K10=$I10,AW10=TRUE))),0)</f>
        <v>0</v>
      </c>
      <c r="AR10" s="31" t="b">
        <f>IF(AW10=TRUE,(OR(AND(AR$9=$F10,$I10=$K10,AW10=TRUE),AND(AR$9=$H10,$K10=$I10,AW10=TRUE))),0)</f>
        <v>0</v>
      </c>
      <c r="AS10" s="31" t="b">
        <f>IF(AW10=TRUE,(OR(AND(AS$9=$F10,$I10=$K10,AW10=TRUE),AND(AS$9=$H10,$K10=$I10,AW10=TRUE))),0)</f>
        <v>0</v>
      </c>
      <c r="AT10" s="31" t="b">
        <f>IF(AW10=TRUE,(OR(AND(AT$9=$F10,$I10=$K10,AW10=TRUE),AND(AT$9=$H10,$K10=$I10,AW10=TRUE))),0)</f>
        <v>0</v>
      </c>
      <c r="AU10" s="31" t="b">
        <f>IF(AW10=TRUE,(OR(AND(AU$9=$F10,$I10=$K10,AW10=TRUE),AND(AU$9=$H10,$K10=$I10,AW10=TRUE))),0)</f>
        <v>0</v>
      </c>
      <c r="AV10" s="31" t="b">
        <f>IF(AW10=TRUE,(OR(AND(AV$9=$F10,$I10=$K10,AW10=TRUE),AND(AV$9=$H10,$K10=$I10,AW10=TRUE))),0)</f>
        <v>0</v>
      </c>
      <c r="AW10" s="32" t="b">
        <f>IF(AND(A10&gt;0,I10&lt;&gt;"",K10&lt;&gt;"",L10="X"),TRUE,FALSE)</f>
        <v>1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0.7583333333333333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0.7659722222222222</v>
      </c>
      <c r="F11" s="28" t="str">
        <f>IF(OR(AND(A11&lt;=21,A11&gt;0)),(VLOOKUP(A11,Vakant!$A$10:$G$51,5,FALSE)),"")</f>
        <v>Kågeröds BoIF 1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Linero IF</v>
      </c>
      <c r="I11" s="30">
        <v>0</v>
      </c>
      <c r="J11" s="29" t="str">
        <f t="shared" si="0"/>
        <v>-</v>
      </c>
      <c r="K11" s="30">
        <v>2</v>
      </c>
      <c r="L11" s="30" t="s">
        <v>80</v>
      </c>
      <c r="M11" s="31" t="b">
        <f aca="true" t="shared" si="2" ref="M11:M37">IF(AW11=TRUE,(OR(AND(M$9=$F11,$I11&gt;$K11,AW11=TRUE),AND(M$9=$H11,$K11&gt;$I11,AW11=TRUE))),0)</f>
        <v>0</v>
      </c>
      <c r="N11" s="31" t="b">
        <f aca="true" t="shared" si="3" ref="N11:N37">IF(AW11=TRUE,(OR(AND(N$9=$F11,$I11&gt;$K11,AW11=TRUE),AND(N$9=$H11,$K11&gt;$I11,AW11=TRUE))),0)</f>
        <v>0</v>
      </c>
      <c r="O11" s="31" t="b">
        <f aca="true" t="shared" si="4" ref="O11:O37">IF(AW11=TRUE,(OR(AND(O$9=$F11,$I11&gt;$K11,AW11=TRUE),AND(O$9=$H11,$K11&gt;$I11,AW11=TRUE))),0)</f>
        <v>0</v>
      </c>
      <c r="P11" s="31" t="b">
        <f aca="true" t="shared" si="5" ref="P11:P37">IF(AW11=TRUE,(OR(AND(P$9=$F11,$I11&gt;$K11,AW11=TRUE),AND(P$9=$H11,$K11&gt;$I11,AW11=TRUE))),0)</f>
        <v>1</v>
      </c>
      <c r="Q11" s="31" t="b">
        <f aca="true" t="shared" si="6" ref="Q11:Q37">IF(AW11=TRUE,(OR(AND(Q$9=$F11,$I11&gt;$K11,AW11=TRUE),AND(Q$9=$H11,$K11&gt;$I11,AW11=TRUE))),0)</f>
        <v>0</v>
      </c>
      <c r="R11" s="31" t="b">
        <f aca="true" t="shared" si="7" ref="R11:R37">IF(AW11=TRUE,(OR(AND(R$9=$F11,$I11&gt;$K11,AW11=TRUE),AND(R$9=$H11,$K11&gt;$I11,AW11=TRUE))),0)</f>
        <v>0</v>
      </c>
      <c r="S11" s="31" t="b">
        <f aca="true" t="shared" si="8" ref="S11:S37">IF(AW11=TRUE,(OR(AND(S$9=$F11,$I11&gt;$K11,AW11=TRUE),AND(S$9=$H11,$K11&gt;$I11,AW11=TRUE))),0)</f>
        <v>0</v>
      </c>
      <c r="T11" s="31" t="b">
        <f aca="true" t="shared" si="9" ref="T11:T37">IF(AW11=TRUE,(OR(AND(T$9=$F11,$I11&gt;$K11,AW11=TRUE),AND(T$9=$H11,$K11&gt;$I11,AW11=TRUE))),0)</f>
        <v>0</v>
      </c>
      <c r="U11" s="31" t="b">
        <f aca="true" t="shared" si="10" ref="U11:U37">IF(AW11=TRUE,(OR(AND(U$9=$F11,$I11&gt;$K11,AW11=TRUE),AND(U$9=$H11,$K11&gt;$I11,AW11=TRUE))),0)</f>
        <v>0</v>
      </c>
      <c r="V11" s="31" t="b">
        <f aca="true" t="shared" si="11" ref="V11:V37">IF(AW11=TRUE,(OR(AND(V$9=$F11,$I11&gt;$K11,AW11=TRUE),AND(V$9=$H11,$K11&gt;$I11,AW11=TRUE))),0)</f>
        <v>0</v>
      </c>
      <c r="W11" s="31" t="b">
        <f aca="true" t="shared" si="12" ref="W11:W37">IF(AW11=TRUE,(OR(AND(W$9=$F11,$I11&gt;$K11,AW11=TRUE),AND(W$9=$H11,$K11&gt;$I11,AW11=TRUE))),0)</f>
        <v>0</v>
      </c>
      <c r="X11" s="31" t="b">
        <f aca="true" t="shared" si="13" ref="X11:X37">IF(AW11=TRUE,(OR(AND(X$9=$F11,$I11&gt;$K11,AW11=TRUE),AND(X$9=$H11,$K11&gt;$I11,AW11=TRUE))),0)</f>
        <v>0</v>
      </c>
      <c r="Y11" s="31" t="b">
        <f aca="true" t="shared" si="14" ref="Y11:Y37">IF(AW11=TRUE,(OR(AND(Y$9=$F11,$I11&lt;$K11,AW11=TRUE),AND(Y$9=$H11,$K11&lt;$I11,AW11=TRUE))),0)</f>
        <v>0</v>
      </c>
      <c r="Z11" s="31" t="b">
        <f aca="true" t="shared" si="15" ref="Z11:Z37">IF(AW11=TRUE,(OR(AND(Z$9=$F11,$I11&lt;$K11,AW11=TRUE),AND(Z$9=$H11,$K11&lt;$I11,AW11=TRUE))),0)</f>
        <v>0</v>
      </c>
      <c r="AA11" s="31" t="b">
        <f aca="true" t="shared" si="16" ref="AA11:AA37">IF(AW11=TRUE,(OR(AND(AA$9=$F11,$I11&lt;$K11,AW11=TRUE),AND(AA$9=$H11,$K11&lt;$I11,AW11=TRUE))),0)</f>
        <v>1</v>
      </c>
      <c r="AB11" s="31" t="b">
        <f aca="true" t="shared" si="17" ref="AB11:AB37">IF(AW11=TRUE,(OR(AND(AB$9=$F11,$I11&lt;$K11,AW11=TRUE),AND(AB$9=$H11,$K11&lt;$I11,AW11=TRUE))),0)</f>
        <v>0</v>
      </c>
      <c r="AC11" s="31" t="b">
        <f aca="true" t="shared" si="18" ref="AC11:AC37">IF(AW11=TRUE,(OR(AND(AC$9=$F11,$I11&lt;$K11,AW11=TRUE),AND(AC$9=$H11,$K11&lt;$I11,AW11=TRUE))),0)</f>
        <v>0</v>
      </c>
      <c r="AD11" s="31" t="b">
        <f aca="true" t="shared" si="19" ref="AD11:AD37">IF(AW11=TRUE,(OR(AND(AD$9=$F11,$I11&lt;$K11,AW11=TRUE),AND(AD$9=$H11,$K11&lt;$I11,AW11=TRUE))),0)</f>
        <v>0</v>
      </c>
      <c r="AE11" s="31" t="b">
        <f aca="true" t="shared" si="20" ref="AE11:AE37">IF(AW11=TRUE,(OR(AND(AE$9=$F11,$I11&lt;$K11,AW11=TRUE),AND(AE$9=$H11,$K11&lt;$I11,AW11=TRUE))),0)</f>
        <v>0</v>
      </c>
      <c r="AF11" s="31" t="b">
        <f aca="true" t="shared" si="21" ref="AF11:AF37">IF(AW11=TRUE,(OR(AND(AF$9=$F11,$I11&lt;$K11,AW11=TRUE),AND(AF$9=$H11,$K11&lt;$I11,AW11=TRUE))),0)</f>
        <v>0</v>
      </c>
      <c r="AG11" s="31" t="b">
        <f aca="true" t="shared" si="22" ref="AG11:AG37">IF(AW11=TRUE,(OR(AND(AG$9=$F11,$I11&lt;$K11,AW11=TRUE),AND(AG$9=$H11,$K11&lt;$I11,AW11=TRUE))),0)</f>
        <v>0</v>
      </c>
      <c r="AH11" s="31" t="b">
        <f aca="true" t="shared" si="23" ref="AH11:AH37">IF(AW11=TRUE,(OR(AND(AH$9=$F11,$I11&lt;$K11,AW11=TRUE),AND(AH$9=$H11,$K11&lt;$I11,AW11=TRUE))),0)</f>
        <v>0</v>
      </c>
      <c r="AI11" s="31" t="b">
        <f aca="true" t="shared" si="24" ref="AI11:AI37">IF(AW11=TRUE,(OR(AND(AI$9=$F11,$I11&lt;$K11,AW11=TRUE),AND(AI$9=$H11,$K11&lt;$I11,AW11=TRUE))),0)</f>
        <v>0</v>
      </c>
      <c r="AJ11" s="31" t="b">
        <f aca="true" t="shared" si="25" ref="AJ11:AJ37">IF(AW11=TRUE,(OR(AND(AJ$9=$F11,$I11&lt;$K11,AW11=TRUE),AND(AJ$9=$H11,$K11&lt;$I11,AW11=TRUE))),0)</f>
        <v>0</v>
      </c>
      <c r="AK11" s="31" t="b">
        <f aca="true" t="shared" si="26" ref="AK11:AK37">IF(AW11=TRUE,(OR(AND(AK$9=$F11,$I11=$K11,AW11=TRUE),AND(AK$9=$H11,$K11=$I11,AW11=TRUE))),0)</f>
        <v>0</v>
      </c>
      <c r="AL11" s="31" t="b">
        <f aca="true" t="shared" si="27" ref="AL11:AL37">IF(AW11=TRUE,(OR(AND(AL$9=$F11,$I11=$K11,AW11=TRUE),AND(AL$9=$H11,$K11=$I11,AW11=TRUE))),0)</f>
        <v>0</v>
      </c>
      <c r="AM11" s="31" t="b">
        <f aca="true" t="shared" si="28" ref="AM11:AM37">IF(AW11=TRUE,(OR(AND(AM$9=$F11,$I11=$K11,AW11=TRUE),AND(AM$9=$H11,$K11=$I11,AW11=TRUE))),0)</f>
        <v>0</v>
      </c>
      <c r="AN11" s="31" t="b">
        <f aca="true" t="shared" si="29" ref="AN11:AN37">IF(AW11=TRUE,(OR(AND(AN$9=$F11,$I11=$K11,AW11=TRUE),AND(AN$9=$H11,$K11=$I11,AW11=TRUE))),0)</f>
        <v>0</v>
      </c>
      <c r="AO11" s="31" t="b">
        <f aca="true" t="shared" si="30" ref="AO11:AO37">IF(AW11=TRUE,(OR(AND(AO$9=$F11,$I11=$K11,AW11=TRUE),AND(AO$9=$H11,$K11=$I11,AW11=TRUE))),0)</f>
        <v>0</v>
      </c>
      <c r="AP11" s="31" t="b">
        <f aca="true" t="shared" si="31" ref="AP11:AP37">IF(AW11=TRUE,(OR(AND(AP$9=$F11,$I11=$K11,AW11=TRUE),AND(AP$9=$H11,$K11=$I11,AW11=TRUE))),0)</f>
        <v>0</v>
      </c>
      <c r="AQ11" s="31" t="b">
        <f aca="true" t="shared" si="32" ref="AQ11:AQ37">IF(AW11=TRUE,(OR(AND(AQ$9=$F11,$I11=$K11,AW11=TRUE),AND(AQ$9=$H11,$K11=$I11,AW11=TRUE))),0)</f>
        <v>0</v>
      </c>
      <c r="AR11" s="31" t="b">
        <f aca="true" t="shared" si="33" ref="AR11:AR37">IF(AW11=TRUE,(OR(AND(AR$9=$F11,$I11=$K11,AW11=TRUE),AND(AR$9=$H11,$K11=$I11,AW11=TRUE))),0)</f>
        <v>0</v>
      </c>
      <c r="AS11" s="31" t="b">
        <f aca="true" t="shared" si="34" ref="AS11:AS37">IF(AW11=TRUE,(OR(AND(AS$9=$F11,$I11=$K11,AW11=TRUE),AND(AS$9=$H11,$K11=$I11,AW11=TRUE))),0)</f>
        <v>0</v>
      </c>
      <c r="AT11" s="31" t="b">
        <f aca="true" t="shared" si="35" ref="AT11:AT37">IF(AW11=TRUE,(OR(AND(AT$9=$F11,$I11=$K11,AW11=TRUE),AND(AT$9=$H11,$K11=$I11,AW11=TRUE))),0)</f>
        <v>0</v>
      </c>
      <c r="AU11" s="31" t="b">
        <f aca="true" t="shared" si="36" ref="AU11:AU37">IF(AW11=TRUE,(OR(AND(AU$9=$F11,$I11=$K11,AW11=TRUE),AND(AU$9=$H11,$K11=$I11,AW11=TRUE))),0)</f>
        <v>0</v>
      </c>
      <c r="AV11" s="31" t="b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1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A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0.7666666666666666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0.7743055555555555</v>
      </c>
      <c r="F12" s="28" t="str">
        <f>IF(OR(AND(A12&lt;=21,A12&gt;0)),(VLOOKUP(A12,Vakant!$A$10:$G$51,5,FALSE)),"")</f>
        <v>Kågeröds BoIF 2</v>
      </c>
      <c r="G12" s="29" t="str">
        <f t="shared" si="1"/>
        <v>-</v>
      </c>
      <c r="H12" s="28" t="str">
        <f>+IF(OR(AND(A12&lt;=21,A12&gt;0)),(VLOOKUP(A12,Vakant!$A$10:$G$51,7,FALSE)),"")</f>
        <v>Harrie FF/Furulunds IK</v>
      </c>
      <c r="I12" s="30">
        <v>1</v>
      </c>
      <c r="J12" s="29" t="str">
        <f t="shared" si="0"/>
        <v>-</v>
      </c>
      <c r="K12" s="30">
        <v>2</v>
      </c>
      <c r="L12" s="30" t="s">
        <v>80</v>
      </c>
      <c r="M12" s="31" t="b">
        <f t="shared" si="2"/>
        <v>0</v>
      </c>
      <c r="N12" s="31" t="b">
        <f t="shared" si="3"/>
        <v>0</v>
      </c>
      <c r="O12" s="31" t="b">
        <f t="shared" si="4"/>
        <v>0</v>
      </c>
      <c r="P12" s="31" t="b">
        <f t="shared" si="5"/>
        <v>0</v>
      </c>
      <c r="Q12" s="31" t="b">
        <f t="shared" si="6"/>
        <v>0</v>
      </c>
      <c r="R12" s="31" t="b">
        <f t="shared" si="7"/>
        <v>1</v>
      </c>
      <c r="S12" s="31" t="b">
        <f t="shared" si="8"/>
        <v>0</v>
      </c>
      <c r="T12" s="31" t="b">
        <f t="shared" si="9"/>
        <v>0</v>
      </c>
      <c r="U12" s="31" t="b">
        <f t="shared" si="10"/>
        <v>0</v>
      </c>
      <c r="V12" s="31" t="b">
        <f t="shared" si="11"/>
        <v>0</v>
      </c>
      <c r="W12" s="31" t="b">
        <f t="shared" si="12"/>
        <v>0</v>
      </c>
      <c r="X12" s="31" t="b">
        <f t="shared" si="13"/>
        <v>0</v>
      </c>
      <c r="Y12" s="31" t="b">
        <f t="shared" si="14"/>
        <v>0</v>
      </c>
      <c r="Z12" s="31" t="b">
        <f t="shared" si="15"/>
        <v>0</v>
      </c>
      <c r="AA12" s="31" t="b">
        <f t="shared" si="16"/>
        <v>0</v>
      </c>
      <c r="AB12" s="31" t="b">
        <f t="shared" si="17"/>
        <v>0</v>
      </c>
      <c r="AC12" s="31" t="b">
        <f t="shared" si="18"/>
        <v>1</v>
      </c>
      <c r="AD12" s="31" t="b">
        <f t="shared" si="19"/>
        <v>0</v>
      </c>
      <c r="AE12" s="31" t="b">
        <f t="shared" si="20"/>
        <v>0</v>
      </c>
      <c r="AF12" s="31" t="b">
        <f t="shared" si="21"/>
        <v>0</v>
      </c>
      <c r="AG12" s="31" t="b">
        <f t="shared" si="22"/>
        <v>0</v>
      </c>
      <c r="AH12" s="31" t="b">
        <f t="shared" si="23"/>
        <v>0</v>
      </c>
      <c r="AI12" s="31" t="b">
        <f t="shared" si="24"/>
        <v>0</v>
      </c>
      <c r="AJ12" s="31" t="b">
        <f t="shared" si="25"/>
        <v>0</v>
      </c>
      <c r="AK12" s="31" t="b">
        <f t="shared" si="26"/>
        <v>0</v>
      </c>
      <c r="AL12" s="31" t="b">
        <f t="shared" si="27"/>
        <v>0</v>
      </c>
      <c r="AM12" s="31" t="b">
        <f t="shared" si="28"/>
        <v>0</v>
      </c>
      <c r="AN12" s="31" t="b">
        <f t="shared" si="29"/>
        <v>0</v>
      </c>
      <c r="AO12" s="31" t="b">
        <f t="shared" si="30"/>
        <v>0</v>
      </c>
      <c r="AP12" s="31" t="b">
        <f t="shared" si="31"/>
        <v>0</v>
      </c>
      <c r="AQ12" s="31" t="b">
        <f t="shared" si="32"/>
        <v>0</v>
      </c>
      <c r="AR12" s="31" t="b">
        <f t="shared" si="33"/>
        <v>0</v>
      </c>
      <c r="AS12" s="31" t="b">
        <f t="shared" si="34"/>
        <v>0</v>
      </c>
      <c r="AT12" s="31" t="b">
        <f t="shared" si="35"/>
        <v>0</v>
      </c>
      <c r="AU12" s="31" t="b">
        <f t="shared" si="36"/>
        <v>0</v>
      </c>
      <c r="AV12" s="31" t="b">
        <f t="shared" si="37"/>
        <v>0</v>
      </c>
      <c r="AW12" s="32" t="b">
        <f t="shared" si="38"/>
        <v>1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A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0.7749999999999999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0.7826388888888888</v>
      </c>
      <c r="F13" s="28" t="str">
        <f>IF(OR(AND(A13&lt;=21,A13&gt;0)),(VLOOKUP(A13,Vakant!$A$10:$G$51,5,FALSE)),"")</f>
        <v>Svalövs BK 2</v>
      </c>
      <c r="G13" s="29" t="str">
        <f t="shared" si="1"/>
        <v>-</v>
      </c>
      <c r="H13" s="28" t="str">
        <f>+IF(OR(AND(A13&lt;=21,A13&gt;0)),(VLOOKUP(A13,Vakant!$A$10:$G$51,7,FALSE)),"")</f>
        <v>Svalövs BK 1</v>
      </c>
      <c r="I13" s="30">
        <v>1</v>
      </c>
      <c r="J13" s="29" t="str">
        <f t="shared" si="0"/>
        <v>-</v>
      </c>
      <c r="K13" s="30">
        <v>2</v>
      </c>
      <c r="L13" s="51" t="s">
        <v>80</v>
      </c>
      <c r="M13" s="31" t="b">
        <f t="shared" si="2"/>
        <v>1</v>
      </c>
      <c r="N13" s="31" t="b">
        <f t="shared" si="3"/>
        <v>0</v>
      </c>
      <c r="O13" s="31" t="b">
        <f t="shared" si="4"/>
        <v>0</v>
      </c>
      <c r="P13" s="31" t="b">
        <f t="shared" si="5"/>
        <v>0</v>
      </c>
      <c r="Q13" s="31" t="b">
        <f t="shared" si="6"/>
        <v>0</v>
      </c>
      <c r="R13" s="31" t="b">
        <f t="shared" si="7"/>
        <v>0</v>
      </c>
      <c r="S13" s="31" t="b">
        <f t="shared" si="8"/>
        <v>0</v>
      </c>
      <c r="T13" s="31" t="b">
        <f t="shared" si="9"/>
        <v>0</v>
      </c>
      <c r="U13" s="31" t="b">
        <f t="shared" si="10"/>
        <v>0</v>
      </c>
      <c r="V13" s="31" t="b">
        <f t="shared" si="11"/>
        <v>0</v>
      </c>
      <c r="W13" s="31" t="b">
        <f t="shared" si="12"/>
        <v>0</v>
      </c>
      <c r="X13" s="31" t="b">
        <f t="shared" si="13"/>
        <v>0</v>
      </c>
      <c r="Y13" s="31" t="b">
        <f t="shared" si="14"/>
        <v>0</v>
      </c>
      <c r="Z13" s="31" t="b">
        <f t="shared" si="15"/>
        <v>0</v>
      </c>
      <c r="AA13" s="31" t="b">
        <f t="shared" si="16"/>
        <v>0</v>
      </c>
      <c r="AB13" s="31" t="b">
        <f t="shared" si="17"/>
        <v>0</v>
      </c>
      <c r="AC13" s="31" t="b">
        <f t="shared" si="18"/>
        <v>0</v>
      </c>
      <c r="AD13" s="31" t="b">
        <f t="shared" si="19"/>
        <v>0</v>
      </c>
      <c r="AE13" s="31" t="b">
        <f t="shared" si="20"/>
        <v>1</v>
      </c>
      <c r="AF13" s="31" t="b">
        <f t="shared" si="21"/>
        <v>0</v>
      </c>
      <c r="AG13" s="31" t="b">
        <f t="shared" si="22"/>
        <v>0</v>
      </c>
      <c r="AH13" s="31" t="b">
        <f t="shared" si="23"/>
        <v>0</v>
      </c>
      <c r="AI13" s="31" t="b">
        <f t="shared" si="24"/>
        <v>0</v>
      </c>
      <c r="AJ13" s="31" t="b">
        <f t="shared" si="25"/>
        <v>0</v>
      </c>
      <c r="AK13" s="31" t="b">
        <f t="shared" si="26"/>
        <v>0</v>
      </c>
      <c r="AL13" s="31" t="b">
        <f t="shared" si="27"/>
        <v>0</v>
      </c>
      <c r="AM13" s="31" t="b">
        <f t="shared" si="28"/>
        <v>0</v>
      </c>
      <c r="AN13" s="31" t="b">
        <f t="shared" si="29"/>
        <v>0</v>
      </c>
      <c r="AO13" s="31" t="b">
        <f t="shared" si="30"/>
        <v>0</v>
      </c>
      <c r="AP13" s="31" t="b">
        <f t="shared" si="31"/>
        <v>0</v>
      </c>
      <c r="AQ13" s="31" t="b">
        <f t="shared" si="32"/>
        <v>0</v>
      </c>
      <c r="AR13" s="31" t="b">
        <f t="shared" si="33"/>
        <v>0</v>
      </c>
      <c r="AS13" s="31" t="b">
        <f t="shared" si="34"/>
        <v>0</v>
      </c>
      <c r="AT13" s="31" t="b">
        <f t="shared" si="35"/>
        <v>0</v>
      </c>
      <c r="AU13" s="31" t="b">
        <f t="shared" si="36"/>
        <v>0</v>
      </c>
      <c r="AV13" s="31" t="b">
        <f t="shared" si="37"/>
        <v>0</v>
      </c>
      <c r="AW13" s="32" t="b">
        <f t="shared" si="38"/>
        <v>1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0.7749999999999999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0.7826388888888888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0.7833333333333332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0.7909722222222221</v>
      </c>
      <c r="F15" s="28" t="str">
        <f>IF(OR(AND(A15&lt;=21,A15&gt;0)),(VLOOKUP(A15,Vakant!$A$10:$G$51,5,FALSE)),"")</f>
        <v>Billeberga GIF</v>
      </c>
      <c r="G15" s="29" t="str">
        <f t="shared" si="1"/>
        <v>-</v>
      </c>
      <c r="H15" s="28" t="str">
        <f>+IF(OR(AND(A15&lt;=21,A15&gt;0)),(VLOOKUP(A15,Vakant!$A$10:$G$51,7,FALSE)),"")</f>
        <v>Kågeröds BoIF 1</v>
      </c>
      <c r="I15" s="30">
        <v>1</v>
      </c>
      <c r="J15" s="29" t="str">
        <f t="shared" si="0"/>
        <v>-</v>
      </c>
      <c r="K15" s="30">
        <v>2</v>
      </c>
      <c r="L15" s="51" t="s">
        <v>80</v>
      </c>
      <c r="M15" s="31" t="b">
        <f t="shared" si="2"/>
        <v>0</v>
      </c>
      <c r="N15" s="31" t="b">
        <f t="shared" si="3"/>
        <v>0</v>
      </c>
      <c r="O15" s="31" t="b">
        <f t="shared" si="4"/>
        <v>1</v>
      </c>
      <c r="P15" s="31" t="b">
        <f t="shared" si="5"/>
        <v>0</v>
      </c>
      <c r="Q15" s="31" t="b">
        <f t="shared" si="6"/>
        <v>0</v>
      </c>
      <c r="R15" s="31" t="b">
        <f t="shared" si="7"/>
        <v>0</v>
      </c>
      <c r="S15" s="31" t="b">
        <f t="shared" si="8"/>
        <v>0</v>
      </c>
      <c r="T15" s="31" t="b">
        <f t="shared" si="9"/>
        <v>0</v>
      </c>
      <c r="U15" s="31" t="b">
        <f t="shared" si="10"/>
        <v>0</v>
      </c>
      <c r="V15" s="31" t="b">
        <f t="shared" si="11"/>
        <v>0</v>
      </c>
      <c r="W15" s="31" t="b">
        <f t="shared" si="12"/>
        <v>0</v>
      </c>
      <c r="X15" s="31" t="b">
        <f t="shared" si="13"/>
        <v>0</v>
      </c>
      <c r="Y15" s="31" t="b">
        <f t="shared" si="14"/>
        <v>0</v>
      </c>
      <c r="Z15" s="31" t="b">
        <f t="shared" si="15"/>
        <v>1</v>
      </c>
      <c r="AA15" s="31" t="b">
        <f t="shared" si="16"/>
        <v>0</v>
      </c>
      <c r="AB15" s="31" t="b">
        <f t="shared" si="17"/>
        <v>0</v>
      </c>
      <c r="AC15" s="31" t="b">
        <f t="shared" si="18"/>
        <v>0</v>
      </c>
      <c r="AD15" s="31" t="b">
        <f t="shared" si="19"/>
        <v>0</v>
      </c>
      <c r="AE15" s="31" t="b">
        <f t="shared" si="20"/>
        <v>0</v>
      </c>
      <c r="AF15" s="31" t="b">
        <f t="shared" si="21"/>
        <v>0</v>
      </c>
      <c r="AG15" s="31" t="b">
        <f t="shared" si="22"/>
        <v>0</v>
      </c>
      <c r="AH15" s="31" t="b">
        <f t="shared" si="23"/>
        <v>0</v>
      </c>
      <c r="AI15" s="31" t="b">
        <f t="shared" si="24"/>
        <v>0</v>
      </c>
      <c r="AJ15" s="31" t="b">
        <f t="shared" si="25"/>
        <v>0</v>
      </c>
      <c r="AK15" s="31" t="b">
        <f t="shared" si="26"/>
        <v>0</v>
      </c>
      <c r="AL15" s="31" t="b">
        <f t="shared" si="27"/>
        <v>0</v>
      </c>
      <c r="AM15" s="31" t="b">
        <f t="shared" si="28"/>
        <v>0</v>
      </c>
      <c r="AN15" s="31" t="b">
        <f t="shared" si="29"/>
        <v>0</v>
      </c>
      <c r="AO15" s="31" t="b">
        <f t="shared" si="30"/>
        <v>0</v>
      </c>
      <c r="AP15" s="31" t="b">
        <f t="shared" si="31"/>
        <v>0</v>
      </c>
      <c r="AQ15" s="31" t="b">
        <f t="shared" si="32"/>
        <v>0</v>
      </c>
      <c r="AR15" s="31" t="b">
        <f t="shared" si="33"/>
        <v>0</v>
      </c>
      <c r="AS15" s="31" t="b">
        <f t="shared" si="34"/>
        <v>0</v>
      </c>
      <c r="AT15" s="31" t="b">
        <f t="shared" si="35"/>
        <v>0</v>
      </c>
      <c r="AU15" s="31" t="b">
        <f t="shared" si="36"/>
        <v>0</v>
      </c>
      <c r="AV15" s="31" t="b">
        <f t="shared" si="37"/>
        <v>0</v>
      </c>
      <c r="AW15" s="32" t="b">
        <f t="shared" si="38"/>
        <v>1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0.7916666666666665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0.7993055555555554</v>
      </c>
      <c r="F16" s="28" t="str">
        <f>IF(OR(AND(A16&lt;=21,A16&gt;0)),(VLOOKUP(A16,Vakant!$A$10:$G$51,5,FALSE)),"")</f>
        <v>Linero IF</v>
      </c>
      <c r="G16" s="29" t="str">
        <f t="shared" si="1"/>
        <v>-</v>
      </c>
      <c r="H16" s="28" t="str">
        <f>+IF(OR(AND(A16&lt;=21,A16&gt;0)),(VLOOKUP(A16,Vakant!$A$10:$G$51,7,FALSE)),"")</f>
        <v>Kågeröds BoIF 2</v>
      </c>
      <c r="I16" s="30">
        <v>3</v>
      </c>
      <c r="J16" s="29" t="str">
        <f t="shared" si="0"/>
        <v>-</v>
      </c>
      <c r="K16" s="30">
        <v>0</v>
      </c>
      <c r="L16" s="51" t="s">
        <v>80</v>
      </c>
      <c r="M16" s="31" t="b">
        <f t="shared" si="2"/>
        <v>0</v>
      </c>
      <c r="N16" s="31" t="b">
        <f t="shared" si="3"/>
        <v>0</v>
      </c>
      <c r="O16" s="31" t="b">
        <f t="shared" si="4"/>
        <v>0</v>
      </c>
      <c r="P16" s="31" t="b">
        <f t="shared" si="5"/>
        <v>1</v>
      </c>
      <c r="Q16" s="31" t="b">
        <f t="shared" si="6"/>
        <v>0</v>
      </c>
      <c r="R16" s="31" t="b">
        <f t="shared" si="7"/>
        <v>0</v>
      </c>
      <c r="S16" s="31" t="b">
        <f t="shared" si="8"/>
        <v>0</v>
      </c>
      <c r="T16" s="31" t="b">
        <f t="shared" si="9"/>
        <v>0</v>
      </c>
      <c r="U16" s="31" t="b">
        <f t="shared" si="10"/>
        <v>0</v>
      </c>
      <c r="V16" s="31" t="b">
        <f t="shared" si="11"/>
        <v>0</v>
      </c>
      <c r="W16" s="31" t="b">
        <f t="shared" si="12"/>
        <v>0</v>
      </c>
      <c r="X16" s="31" t="b">
        <f t="shared" si="13"/>
        <v>0</v>
      </c>
      <c r="Y16" s="31" t="b">
        <f t="shared" si="14"/>
        <v>0</v>
      </c>
      <c r="Z16" s="31" t="b">
        <f t="shared" si="15"/>
        <v>0</v>
      </c>
      <c r="AA16" s="31" t="b">
        <f t="shared" si="16"/>
        <v>0</v>
      </c>
      <c r="AB16" s="31" t="b">
        <f t="shared" si="17"/>
        <v>0</v>
      </c>
      <c r="AC16" s="31" t="b">
        <f t="shared" si="18"/>
        <v>1</v>
      </c>
      <c r="AD16" s="31" t="b">
        <f t="shared" si="19"/>
        <v>0</v>
      </c>
      <c r="AE16" s="31" t="b">
        <f t="shared" si="20"/>
        <v>0</v>
      </c>
      <c r="AF16" s="31" t="b">
        <f t="shared" si="21"/>
        <v>0</v>
      </c>
      <c r="AG16" s="31" t="b">
        <f t="shared" si="22"/>
        <v>0</v>
      </c>
      <c r="AH16" s="31" t="b">
        <f t="shared" si="23"/>
        <v>0</v>
      </c>
      <c r="AI16" s="31" t="b">
        <f t="shared" si="24"/>
        <v>0</v>
      </c>
      <c r="AJ16" s="31" t="b">
        <f t="shared" si="25"/>
        <v>0</v>
      </c>
      <c r="AK16" s="31" t="b">
        <f t="shared" si="26"/>
        <v>0</v>
      </c>
      <c r="AL16" s="31" t="b">
        <f t="shared" si="27"/>
        <v>0</v>
      </c>
      <c r="AM16" s="31" t="b">
        <f t="shared" si="28"/>
        <v>0</v>
      </c>
      <c r="AN16" s="31" t="b">
        <f t="shared" si="29"/>
        <v>0</v>
      </c>
      <c r="AO16" s="31" t="b">
        <f t="shared" si="30"/>
        <v>0</v>
      </c>
      <c r="AP16" s="31" t="b">
        <f t="shared" si="31"/>
        <v>0</v>
      </c>
      <c r="AQ16" s="31" t="b">
        <f t="shared" si="32"/>
        <v>0</v>
      </c>
      <c r="AR16" s="31" t="b">
        <f t="shared" si="33"/>
        <v>0</v>
      </c>
      <c r="AS16" s="31" t="b">
        <f t="shared" si="34"/>
        <v>0</v>
      </c>
      <c r="AT16" s="31" t="b">
        <f t="shared" si="35"/>
        <v>0</v>
      </c>
      <c r="AU16" s="31" t="b">
        <f t="shared" si="36"/>
        <v>0</v>
      </c>
      <c r="AV16" s="31" t="b">
        <f t="shared" si="37"/>
        <v>0</v>
      </c>
      <c r="AW16" s="32" t="b">
        <f t="shared" si="38"/>
        <v>1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A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0.7999999999999998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0.8076388888888887</v>
      </c>
      <c r="F17" s="28" t="str">
        <f>IF(OR(AND(A17&lt;=21,A17&gt;0)),(VLOOKUP(A17,Vakant!$A$10:$G$51,5,FALSE)),"")</f>
        <v>Harrie FF/Furulunds IK</v>
      </c>
      <c r="G17" s="29" t="str">
        <f t="shared" si="1"/>
        <v>-</v>
      </c>
      <c r="H17" s="28" t="str">
        <f>+IF(OR(AND(A17&lt;=21,A17&gt;0)),(VLOOKUP(A17,Vakant!$A$10:$G$51,7,FALSE)),"")</f>
        <v>Svalövs BK 2</v>
      </c>
      <c r="I17" s="30">
        <v>1</v>
      </c>
      <c r="J17" s="29" t="str">
        <f t="shared" si="0"/>
        <v>-</v>
      </c>
      <c r="K17" s="30">
        <v>3</v>
      </c>
      <c r="L17" s="51" t="s">
        <v>80</v>
      </c>
      <c r="M17" s="31" t="b">
        <f t="shared" si="2"/>
        <v>0</v>
      </c>
      <c r="N17" s="31" t="b">
        <f t="shared" si="3"/>
        <v>0</v>
      </c>
      <c r="O17" s="31" t="b">
        <f t="shared" si="4"/>
        <v>0</v>
      </c>
      <c r="P17" s="31" t="b">
        <f t="shared" si="5"/>
        <v>0</v>
      </c>
      <c r="Q17" s="31" t="b">
        <f t="shared" si="6"/>
        <v>0</v>
      </c>
      <c r="R17" s="31" t="b">
        <f t="shared" si="7"/>
        <v>0</v>
      </c>
      <c r="S17" s="31" t="b">
        <f t="shared" si="8"/>
        <v>1</v>
      </c>
      <c r="T17" s="31" t="b">
        <f t="shared" si="9"/>
        <v>0</v>
      </c>
      <c r="U17" s="31" t="b">
        <f t="shared" si="10"/>
        <v>0</v>
      </c>
      <c r="V17" s="31" t="b">
        <f t="shared" si="11"/>
        <v>0</v>
      </c>
      <c r="W17" s="31" t="b">
        <f t="shared" si="12"/>
        <v>0</v>
      </c>
      <c r="X17" s="31" t="b">
        <f t="shared" si="13"/>
        <v>0</v>
      </c>
      <c r="Y17" s="31" t="b">
        <f t="shared" si="14"/>
        <v>0</v>
      </c>
      <c r="Z17" s="31" t="b">
        <f t="shared" si="15"/>
        <v>0</v>
      </c>
      <c r="AA17" s="31" t="b">
        <f t="shared" si="16"/>
        <v>0</v>
      </c>
      <c r="AB17" s="31" t="b">
        <f t="shared" si="17"/>
        <v>0</v>
      </c>
      <c r="AC17" s="31" t="b">
        <f t="shared" si="18"/>
        <v>0</v>
      </c>
      <c r="AD17" s="31" t="b">
        <f t="shared" si="19"/>
        <v>1</v>
      </c>
      <c r="AE17" s="31" t="b">
        <f t="shared" si="20"/>
        <v>0</v>
      </c>
      <c r="AF17" s="31" t="b">
        <f t="shared" si="21"/>
        <v>0</v>
      </c>
      <c r="AG17" s="31" t="b">
        <f t="shared" si="22"/>
        <v>0</v>
      </c>
      <c r="AH17" s="31" t="b">
        <f t="shared" si="23"/>
        <v>0</v>
      </c>
      <c r="AI17" s="31" t="b">
        <f t="shared" si="24"/>
        <v>0</v>
      </c>
      <c r="AJ17" s="31" t="b">
        <f t="shared" si="25"/>
        <v>0</v>
      </c>
      <c r="AK17" s="31" t="b">
        <f t="shared" si="26"/>
        <v>0</v>
      </c>
      <c r="AL17" s="31" t="b">
        <f t="shared" si="27"/>
        <v>0</v>
      </c>
      <c r="AM17" s="31" t="b">
        <f t="shared" si="28"/>
        <v>0</v>
      </c>
      <c r="AN17" s="31" t="b">
        <f t="shared" si="29"/>
        <v>0</v>
      </c>
      <c r="AO17" s="31" t="b">
        <f t="shared" si="30"/>
        <v>0</v>
      </c>
      <c r="AP17" s="31" t="b">
        <f t="shared" si="31"/>
        <v>0</v>
      </c>
      <c r="AQ17" s="31" t="b">
        <f t="shared" si="32"/>
        <v>0</v>
      </c>
      <c r="AR17" s="31" t="b">
        <f t="shared" si="33"/>
        <v>0</v>
      </c>
      <c r="AS17" s="31" t="b">
        <f t="shared" si="34"/>
        <v>0</v>
      </c>
      <c r="AT17" s="31" t="b">
        <f t="shared" si="35"/>
        <v>0</v>
      </c>
      <c r="AU17" s="31" t="b">
        <f t="shared" si="36"/>
        <v>0</v>
      </c>
      <c r="AV17" s="31" t="b">
        <f t="shared" si="37"/>
        <v>0</v>
      </c>
      <c r="AW17" s="32" t="b">
        <f t="shared" si="38"/>
        <v>1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A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0.8083333333333331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0.815972222222222</v>
      </c>
      <c r="F18" s="28" t="str">
        <f>IF(OR(AND(A18&lt;=21,A18&gt;0)),(VLOOKUP(A18,Vakant!$A$10:$G$51,5,FALSE)),"")</f>
        <v>Svalövs BK 1</v>
      </c>
      <c r="G18" s="29" t="str">
        <f t="shared" si="1"/>
        <v>-</v>
      </c>
      <c r="H18" s="28" t="str">
        <f>+IF(OR(AND(A18&lt;=21,A18&gt;0)),(VLOOKUP(A18,Vakant!$A$10:$G$51,7,FALSE)),"")</f>
        <v>Kågeröds BoIF 1</v>
      </c>
      <c r="I18" s="38">
        <v>1</v>
      </c>
      <c r="J18" s="29" t="str">
        <f t="shared" si="0"/>
        <v>-</v>
      </c>
      <c r="K18" s="30">
        <v>0</v>
      </c>
      <c r="L18" s="51" t="s">
        <v>80</v>
      </c>
      <c r="M18" s="31" t="e">
        <f>IF(AW18=TRUE,(OR(AND(M$9=$F18,#REF!&gt;$K18,AW18=TRUE),AND(M$9=$H18,$K18&gt;#REF!,AW18=TRUE))),0)</f>
        <v>#REF!</v>
      </c>
      <c r="N18" s="31" t="e">
        <f>IF(AW18=TRUE,(OR(AND(N$9=$F18,#REF!&gt;$K18,AW18=TRUE),AND(N$9=$H18,$K18&gt;#REF!,AW18=TRUE))),0)</f>
        <v>#REF!</v>
      </c>
      <c r="O18" s="31" t="e">
        <f>IF(AW18=TRUE,(OR(AND(O$9=$F18,#REF!&gt;$K18,AW18=TRUE),AND(O$9=$H18,$K18&gt;#REF!,AW18=TRUE))),0)</f>
        <v>#REF!</v>
      </c>
      <c r="P18" s="31" t="e">
        <f>IF(AW18=TRUE,(OR(AND(P$9=$F18,#REF!&gt;$K18,AW18=TRUE),AND(P$9=$H18,$K18&gt;#REF!,AW18=TRUE))),0)</f>
        <v>#REF!</v>
      </c>
      <c r="Q18" s="31" t="e">
        <f>IF(AW18=TRUE,(OR(AND(Q$9=$F18,#REF!&gt;$K18,AW18=TRUE),AND(Q$9=$H18,$K18&gt;#REF!,AW18=TRUE))),0)</f>
        <v>#REF!</v>
      </c>
      <c r="R18" s="31" t="e">
        <f>IF(AW18=TRUE,(OR(AND(R$9=$F18,#REF!&gt;$K18,AW18=TRUE),AND(R$9=$H18,$K18&gt;#REF!,AW18=TRUE))),0)</f>
        <v>#REF!</v>
      </c>
      <c r="S18" s="31" t="e">
        <f>IF(AW18=TRUE,(OR(AND(S$9=$F18,#REF!&gt;$K18,AW18=TRUE),AND(S$9=$H18,$K18&gt;#REF!,AW18=TRUE))),0)</f>
        <v>#REF!</v>
      </c>
      <c r="T18" s="31" t="e">
        <f>IF(AW18=TRUE,(OR(AND(T$9=$F18,#REF!&gt;$K18,AW18=TRUE),AND(T$9=$H18,$K18&gt;#REF!,AW18=TRUE))),0)</f>
        <v>#REF!</v>
      </c>
      <c r="U18" s="31" t="e">
        <f>IF(AW18=TRUE,(OR(AND(U$9=$F18,#REF!&gt;$K18,AW18=TRUE),AND(U$9=$H18,$K18&gt;#REF!,AW18=TRUE))),0)</f>
        <v>#REF!</v>
      </c>
      <c r="V18" s="31" t="e">
        <f>IF(AW18=TRUE,(OR(AND(V$9=$F18,#REF!&gt;$K18,AW18=TRUE),AND(V$9=$H18,$K18&gt;#REF!,AW18=TRUE))),0)</f>
        <v>#REF!</v>
      </c>
      <c r="W18" s="31" t="e">
        <f>IF(AW18=TRUE,(OR(AND(W$9=$F18,#REF!&gt;$K18,AW18=TRUE),AND(W$9=$H18,$K18&gt;#REF!,AW18=TRUE))),0)</f>
        <v>#REF!</v>
      </c>
      <c r="X18" s="31" t="e">
        <f>IF(AW18=TRUE,(OR(AND(X$9=$F18,#REF!&gt;$K18,AW18=TRUE),AND(X$9=$H18,$K18&gt;#REF!,AW18=TRUE))),0)</f>
        <v>#REF!</v>
      </c>
      <c r="Y18" s="31" t="e">
        <f>IF(AW18=TRUE,(OR(AND(Y$9=$F18,#REF!&lt;$K18,AW18=TRUE),AND(Y$9=$H18,$K18&lt;#REF!,AW18=TRUE))),0)</f>
        <v>#REF!</v>
      </c>
      <c r="Z18" s="31" t="e">
        <f>IF(AW18=TRUE,(OR(AND(Z$9=$F18,#REF!&lt;$K18,AW18=TRUE),AND(Z$9=$H18,$K18&lt;#REF!,AW18=TRUE))),0)</f>
        <v>#REF!</v>
      </c>
      <c r="AA18" s="31" t="e">
        <f>IF(AW18=TRUE,(OR(AND(AA$9=$F18,#REF!&lt;$K18,AW18=TRUE),AND(AA$9=$H18,$K18&lt;#REF!,AW18=TRUE))),0)</f>
        <v>#REF!</v>
      </c>
      <c r="AB18" s="31" t="e">
        <f>IF(AW18=TRUE,(OR(AND(AB$9=$F18,#REF!&lt;$K18,AW18=TRUE),AND(AB$9=$H18,$K18&lt;#REF!,AW18=TRUE))),0)</f>
        <v>#REF!</v>
      </c>
      <c r="AC18" s="31" t="e">
        <f>IF(AW18=TRUE,(OR(AND(AC$9=$F18,#REF!&lt;$K18,AW18=TRUE),AND(AC$9=$H18,$K18&lt;#REF!,AW18=TRUE))),0)</f>
        <v>#REF!</v>
      </c>
      <c r="AD18" s="31" t="e">
        <f>IF(AW18=TRUE,(OR(AND(AD$9=$F18,#REF!&lt;$K18,AW18=TRUE),AND(AD$9=$H18,$K18&lt;#REF!,AW18=TRUE))),0)</f>
        <v>#REF!</v>
      </c>
      <c r="AE18" s="31" t="e">
        <f>IF(AW18=TRUE,(OR(AND(AE$9=$F18,#REF!&lt;$K18,AW18=TRUE),AND(AE$9=$H18,$K18&lt;#REF!,AW18=TRUE))),0)</f>
        <v>#REF!</v>
      </c>
      <c r="AF18" s="31" t="e">
        <f>IF(AW18=TRUE,(OR(AND(AF$9=$F18,#REF!&lt;$K18,AW18=TRUE),AND(AF$9=$H18,$K18&lt;#REF!,AW18=TRUE))),0)</f>
        <v>#REF!</v>
      </c>
      <c r="AG18" s="31" t="e">
        <f>IF(AW18=TRUE,(OR(AND(AG$9=$F18,#REF!&lt;$K18,AW18=TRUE),AND(AG$9=$H18,$K18&lt;#REF!,AW18=TRUE))),0)</f>
        <v>#REF!</v>
      </c>
      <c r="AH18" s="31" t="e">
        <f>IF(AW18=TRUE,(OR(AND(AH$9=$F18,#REF!&lt;$K18,AW18=TRUE),AND(AH$9=$H18,$K18&lt;#REF!,AW18=TRUE))),0)</f>
        <v>#REF!</v>
      </c>
      <c r="AI18" s="31" t="e">
        <f>IF(AW18=TRUE,(OR(AND(AI$9=$F18,#REF!&lt;$K18,AW18=TRUE),AND(AI$9=$H18,$K18&lt;#REF!,AW18=TRUE))),0)</f>
        <v>#REF!</v>
      </c>
      <c r="AJ18" s="31" t="e">
        <f>IF(AW18=TRUE,(OR(AND(AJ$9=$F18,#REF!&lt;$K18,AW18=TRUE),AND(AJ$9=$H18,$K18&lt;#REF!,AW18=TRUE))),0)</f>
        <v>#REF!</v>
      </c>
      <c r="AK18" s="31" t="e">
        <f>IF(AW18=TRUE,(OR(AND(AK$9=$F18,#REF!=$K18,AW18=TRUE),AND(AK$9=$H18,$K18=#REF!,AW18=TRUE))),0)</f>
        <v>#REF!</v>
      </c>
      <c r="AL18" s="31" t="e">
        <f>IF(AW18=TRUE,(OR(AND(AL$9=$F18,#REF!=$K18,AW18=TRUE),AND(AL$9=$H18,$K18=#REF!,AW18=TRUE))),0)</f>
        <v>#REF!</v>
      </c>
      <c r="AM18" s="31" t="e">
        <f>IF(AW18=TRUE,(OR(AND(AM$9=$F18,#REF!=$K18,AW18=TRUE),AND(AM$9=$H18,$K18=#REF!,AW18=TRUE))),0)</f>
        <v>#REF!</v>
      </c>
      <c r="AN18" s="31" t="e">
        <f>IF(AW18=TRUE,(OR(AND(AN$9=$F18,#REF!=$K18,AW18=TRUE),AND(AN$9=$H18,$K18=#REF!,AW18=TRUE))),0)</f>
        <v>#REF!</v>
      </c>
      <c r="AO18" s="31" t="e">
        <f>IF(AW18=TRUE,(OR(AND(AO$9=$F18,#REF!=$K18,AW18=TRUE),AND(AO$9=$H18,$K18=#REF!,AW18=TRUE))),0)</f>
        <v>#REF!</v>
      </c>
      <c r="AP18" s="31" t="e">
        <f>IF(AW18=TRUE,(OR(AND(AP$9=$F18,#REF!=$K18,AW18=TRUE),AND(AP$9=$H18,$K18=#REF!,AW18=TRUE))),0)</f>
        <v>#REF!</v>
      </c>
      <c r="AQ18" s="31" t="e">
        <f>IF(AW18=TRUE,(OR(AND(AQ$9=$F18,#REF!=$K18,AW18=TRUE),AND(AQ$9=$H18,$K18=#REF!,AW18=TRUE))),0)</f>
        <v>#REF!</v>
      </c>
      <c r="AR18" s="31" t="e">
        <f>IF(AW18=TRUE,(OR(AND(AR$9=$F18,#REF!=$K18,AW18=TRUE),AND(AR$9=$H18,$K18=#REF!,AW18=TRUE))),0)</f>
        <v>#REF!</v>
      </c>
      <c r="AS18" s="31" t="e">
        <f>IF(AW18=TRUE,(OR(AND(AS$9=$F18,#REF!=$K18,AW18=TRUE),AND(AS$9=$H18,$K18=#REF!,AW18=TRUE))),0)</f>
        <v>#REF!</v>
      </c>
      <c r="AT18" s="31" t="e">
        <f>IF(AW18=TRUE,(OR(AND(AT$9=$F18,#REF!=$K18,AW18=TRUE),AND(AT$9=$H18,$K18=#REF!,AW18=TRUE))),0)</f>
        <v>#REF!</v>
      </c>
      <c r="AU18" s="31" t="e">
        <f>IF(AW18=TRUE,(OR(AND(AU$9=$F18,#REF!=$K18,AW18=TRUE),AND(AU$9=$H18,$K18=#REF!,AW18=TRUE))),0)</f>
        <v>#REF!</v>
      </c>
      <c r="AV18" s="31" t="e">
        <f>IF(AW18=TRUE,(OR(AND(AV$9=$F18,#REF!=$K18,AW18=TRUE),AND(AV$9=$H18,$K18=#REF!,AW18=TRUE))),0)</f>
        <v>#REF!</v>
      </c>
      <c r="AW18" s="32" t="e">
        <f>IF(AND(A18&gt;0,#REF!&lt;&gt;"",K18&lt;&gt;"",L18="X"),TRUE,FALSE)</f>
        <v>#REF!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0.8083333333333331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0.815972222222222</v>
      </c>
      <c r="F19" s="28">
        <f>IF(OR(AND(A19&lt;=21,A19&gt;0)),(VLOOKUP(A19,Vakant!$A$10:$G$51,5,FALSE)),"")</f>
      </c>
      <c r="G19" s="29">
        <f t="shared" si="1"/>
      </c>
      <c r="H19" s="28">
        <f>+IF(OR(AND(A19&lt;=21,A19&gt;0)),(VLOOKUP(A19,Vakant!$A$10:$G$51,7,FALSE)),"")</f>
      </c>
      <c r="I19" s="30"/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0.8166666666666664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0.8243055555555553</v>
      </c>
      <c r="F20" s="28" t="str">
        <f>IF(OR(AND(A20&lt;=21,A20&gt;0)),(VLOOKUP(A20,Vakant!$A$10:$G$51,5,FALSE)),"")</f>
        <v>Billeberga GIF</v>
      </c>
      <c r="G20" s="29" t="str">
        <f t="shared" si="1"/>
        <v>-</v>
      </c>
      <c r="H20" s="28" t="str">
        <f>+IF(OR(AND(A20&lt;=21,A20&gt;0)),(VLOOKUP(A20,Vakant!$A$10:$G$51,7,FALSE)),"")</f>
        <v>Linero IF</v>
      </c>
      <c r="I20" s="30">
        <v>0</v>
      </c>
      <c r="J20" s="29" t="str">
        <f t="shared" si="0"/>
        <v>-</v>
      </c>
      <c r="K20" s="30">
        <v>2</v>
      </c>
      <c r="L20" s="51" t="s">
        <v>80</v>
      </c>
      <c r="M20" s="31" t="b">
        <f t="shared" si="2"/>
        <v>0</v>
      </c>
      <c r="N20" s="31" t="b">
        <f t="shared" si="3"/>
        <v>0</v>
      </c>
      <c r="O20" s="31" t="b">
        <f t="shared" si="4"/>
        <v>0</v>
      </c>
      <c r="P20" s="31" t="b">
        <f t="shared" si="5"/>
        <v>1</v>
      </c>
      <c r="Q20" s="31" t="b">
        <f t="shared" si="6"/>
        <v>0</v>
      </c>
      <c r="R20" s="31" t="b">
        <f t="shared" si="7"/>
        <v>0</v>
      </c>
      <c r="S20" s="31" t="b">
        <f t="shared" si="8"/>
        <v>0</v>
      </c>
      <c r="T20" s="31" t="b">
        <f t="shared" si="9"/>
        <v>0</v>
      </c>
      <c r="U20" s="31" t="b">
        <f t="shared" si="10"/>
        <v>0</v>
      </c>
      <c r="V20" s="31" t="b">
        <f t="shared" si="11"/>
        <v>0</v>
      </c>
      <c r="W20" s="31" t="b">
        <f t="shared" si="12"/>
        <v>0</v>
      </c>
      <c r="X20" s="31" t="b">
        <f t="shared" si="13"/>
        <v>0</v>
      </c>
      <c r="Y20" s="31" t="b">
        <f t="shared" si="14"/>
        <v>0</v>
      </c>
      <c r="Z20" s="31" t="b">
        <f t="shared" si="15"/>
        <v>1</v>
      </c>
      <c r="AA20" s="31" t="b">
        <f t="shared" si="16"/>
        <v>0</v>
      </c>
      <c r="AB20" s="31" t="b">
        <f t="shared" si="17"/>
        <v>0</v>
      </c>
      <c r="AC20" s="31" t="b">
        <f t="shared" si="18"/>
        <v>0</v>
      </c>
      <c r="AD20" s="31" t="b">
        <f t="shared" si="19"/>
        <v>0</v>
      </c>
      <c r="AE20" s="31" t="b">
        <f t="shared" si="20"/>
        <v>0</v>
      </c>
      <c r="AF20" s="31" t="b">
        <f t="shared" si="21"/>
        <v>0</v>
      </c>
      <c r="AG20" s="31" t="b">
        <f t="shared" si="22"/>
        <v>0</v>
      </c>
      <c r="AH20" s="31" t="b">
        <f t="shared" si="23"/>
        <v>0</v>
      </c>
      <c r="AI20" s="31" t="b">
        <f t="shared" si="24"/>
        <v>0</v>
      </c>
      <c r="AJ20" s="31" t="b">
        <f t="shared" si="25"/>
        <v>0</v>
      </c>
      <c r="AK20" s="31" t="b">
        <f t="shared" si="26"/>
        <v>0</v>
      </c>
      <c r="AL20" s="31" t="b">
        <f t="shared" si="27"/>
        <v>0</v>
      </c>
      <c r="AM20" s="31" t="b">
        <f t="shared" si="28"/>
        <v>0</v>
      </c>
      <c r="AN20" s="31" t="b">
        <f t="shared" si="29"/>
        <v>0</v>
      </c>
      <c r="AO20" s="31" t="b">
        <f t="shared" si="30"/>
        <v>0</v>
      </c>
      <c r="AP20" s="31" t="b">
        <f t="shared" si="31"/>
        <v>0</v>
      </c>
      <c r="AQ20" s="31" t="b">
        <f t="shared" si="32"/>
        <v>0</v>
      </c>
      <c r="AR20" s="31" t="b">
        <f t="shared" si="33"/>
        <v>0</v>
      </c>
      <c r="AS20" s="31" t="b">
        <f t="shared" si="34"/>
        <v>0</v>
      </c>
      <c r="AT20" s="31" t="b">
        <f t="shared" si="35"/>
        <v>0</v>
      </c>
      <c r="AU20" s="31" t="b">
        <f t="shared" si="36"/>
        <v>0</v>
      </c>
      <c r="AV20" s="31" t="b">
        <f t="shared" si="37"/>
        <v>0</v>
      </c>
      <c r="AW20" s="32" t="b">
        <f t="shared" si="38"/>
        <v>1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0.8249999999999997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0.8326388888888886</v>
      </c>
      <c r="F21" s="28" t="str">
        <f>IF(OR(AND(A21&lt;=21,A21&gt;0)),(VLOOKUP(A21,Vakant!$A$10:$G$51,5,FALSE)),"")</f>
        <v>Kågeröds BoIF 2</v>
      </c>
      <c r="G21" s="29" t="str">
        <f t="shared" si="1"/>
        <v>-</v>
      </c>
      <c r="H21" s="28" t="str">
        <f>+IF(OR(AND(A21&lt;=21,A21&gt;0)),(VLOOKUP(A21,Vakant!$A$10:$G$51,7,FALSE)),"")</f>
        <v>Svalövs BK 2</v>
      </c>
      <c r="I21" s="30">
        <v>1</v>
      </c>
      <c r="J21" s="29" t="str">
        <f t="shared" si="0"/>
        <v>-</v>
      </c>
      <c r="K21" s="30">
        <v>6</v>
      </c>
      <c r="L21" s="51" t="s">
        <v>80</v>
      </c>
      <c r="M21" s="31" t="b">
        <f t="shared" si="2"/>
        <v>0</v>
      </c>
      <c r="N21" s="31" t="b">
        <f t="shared" si="3"/>
        <v>0</v>
      </c>
      <c r="O21" s="31" t="b">
        <f t="shared" si="4"/>
        <v>0</v>
      </c>
      <c r="P21" s="31" t="b">
        <f t="shared" si="5"/>
        <v>0</v>
      </c>
      <c r="Q21" s="31" t="b">
        <f t="shared" si="6"/>
        <v>0</v>
      </c>
      <c r="R21" s="31" t="b">
        <f t="shared" si="7"/>
        <v>0</v>
      </c>
      <c r="S21" s="31" t="b">
        <f t="shared" si="8"/>
        <v>1</v>
      </c>
      <c r="T21" s="31" t="b">
        <f t="shared" si="9"/>
        <v>0</v>
      </c>
      <c r="U21" s="31" t="b">
        <f t="shared" si="10"/>
        <v>0</v>
      </c>
      <c r="V21" s="31" t="b">
        <f t="shared" si="11"/>
        <v>0</v>
      </c>
      <c r="W21" s="31" t="b">
        <f t="shared" si="12"/>
        <v>0</v>
      </c>
      <c r="X21" s="31" t="b">
        <f t="shared" si="13"/>
        <v>0</v>
      </c>
      <c r="Y21" s="31" t="b">
        <f t="shared" si="14"/>
        <v>0</v>
      </c>
      <c r="Z21" s="31" t="b">
        <f t="shared" si="15"/>
        <v>0</v>
      </c>
      <c r="AA21" s="31" t="b">
        <f t="shared" si="16"/>
        <v>0</v>
      </c>
      <c r="AB21" s="31" t="b">
        <f t="shared" si="17"/>
        <v>0</v>
      </c>
      <c r="AC21" s="31" t="b">
        <f t="shared" si="18"/>
        <v>1</v>
      </c>
      <c r="AD21" s="31" t="b">
        <f t="shared" si="19"/>
        <v>0</v>
      </c>
      <c r="AE21" s="31" t="b">
        <f t="shared" si="20"/>
        <v>0</v>
      </c>
      <c r="AF21" s="31" t="b">
        <f t="shared" si="21"/>
        <v>0</v>
      </c>
      <c r="AG21" s="31" t="b">
        <f t="shared" si="22"/>
        <v>0</v>
      </c>
      <c r="AH21" s="31" t="b">
        <f t="shared" si="23"/>
        <v>0</v>
      </c>
      <c r="AI21" s="31" t="b">
        <f t="shared" si="24"/>
        <v>0</v>
      </c>
      <c r="AJ21" s="31" t="b">
        <f t="shared" si="25"/>
        <v>0</v>
      </c>
      <c r="AK21" s="31" t="b">
        <f t="shared" si="26"/>
        <v>0</v>
      </c>
      <c r="AL21" s="31" t="b">
        <f t="shared" si="27"/>
        <v>0</v>
      </c>
      <c r="AM21" s="31" t="b">
        <f t="shared" si="28"/>
        <v>0</v>
      </c>
      <c r="AN21" s="31" t="b">
        <f t="shared" si="29"/>
        <v>0</v>
      </c>
      <c r="AO21" s="31" t="b">
        <f t="shared" si="30"/>
        <v>0</v>
      </c>
      <c r="AP21" s="31" t="b">
        <f t="shared" si="31"/>
        <v>0</v>
      </c>
      <c r="AQ21" s="31" t="b">
        <f t="shared" si="32"/>
        <v>0</v>
      </c>
      <c r="AR21" s="31" t="b">
        <f t="shared" si="33"/>
        <v>0</v>
      </c>
      <c r="AS21" s="31" t="b">
        <f t="shared" si="34"/>
        <v>0</v>
      </c>
      <c r="AT21" s="31" t="b">
        <f t="shared" si="35"/>
        <v>0</v>
      </c>
      <c r="AU21" s="31" t="b">
        <f t="shared" si="36"/>
        <v>0</v>
      </c>
      <c r="AV21" s="31" t="b">
        <f t="shared" si="37"/>
        <v>0</v>
      </c>
      <c r="AW21" s="32" t="b">
        <f t="shared" si="38"/>
        <v>1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A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0.833333333333333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0.8409722222222219</v>
      </c>
      <c r="F22" s="28" t="str">
        <f>IF(OR(AND(A22&lt;=21,A22&gt;0)),(VLOOKUP(A22,Vakant!$A$10:$G$51,5,FALSE)),"")</f>
        <v>Harrie FF/Furulunds IK</v>
      </c>
      <c r="G22" s="29" t="str">
        <f t="shared" si="1"/>
        <v>-</v>
      </c>
      <c r="H22" s="28" t="str">
        <f>+IF(OR(AND(A22&lt;=21,A22&gt;0)),(VLOOKUP(A22,Vakant!$A$10:$G$51,7,FALSE)),"")</f>
        <v>Linero IF</v>
      </c>
      <c r="I22" s="30">
        <v>1</v>
      </c>
      <c r="J22" s="29" t="str">
        <f t="shared" si="0"/>
        <v>-</v>
      </c>
      <c r="K22" s="30">
        <v>3</v>
      </c>
      <c r="L22" s="51" t="s">
        <v>80</v>
      </c>
      <c r="M22" s="31" t="b">
        <f t="shared" si="2"/>
        <v>0</v>
      </c>
      <c r="N22" s="31" t="b">
        <f t="shared" si="3"/>
        <v>0</v>
      </c>
      <c r="O22" s="31" t="b">
        <f t="shared" si="4"/>
        <v>0</v>
      </c>
      <c r="P22" s="31" t="b">
        <f t="shared" si="5"/>
        <v>1</v>
      </c>
      <c r="Q22" s="31" t="b">
        <f t="shared" si="6"/>
        <v>0</v>
      </c>
      <c r="R22" s="31" t="b">
        <f t="shared" si="7"/>
        <v>0</v>
      </c>
      <c r="S22" s="31" t="b">
        <f t="shared" si="8"/>
        <v>0</v>
      </c>
      <c r="T22" s="31" t="b">
        <f t="shared" si="9"/>
        <v>0</v>
      </c>
      <c r="U22" s="31" t="b">
        <f t="shared" si="10"/>
        <v>0</v>
      </c>
      <c r="V22" s="31" t="b">
        <f t="shared" si="11"/>
        <v>0</v>
      </c>
      <c r="W22" s="31" t="b">
        <f t="shared" si="12"/>
        <v>0</v>
      </c>
      <c r="X22" s="31" t="b">
        <f t="shared" si="13"/>
        <v>0</v>
      </c>
      <c r="Y22" s="31" t="b">
        <f t="shared" si="14"/>
        <v>0</v>
      </c>
      <c r="Z22" s="31" t="b">
        <f t="shared" si="15"/>
        <v>0</v>
      </c>
      <c r="AA22" s="31" t="b">
        <f t="shared" si="16"/>
        <v>0</v>
      </c>
      <c r="AB22" s="31" t="b">
        <f t="shared" si="17"/>
        <v>0</v>
      </c>
      <c r="AC22" s="31" t="b">
        <f t="shared" si="18"/>
        <v>0</v>
      </c>
      <c r="AD22" s="31" t="b">
        <f t="shared" si="19"/>
        <v>1</v>
      </c>
      <c r="AE22" s="31" t="b">
        <f t="shared" si="20"/>
        <v>0</v>
      </c>
      <c r="AF22" s="31" t="b">
        <f t="shared" si="21"/>
        <v>0</v>
      </c>
      <c r="AG22" s="31" t="b">
        <f t="shared" si="22"/>
        <v>0</v>
      </c>
      <c r="AH22" s="31" t="b">
        <f t="shared" si="23"/>
        <v>0</v>
      </c>
      <c r="AI22" s="31" t="b">
        <f t="shared" si="24"/>
        <v>0</v>
      </c>
      <c r="AJ22" s="31" t="b">
        <f t="shared" si="25"/>
        <v>0</v>
      </c>
      <c r="AK22" s="31" t="b">
        <f t="shared" si="26"/>
        <v>0</v>
      </c>
      <c r="AL22" s="31" t="b">
        <f t="shared" si="27"/>
        <v>0</v>
      </c>
      <c r="AM22" s="31" t="b">
        <f t="shared" si="28"/>
        <v>0</v>
      </c>
      <c r="AN22" s="31" t="b">
        <f t="shared" si="29"/>
        <v>0</v>
      </c>
      <c r="AO22" s="31" t="b">
        <f t="shared" si="30"/>
        <v>0</v>
      </c>
      <c r="AP22" s="31" t="b">
        <f t="shared" si="31"/>
        <v>0</v>
      </c>
      <c r="AQ22" s="31" t="b">
        <f t="shared" si="32"/>
        <v>0</v>
      </c>
      <c r="AR22" s="31" t="b">
        <f t="shared" si="33"/>
        <v>0</v>
      </c>
      <c r="AS22" s="31" t="b">
        <f t="shared" si="34"/>
        <v>0</v>
      </c>
      <c r="AT22" s="31" t="b">
        <f t="shared" si="35"/>
        <v>0</v>
      </c>
      <c r="AU22" s="31" t="b">
        <f t="shared" si="36"/>
        <v>0</v>
      </c>
      <c r="AV22" s="31" t="b">
        <f t="shared" si="37"/>
        <v>0</v>
      </c>
      <c r="AW22" s="32" t="b">
        <f t="shared" si="38"/>
        <v>1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A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0.8416666666666663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0.8493055555555552</v>
      </c>
      <c r="F23" s="28" t="str">
        <f>IF(OR(AND(A23&lt;=21,A23&gt;0)),(VLOOKUP(A23,Vakant!$A$10:$G$51,5,FALSE)),"")</f>
        <v>Svalövs BK 1</v>
      </c>
      <c r="G23" s="29" t="str">
        <f t="shared" si="1"/>
        <v>-</v>
      </c>
      <c r="H23" s="28" t="str">
        <f>+IF(OR(AND(A23&lt;=21,A23&gt;0)),(VLOOKUP(A23,Vakant!$A$10:$G$51,7,FALSE)),"")</f>
        <v>Kågeröds BoIF 2</v>
      </c>
      <c r="I23" s="30">
        <v>3</v>
      </c>
      <c r="J23" s="29" t="str">
        <f t="shared" si="0"/>
        <v>-</v>
      </c>
      <c r="K23" s="30">
        <v>0</v>
      </c>
      <c r="L23" s="51" t="s">
        <v>80</v>
      </c>
      <c r="M23" s="31" t="b">
        <f t="shared" si="2"/>
        <v>1</v>
      </c>
      <c r="N23" s="31" t="b">
        <f t="shared" si="3"/>
        <v>0</v>
      </c>
      <c r="O23" s="31" t="b">
        <f t="shared" si="4"/>
        <v>0</v>
      </c>
      <c r="P23" s="31" t="b">
        <f t="shared" si="5"/>
        <v>0</v>
      </c>
      <c r="Q23" s="31" t="b">
        <f t="shared" si="6"/>
        <v>0</v>
      </c>
      <c r="R23" s="31" t="b">
        <f t="shared" si="7"/>
        <v>0</v>
      </c>
      <c r="S23" s="31" t="b">
        <f t="shared" si="8"/>
        <v>0</v>
      </c>
      <c r="T23" s="31" t="b">
        <f t="shared" si="9"/>
        <v>0</v>
      </c>
      <c r="U23" s="31" t="b">
        <f t="shared" si="10"/>
        <v>0</v>
      </c>
      <c r="V23" s="31" t="b">
        <f t="shared" si="11"/>
        <v>0</v>
      </c>
      <c r="W23" s="31" t="b">
        <f t="shared" si="12"/>
        <v>0</v>
      </c>
      <c r="X23" s="31" t="b">
        <f t="shared" si="13"/>
        <v>0</v>
      </c>
      <c r="Y23" s="31" t="b">
        <f t="shared" si="14"/>
        <v>0</v>
      </c>
      <c r="Z23" s="31" t="b">
        <f t="shared" si="15"/>
        <v>0</v>
      </c>
      <c r="AA23" s="31" t="b">
        <f t="shared" si="16"/>
        <v>0</v>
      </c>
      <c r="AB23" s="31" t="b">
        <f t="shared" si="17"/>
        <v>0</v>
      </c>
      <c r="AC23" s="31" t="b">
        <f t="shared" si="18"/>
        <v>1</v>
      </c>
      <c r="AD23" s="31" t="b">
        <f t="shared" si="19"/>
        <v>0</v>
      </c>
      <c r="AE23" s="31" t="b">
        <f t="shared" si="20"/>
        <v>0</v>
      </c>
      <c r="AF23" s="31" t="b">
        <f t="shared" si="21"/>
        <v>0</v>
      </c>
      <c r="AG23" s="31" t="b">
        <f t="shared" si="22"/>
        <v>0</v>
      </c>
      <c r="AH23" s="31" t="b">
        <f t="shared" si="23"/>
        <v>0</v>
      </c>
      <c r="AI23" s="31" t="b">
        <f t="shared" si="24"/>
        <v>0</v>
      </c>
      <c r="AJ23" s="31" t="b">
        <f t="shared" si="25"/>
        <v>0</v>
      </c>
      <c r="AK23" s="31" t="b">
        <f t="shared" si="26"/>
        <v>0</v>
      </c>
      <c r="AL23" s="31" t="b">
        <f t="shared" si="27"/>
        <v>0</v>
      </c>
      <c r="AM23" s="31" t="b">
        <f t="shared" si="28"/>
        <v>0</v>
      </c>
      <c r="AN23" s="31" t="b">
        <f t="shared" si="29"/>
        <v>0</v>
      </c>
      <c r="AO23" s="31" t="b">
        <f t="shared" si="30"/>
        <v>0</v>
      </c>
      <c r="AP23" s="31" t="b">
        <f t="shared" si="31"/>
        <v>0</v>
      </c>
      <c r="AQ23" s="31" t="b">
        <f t="shared" si="32"/>
        <v>0</v>
      </c>
      <c r="AR23" s="31" t="b">
        <f t="shared" si="33"/>
        <v>0</v>
      </c>
      <c r="AS23" s="31" t="b">
        <f t="shared" si="34"/>
        <v>0</v>
      </c>
      <c r="AT23" s="31" t="b">
        <f t="shared" si="35"/>
        <v>0</v>
      </c>
      <c r="AU23" s="31" t="b">
        <f t="shared" si="36"/>
        <v>0</v>
      </c>
      <c r="AV23" s="31" t="b">
        <f t="shared" si="37"/>
        <v>0</v>
      </c>
      <c r="AW23" s="32" t="b">
        <f t="shared" si="38"/>
        <v>1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0.8416666666666663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0.8493055555555552</v>
      </c>
      <c r="F24" s="28">
        <f>IF(OR(AND(A24&lt;=21,A24&gt;0)),(VLOOKUP(A24,Vakant!$A$10:$G$51,5,FALSE)),"")</f>
      </c>
      <c r="G24" s="29">
        <f t="shared" si="1"/>
      </c>
      <c r="H24" s="28">
        <f>+IF(OR(AND(A24&lt;=21,A24&gt;0)),(VLOOKUP(A24,Vakant!$A$10:$G$51,7,FALSE)),"")</f>
      </c>
      <c r="I24" s="30"/>
      <c r="J24" s="29">
        <f t="shared" si="0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0.8499999999999996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0.8576388888888885</v>
      </c>
      <c r="F25" s="28" t="str">
        <f>IF(OR(AND(A25&lt;=21,A25&gt;0)),(VLOOKUP(A25,Vakant!$A$10:$G$51,5,FALSE)),"")</f>
        <v>Kågeröds BoIF 1</v>
      </c>
      <c r="G25" s="29" t="str">
        <f t="shared" si="1"/>
        <v>-</v>
      </c>
      <c r="H25" s="28" t="str">
        <f>+IF(OR(AND(A25&lt;=21,A25&gt;0)),(VLOOKUP(A25,Vakant!$A$10:$G$51,7,FALSE)),"")</f>
        <v>Svalövs BK 2</v>
      </c>
      <c r="I25" s="30">
        <v>2</v>
      </c>
      <c r="J25" s="29" t="str">
        <f t="shared" si="0"/>
        <v>-</v>
      </c>
      <c r="K25" s="30">
        <v>1</v>
      </c>
      <c r="L25" s="51" t="s">
        <v>80</v>
      </c>
      <c r="M25" s="31" t="b">
        <f t="shared" si="2"/>
        <v>0</v>
      </c>
      <c r="N25" s="31" t="b">
        <f t="shared" si="3"/>
        <v>0</v>
      </c>
      <c r="O25" s="31" t="b">
        <f t="shared" si="4"/>
        <v>1</v>
      </c>
      <c r="P25" s="31" t="b">
        <f t="shared" si="5"/>
        <v>0</v>
      </c>
      <c r="Q25" s="31" t="b">
        <f t="shared" si="6"/>
        <v>0</v>
      </c>
      <c r="R25" s="31" t="b">
        <f t="shared" si="7"/>
        <v>0</v>
      </c>
      <c r="S25" s="31" t="b">
        <f t="shared" si="8"/>
        <v>0</v>
      </c>
      <c r="T25" s="31" t="b">
        <f t="shared" si="9"/>
        <v>0</v>
      </c>
      <c r="U25" s="31" t="b">
        <f t="shared" si="10"/>
        <v>0</v>
      </c>
      <c r="V25" s="31" t="b">
        <f t="shared" si="11"/>
        <v>0</v>
      </c>
      <c r="W25" s="31" t="b">
        <f t="shared" si="12"/>
        <v>0</v>
      </c>
      <c r="X25" s="31" t="b">
        <f t="shared" si="13"/>
        <v>0</v>
      </c>
      <c r="Y25" s="31" t="b">
        <f t="shared" si="14"/>
        <v>0</v>
      </c>
      <c r="Z25" s="31" t="b">
        <f t="shared" si="15"/>
        <v>0</v>
      </c>
      <c r="AA25" s="31" t="b">
        <f t="shared" si="16"/>
        <v>0</v>
      </c>
      <c r="AB25" s="31" t="b">
        <f t="shared" si="17"/>
        <v>0</v>
      </c>
      <c r="AC25" s="31" t="b">
        <f t="shared" si="18"/>
        <v>0</v>
      </c>
      <c r="AD25" s="31" t="b">
        <f t="shared" si="19"/>
        <v>0</v>
      </c>
      <c r="AE25" s="31" t="b">
        <f t="shared" si="20"/>
        <v>1</v>
      </c>
      <c r="AF25" s="31" t="b">
        <f t="shared" si="21"/>
        <v>0</v>
      </c>
      <c r="AG25" s="31" t="b">
        <f t="shared" si="22"/>
        <v>0</v>
      </c>
      <c r="AH25" s="31" t="b">
        <f t="shared" si="23"/>
        <v>0</v>
      </c>
      <c r="AI25" s="31" t="b">
        <f t="shared" si="24"/>
        <v>0</v>
      </c>
      <c r="AJ25" s="31" t="b">
        <f t="shared" si="25"/>
        <v>0</v>
      </c>
      <c r="AK25" s="31" t="b">
        <f t="shared" si="26"/>
        <v>0</v>
      </c>
      <c r="AL25" s="31" t="b">
        <f t="shared" si="27"/>
        <v>0</v>
      </c>
      <c r="AM25" s="31" t="b">
        <f t="shared" si="28"/>
        <v>0</v>
      </c>
      <c r="AN25" s="31" t="b">
        <f t="shared" si="29"/>
        <v>0</v>
      </c>
      <c r="AO25" s="31" t="b">
        <f t="shared" si="30"/>
        <v>0</v>
      </c>
      <c r="AP25" s="31" t="b">
        <f t="shared" si="31"/>
        <v>0</v>
      </c>
      <c r="AQ25" s="31" t="b">
        <f t="shared" si="32"/>
        <v>0</v>
      </c>
      <c r="AR25" s="31" t="b">
        <f t="shared" si="33"/>
        <v>0</v>
      </c>
      <c r="AS25" s="31" t="b">
        <f t="shared" si="34"/>
        <v>0</v>
      </c>
      <c r="AT25" s="31" t="b">
        <f t="shared" si="35"/>
        <v>0</v>
      </c>
      <c r="AU25" s="31" t="b">
        <f t="shared" si="36"/>
        <v>0</v>
      </c>
      <c r="AV25" s="31" t="b">
        <f t="shared" si="37"/>
        <v>0</v>
      </c>
      <c r="AW25" s="32" t="b">
        <f t="shared" si="38"/>
        <v>1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0.858333333333333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0.8659722222222218</v>
      </c>
      <c r="F26" s="28" t="str">
        <f>IF(OR(AND(A26&lt;=21,A26&gt;0)),(VLOOKUP(A26,Vakant!$A$10:$G$51,5,FALSE)),"")</f>
        <v>Harrie FF/Furulunds IK</v>
      </c>
      <c r="G26" s="29" t="str">
        <f t="shared" si="1"/>
        <v>-</v>
      </c>
      <c r="H26" s="28" t="str">
        <f>+IF(OR(AND(A26&lt;=21,A26&gt;0)),(VLOOKUP(A26,Vakant!$A$10:$G$51,7,FALSE)),"")</f>
        <v>Billeberga GIF</v>
      </c>
      <c r="I26" s="30">
        <v>2</v>
      </c>
      <c r="J26" s="29" t="str">
        <f t="shared" si="0"/>
        <v>-</v>
      </c>
      <c r="K26" s="30">
        <v>3</v>
      </c>
      <c r="L26" s="51" t="s">
        <v>80</v>
      </c>
      <c r="M26" s="31" t="b">
        <f t="shared" si="2"/>
        <v>0</v>
      </c>
      <c r="N26" s="31" t="b">
        <f t="shared" si="3"/>
        <v>1</v>
      </c>
      <c r="O26" s="31" t="b">
        <f t="shared" si="4"/>
        <v>0</v>
      </c>
      <c r="P26" s="31" t="b">
        <f t="shared" si="5"/>
        <v>0</v>
      </c>
      <c r="Q26" s="31" t="b">
        <f t="shared" si="6"/>
        <v>0</v>
      </c>
      <c r="R26" s="31" t="b">
        <f t="shared" si="7"/>
        <v>0</v>
      </c>
      <c r="S26" s="31" t="b">
        <f t="shared" si="8"/>
        <v>0</v>
      </c>
      <c r="T26" s="31" t="b">
        <f t="shared" si="9"/>
        <v>0</v>
      </c>
      <c r="U26" s="31" t="b">
        <f t="shared" si="10"/>
        <v>0</v>
      </c>
      <c r="V26" s="31" t="b">
        <f t="shared" si="11"/>
        <v>0</v>
      </c>
      <c r="W26" s="31" t="b">
        <f t="shared" si="12"/>
        <v>0</v>
      </c>
      <c r="X26" s="31" t="b">
        <f t="shared" si="13"/>
        <v>0</v>
      </c>
      <c r="Y26" s="31" t="b">
        <f t="shared" si="14"/>
        <v>0</v>
      </c>
      <c r="Z26" s="31" t="b">
        <f t="shared" si="15"/>
        <v>0</v>
      </c>
      <c r="AA26" s="31" t="b">
        <f t="shared" si="16"/>
        <v>0</v>
      </c>
      <c r="AB26" s="31" t="b">
        <f t="shared" si="17"/>
        <v>0</v>
      </c>
      <c r="AC26" s="31" t="b">
        <f t="shared" si="18"/>
        <v>0</v>
      </c>
      <c r="AD26" s="31" t="b">
        <f t="shared" si="19"/>
        <v>1</v>
      </c>
      <c r="AE26" s="31" t="b">
        <f t="shared" si="20"/>
        <v>0</v>
      </c>
      <c r="AF26" s="31" t="b">
        <f t="shared" si="21"/>
        <v>0</v>
      </c>
      <c r="AG26" s="31" t="b">
        <f t="shared" si="22"/>
        <v>0</v>
      </c>
      <c r="AH26" s="31" t="b">
        <f t="shared" si="23"/>
        <v>0</v>
      </c>
      <c r="AI26" s="31" t="b">
        <f t="shared" si="24"/>
        <v>0</v>
      </c>
      <c r="AJ26" s="31" t="b">
        <f t="shared" si="25"/>
        <v>0</v>
      </c>
      <c r="AK26" s="31" t="b">
        <f t="shared" si="26"/>
        <v>0</v>
      </c>
      <c r="AL26" s="31" t="b">
        <f t="shared" si="27"/>
        <v>0</v>
      </c>
      <c r="AM26" s="31" t="b">
        <f t="shared" si="28"/>
        <v>0</v>
      </c>
      <c r="AN26" s="31" t="b">
        <f t="shared" si="29"/>
        <v>0</v>
      </c>
      <c r="AO26" s="31" t="b">
        <f t="shared" si="30"/>
        <v>0</v>
      </c>
      <c r="AP26" s="31" t="b">
        <f t="shared" si="31"/>
        <v>0</v>
      </c>
      <c r="AQ26" s="31" t="b">
        <f t="shared" si="32"/>
        <v>0</v>
      </c>
      <c r="AR26" s="31" t="b">
        <f t="shared" si="33"/>
        <v>0</v>
      </c>
      <c r="AS26" s="31" t="b">
        <f t="shared" si="34"/>
        <v>0</v>
      </c>
      <c r="AT26" s="31" t="b">
        <f t="shared" si="35"/>
        <v>0</v>
      </c>
      <c r="AU26" s="31" t="b">
        <f t="shared" si="36"/>
        <v>0</v>
      </c>
      <c r="AV26" s="31" t="b">
        <f t="shared" si="37"/>
        <v>0</v>
      </c>
      <c r="AW26" s="32" t="b">
        <f t="shared" si="38"/>
        <v>1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A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0.8666666666666663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0.8743055555555551</v>
      </c>
      <c r="F27" s="28" t="str">
        <f>IF(OR(AND(A27&lt;=21,A27&gt;0)),(VLOOKUP(A27,Vakant!$A$10:$G$51,5,FALSE)),"")</f>
        <v>Svalövs BK 1</v>
      </c>
      <c r="G27" s="29" t="str">
        <f t="shared" si="1"/>
        <v>-</v>
      </c>
      <c r="H27" s="28" t="str">
        <f>+IF(OR(AND(A27&lt;=21,A27&gt;0)),(VLOOKUP(A27,Vakant!$A$10:$G$51,7,FALSE)),"")</f>
        <v>Linero IF</v>
      </c>
      <c r="I27" s="30">
        <v>1</v>
      </c>
      <c r="J27" s="29" t="str">
        <f t="shared" si="0"/>
        <v>-</v>
      </c>
      <c r="K27" s="30">
        <v>1</v>
      </c>
      <c r="L27" s="51" t="s">
        <v>80</v>
      </c>
      <c r="M27" s="31" t="b">
        <f t="shared" si="2"/>
        <v>0</v>
      </c>
      <c r="N27" s="31" t="b">
        <f t="shared" si="3"/>
        <v>0</v>
      </c>
      <c r="O27" s="31" t="b">
        <f t="shared" si="4"/>
        <v>0</v>
      </c>
      <c r="P27" s="31" t="b">
        <f t="shared" si="5"/>
        <v>0</v>
      </c>
      <c r="Q27" s="31" t="b">
        <f t="shared" si="6"/>
        <v>0</v>
      </c>
      <c r="R27" s="31" t="b">
        <f t="shared" si="7"/>
        <v>0</v>
      </c>
      <c r="S27" s="31" t="b">
        <f t="shared" si="8"/>
        <v>0</v>
      </c>
      <c r="T27" s="31" t="b">
        <f t="shared" si="9"/>
        <v>0</v>
      </c>
      <c r="U27" s="31" t="b">
        <f t="shared" si="10"/>
        <v>0</v>
      </c>
      <c r="V27" s="31" t="b">
        <f t="shared" si="11"/>
        <v>0</v>
      </c>
      <c r="W27" s="31" t="b">
        <f t="shared" si="12"/>
        <v>0</v>
      </c>
      <c r="X27" s="31" t="b">
        <f t="shared" si="13"/>
        <v>0</v>
      </c>
      <c r="Y27" s="31" t="b">
        <f t="shared" si="14"/>
        <v>0</v>
      </c>
      <c r="Z27" s="31" t="b">
        <f t="shared" si="15"/>
        <v>0</v>
      </c>
      <c r="AA27" s="31" t="b">
        <f t="shared" si="16"/>
        <v>0</v>
      </c>
      <c r="AB27" s="31" t="b">
        <f t="shared" si="17"/>
        <v>0</v>
      </c>
      <c r="AC27" s="31" t="b">
        <f t="shared" si="18"/>
        <v>0</v>
      </c>
      <c r="AD27" s="31" t="b">
        <f t="shared" si="19"/>
        <v>0</v>
      </c>
      <c r="AE27" s="31" t="b">
        <f t="shared" si="20"/>
        <v>0</v>
      </c>
      <c r="AF27" s="31" t="b">
        <f t="shared" si="21"/>
        <v>0</v>
      </c>
      <c r="AG27" s="31" t="b">
        <f t="shared" si="22"/>
        <v>0</v>
      </c>
      <c r="AH27" s="31" t="b">
        <f t="shared" si="23"/>
        <v>0</v>
      </c>
      <c r="AI27" s="31" t="b">
        <f t="shared" si="24"/>
        <v>0</v>
      </c>
      <c r="AJ27" s="31" t="b">
        <f t="shared" si="25"/>
        <v>0</v>
      </c>
      <c r="AK27" s="31" t="b">
        <f t="shared" si="26"/>
        <v>1</v>
      </c>
      <c r="AL27" s="31" t="b">
        <f t="shared" si="27"/>
        <v>0</v>
      </c>
      <c r="AM27" s="31" t="b">
        <f t="shared" si="28"/>
        <v>0</v>
      </c>
      <c r="AN27" s="31" t="b">
        <f t="shared" si="29"/>
        <v>1</v>
      </c>
      <c r="AO27" s="31" t="b">
        <f t="shared" si="30"/>
        <v>0</v>
      </c>
      <c r="AP27" s="31" t="b">
        <f t="shared" si="31"/>
        <v>0</v>
      </c>
      <c r="AQ27" s="31" t="b">
        <f t="shared" si="32"/>
        <v>0</v>
      </c>
      <c r="AR27" s="31" t="b">
        <f t="shared" si="33"/>
        <v>0</v>
      </c>
      <c r="AS27" s="31" t="b">
        <f t="shared" si="34"/>
        <v>0</v>
      </c>
      <c r="AT27" s="31" t="b">
        <f t="shared" si="35"/>
        <v>0</v>
      </c>
      <c r="AU27" s="31" t="b">
        <f t="shared" si="36"/>
        <v>0</v>
      </c>
      <c r="AV27" s="31" t="b">
        <f t="shared" si="37"/>
        <v>0</v>
      </c>
      <c r="AW27" s="32" t="b">
        <f t="shared" si="38"/>
        <v>1</v>
      </c>
    </row>
    <row r="28" spans="1:49" ht="18" customHeight="1">
      <c r="A28" s="48">
        <f>IF(Lottning!$B$8="vakant",0,(IF(AND(Vakant!AX28&lt;=21,Vakant!BC28&gt;0),Vakant!BC28,0)))</f>
        <v>16</v>
      </c>
      <c r="B28" s="48" t="str">
        <f>+IF(AND(A28&gt;0,A28&lt;=21),VLOOKUP(F28,Grupper!$B$1:$C$12,2,FALSE),"")</f>
        <v>A</v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0.8749999999999996</v>
      </c>
      <c r="D28" s="50" t="str">
        <f t="shared" si="39"/>
        <v>-</v>
      </c>
      <c r="E28" s="50">
        <f>IF(OR(AND(A28&gt;0,F28=F27),AND(A28&gt;0,F28=H27),AND(A28&gt;0,H28=H27),AND(A28&gt;0,H28=F27)),(IF(OR(A28&lt;=21),C28+Inställningar!$B$1,E27)),(IF(OR(AND(A28&gt;0,A28&lt;=21)),C28+Inställningar!$B$1,E27)))</f>
        <v>0.8826388888888884</v>
      </c>
      <c r="F28" s="28" t="str">
        <f>IF(OR(AND(A28&lt;=21,A28&gt;0)),(VLOOKUP(A28,Vakant!$A$10:$G$51,5,FALSE)),"")</f>
        <v>Billeberga GIF</v>
      </c>
      <c r="G28" s="29" t="str">
        <f t="shared" si="1"/>
        <v>-</v>
      </c>
      <c r="H28" s="28" t="str">
        <f>+IF(OR(AND(A28&lt;=21,A28&gt;0)),(VLOOKUP(A28,Vakant!$A$10:$G$51,7,FALSE)),"")</f>
        <v>Kågeröds BoIF 2</v>
      </c>
      <c r="I28" s="30">
        <v>1</v>
      </c>
      <c r="J28" s="29" t="str">
        <f t="shared" si="0"/>
        <v>-</v>
      </c>
      <c r="K28" s="30">
        <v>2</v>
      </c>
      <c r="L28" s="30" t="s">
        <v>80</v>
      </c>
      <c r="M28" s="31" t="b">
        <f t="shared" si="2"/>
        <v>0</v>
      </c>
      <c r="N28" s="31" t="b">
        <f t="shared" si="3"/>
        <v>0</v>
      </c>
      <c r="O28" s="31" t="b">
        <f t="shared" si="4"/>
        <v>0</v>
      </c>
      <c r="P28" s="31" t="b">
        <f t="shared" si="5"/>
        <v>0</v>
      </c>
      <c r="Q28" s="31" t="b">
        <f t="shared" si="6"/>
        <v>1</v>
      </c>
      <c r="R28" s="31" t="b">
        <f t="shared" si="7"/>
        <v>0</v>
      </c>
      <c r="S28" s="31" t="b">
        <f t="shared" si="8"/>
        <v>0</v>
      </c>
      <c r="T28" s="31" t="b">
        <f t="shared" si="9"/>
        <v>0</v>
      </c>
      <c r="U28" s="31" t="b">
        <f t="shared" si="10"/>
        <v>0</v>
      </c>
      <c r="V28" s="31" t="b">
        <f t="shared" si="11"/>
        <v>0</v>
      </c>
      <c r="W28" s="31" t="b">
        <f t="shared" si="12"/>
        <v>0</v>
      </c>
      <c r="X28" s="31" t="b">
        <f t="shared" si="13"/>
        <v>0</v>
      </c>
      <c r="Y28" s="31" t="b">
        <f t="shared" si="14"/>
        <v>0</v>
      </c>
      <c r="Z28" s="31" t="b">
        <f t="shared" si="15"/>
        <v>1</v>
      </c>
      <c r="AA28" s="31" t="b">
        <f t="shared" si="16"/>
        <v>0</v>
      </c>
      <c r="AB28" s="31" t="b">
        <f t="shared" si="17"/>
        <v>0</v>
      </c>
      <c r="AC28" s="31" t="b">
        <f t="shared" si="18"/>
        <v>0</v>
      </c>
      <c r="AD28" s="31" t="b">
        <f t="shared" si="19"/>
        <v>0</v>
      </c>
      <c r="AE28" s="31" t="b">
        <f t="shared" si="20"/>
        <v>0</v>
      </c>
      <c r="AF28" s="31" t="b">
        <f t="shared" si="21"/>
        <v>0</v>
      </c>
      <c r="AG28" s="31" t="b">
        <f t="shared" si="22"/>
        <v>0</v>
      </c>
      <c r="AH28" s="31" t="b">
        <f t="shared" si="23"/>
        <v>0</v>
      </c>
      <c r="AI28" s="31" t="b">
        <f t="shared" si="24"/>
        <v>0</v>
      </c>
      <c r="AJ28" s="31" t="b">
        <f t="shared" si="25"/>
        <v>0</v>
      </c>
      <c r="AK28" s="31" t="b">
        <f t="shared" si="26"/>
        <v>0</v>
      </c>
      <c r="AL28" s="31" t="b">
        <f t="shared" si="27"/>
        <v>0</v>
      </c>
      <c r="AM28" s="31" t="b">
        <f t="shared" si="28"/>
        <v>0</v>
      </c>
      <c r="AN28" s="31" t="b">
        <f t="shared" si="29"/>
        <v>0</v>
      </c>
      <c r="AO28" s="31" t="b">
        <f t="shared" si="30"/>
        <v>0</v>
      </c>
      <c r="AP28" s="31" t="b">
        <f t="shared" si="31"/>
        <v>0</v>
      </c>
      <c r="AQ28" s="31" t="b">
        <f t="shared" si="32"/>
        <v>0</v>
      </c>
      <c r="AR28" s="31" t="b">
        <f t="shared" si="33"/>
        <v>0</v>
      </c>
      <c r="AS28" s="31" t="b">
        <f t="shared" si="34"/>
        <v>0</v>
      </c>
      <c r="AT28" s="31" t="b">
        <f t="shared" si="35"/>
        <v>0</v>
      </c>
      <c r="AU28" s="31" t="b">
        <f t="shared" si="36"/>
        <v>0</v>
      </c>
      <c r="AV28" s="31" t="b">
        <f t="shared" si="37"/>
        <v>0</v>
      </c>
      <c r="AW28" s="32" t="b">
        <f t="shared" si="38"/>
        <v>1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0.8749999999999996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0.8826388888888884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17</v>
      </c>
      <c r="B30" s="48" t="str">
        <f>+IF(AND(A30&gt;0,A30&lt;=21),VLOOKUP(F30,Grupper!$B$1:$C$12,2,FALSE),"")</f>
        <v>A</v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0.8833333333333329</v>
      </c>
      <c r="D30" s="50" t="str">
        <f aca="true" t="shared" si="40" ref="D30:D36">+IF((OR(AND(A30&lt;=21,A30&gt;0))),"-","")</f>
        <v>-</v>
      </c>
      <c r="E30" s="50">
        <f>IF(OR(AND(A30&gt;0,F30=F29),AND(A30&gt;0,F30=H29),AND(A30&gt;0,H30=H29),AND(A30&gt;0,H30=F29)),(IF(OR(A30&lt;=21),C30+Inställningar!$B$1,E29)),(IF(OR(AND(A30&gt;0,A30&lt;=21)),C30+Inställningar!$B$1,E29)))</f>
        <v>0.8909722222222217</v>
      </c>
      <c r="F30" s="28" t="str">
        <f>IF(OR(AND(A30&lt;=21,A30&gt;0)),(VLOOKUP(A30,Vakant!$A$10:$G$51,5,FALSE)),"")</f>
        <v>Kågeröds BoIF 1</v>
      </c>
      <c r="G30" s="29" t="str">
        <f aca="true" t="shared" si="41" ref="G30:G36">+IF((OR(AND(A30&lt;=21,A30&gt;0))),"-","")</f>
        <v>-</v>
      </c>
      <c r="H30" s="28" t="str">
        <f>+IF(OR(AND(A30&lt;=21,A30&gt;0)),(VLOOKUP(A30,Vakant!$A$10:$G$51,7,FALSE)),"")</f>
        <v>Harrie FF/Furulunds IK</v>
      </c>
      <c r="I30" s="30">
        <v>1</v>
      </c>
      <c r="J30" s="29" t="str">
        <f t="shared" si="0"/>
        <v>-</v>
      </c>
      <c r="K30" s="30">
        <v>2</v>
      </c>
      <c r="L30" s="30" t="s">
        <v>80</v>
      </c>
      <c r="M30" s="31" t="b">
        <f t="shared" si="2"/>
        <v>0</v>
      </c>
      <c r="N30" s="31" t="b">
        <f t="shared" si="3"/>
        <v>0</v>
      </c>
      <c r="O30" s="31" t="b">
        <f t="shared" si="4"/>
        <v>0</v>
      </c>
      <c r="P30" s="31" t="b">
        <f t="shared" si="5"/>
        <v>0</v>
      </c>
      <c r="Q30" s="31" t="b">
        <f t="shared" si="6"/>
        <v>0</v>
      </c>
      <c r="R30" s="31" t="b">
        <f t="shared" si="7"/>
        <v>1</v>
      </c>
      <c r="S30" s="31" t="b">
        <f t="shared" si="8"/>
        <v>0</v>
      </c>
      <c r="T30" s="31" t="b">
        <f t="shared" si="9"/>
        <v>0</v>
      </c>
      <c r="U30" s="31" t="b">
        <f t="shared" si="10"/>
        <v>0</v>
      </c>
      <c r="V30" s="31" t="b">
        <f t="shared" si="11"/>
        <v>0</v>
      </c>
      <c r="W30" s="31" t="b">
        <f t="shared" si="12"/>
        <v>0</v>
      </c>
      <c r="X30" s="31" t="b">
        <f t="shared" si="13"/>
        <v>0</v>
      </c>
      <c r="Y30" s="31" t="b">
        <f t="shared" si="14"/>
        <v>0</v>
      </c>
      <c r="Z30" s="31" t="b">
        <f t="shared" si="15"/>
        <v>0</v>
      </c>
      <c r="AA30" s="31" t="b">
        <f t="shared" si="16"/>
        <v>1</v>
      </c>
      <c r="AB30" s="31" t="b">
        <f t="shared" si="17"/>
        <v>0</v>
      </c>
      <c r="AC30" s="31" t="b">
        <f t="shared" si="18"/>
        <v>0</v>
      </c>
      <c r="AD30" s="31" t="b">
        <f t="shared" si="19"/>
        <v>0</v>
      </c>
      <c r="AE30" s="31" t="b">
        <f t="shared" si="20"/>
        <v>0</v>
      </c>
      <c r="AF30" s="31" t="b">
        <f t="shared" si="21"/>
        <v>0</v>
      </c>
      <c r="AG30" s="31" t="b">
        <f t="shared" si="22"/>
        <v>0</v>
      </c>
      <c r="AH30" s="31" t="b">
        <f t="shared" si="23"/>
        <v>0</v>
      </c>
      <c r="AI30" s="31" t="b">
        <f t="shared" si="24"/>
        <v>0</v>
      </c>
      <c r="AJ30" s="31" t="b">
        <f t="shared" si="25"/>
        <v>0</v>
      </c>
      <c r="AK30" s="31" t="b">
        <f t="shared" si="26"/>
        <v>0</v>
      </c>
      <c r="AL30" s="31" t="b">
        <f t="shared" si="27"/>
        <v>0</v>
      </c>
      <c r="AM30" s="31" t="b">
        <f t="shared" si="28"/>
        <v>0</v>
      </c>
      <c r="AN30" s="31" t="b">
        <f t="shared" si="29"/>
        <v>0</v>
      </c>
      <c r="AO30" s="31" t="b">
        <f t="shared" si="30"/>
        <v>0</v>
      </c>
      <c r="AP30" s="31" t="b">
        <f t="shared" si="31"/>
        <v>0</v>
      </c>
      <c r="AQ30" s="31" t="b">
        <f t="shared" si="32"/>
        <v>0</v>
      </c>
      <c r="AR30" s="31" t="b">
        <f t="shared" si="33"/>
        <v>0</v>
      </c>
      <c r="AS30" s="31" t="b">
        <f t="shared" si="34"/>
        <v>0</v>
      </c>
      <c r="AT30" s="31" t="b">
        <f t="shared" si="35"/>
        <v>0</v>
      </c>
      <c r="AU30" s="31" t="b">
        <f t="shared" si="36"/>
        <v>0</v>
      </c>
      <c r="AV30" s="31" t="b">
        <f t="shared" si="37"/>
        <v>0</v>
      </c>
      <c r="AW30" s="32" t="b">
        <f t="shared" si="38"/>
        <v>1</v>
      </c>
    </row>
    <row r="31" spans="1:49" ht="18" customHeight="1">
      <c r="A31" s="48">
        <f>IF(Lottning!$B$8="vakant",0,(IF(AND(Vakant!AX31&lt;=21,Vakant!BC31&gt;0),Vakant!BC31,0)))</f>
        <v>18</v>
      </c>
      <c r="B31" s="48" t="str">
        <f>+IF(AND(A31&gt;0,A31&lt;=21),VLOOKUP(F31,Grupper!$B$1:$C$12,2,FALSE),"")</f>
        <v>A</v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0.8916666666666662</v>
      </c>
      <c r="D31" s="50" t="str">
        <f t="shared" si="40"/>
        <v>-</v>
      </c>
      <c r="E31" s="50">
        <f>IF(OR(AND(A31&gt;0,F31=F30),AND(A31&gt;0,F31=H30),AND(A31&gt;0,H31=H30),AND(A31&gt;0,H31=F30)),(IF(OR(A31&lt;=21),C31+Inställningar!$B$1,E30)),(IF(OR(AND(A31&gt;0,A31&lt;=21)),C31+Inställningar!$B$1,E30)))</f>
        <v>0.899305555555555</v>
      </c>
      <c r="F31" s="28" t="str">
        <f>IF(OR(AND(A31&lt;=21,A31&gt;0)),(VLOOKUP(A31,Vakant!$A$10:$G$51,5,FALSE)),"")</f>
        <v>Svalövs BK 2</v>
      </c>
      <c r="G31" s="29" t="str">
        <f t="shared" si="41"/>
        <v>-</v>
      </c>
      <c r="H31" s="28" t="str">
        <f>+IF(OR(AND(A31&lt;=21,A31&gt;0)),(VLOOKUP(A31,Vakant!$A$10:$G$51,7,FALSE)),"")</f>
        <v>Billeberga GIF</v>
      </c>
      <c r="I31" s="30">
        <v>5</v>
      </c>
      <c r="J31" s="29" t="str">
        <f t="shared" si="0"/>
        <v>-</v>
      </c>
      <c r="K31" s="30">
        <v>2</v>
      </c>
      <c r="L31" s="30" t="s">
        <v>80</v>
      </c>
      <c r="M31" s="31" t="b">
        <f t="shared" si="2"/>
        <v>0</v>
      </c>
      <c r="N31" s="31" t="b">
        <f t="shared" si="3"/>
        <v>0</v>
      </c>
      <c r="O31" s="31" t="b">
        <f t="shared" si="4"/>
        <v>0</v>
      </c>
      <c r="P31" s="31" t="b">
        <f t="shared" si="5"/>
        <v>0</v>
      </c>
      <c r="Q31" s="31" t="b">
        <f t="shared" si="6"/>
        <v>0</v>
      </c>
      <c r="R31" s="31" t="b">
        <f t="shared" si="7"/>
        <v>0</v>
      </c>
      <c r="S31" s="31" t="b">
        <f t="shared" si="8"/>
        <v>1</v>
      </c>
      <c r="T31" s="31" t="b">
        <f t="shared" si="9"/>
        <v>0</v>
      </c>
      <c r="U31" s="31" t="b">
        <f t="shared" si="10"/>
        <v>0</v>
      </c>
      <c r="V31" s="31" t="b">
        <f t="shared" si="11"/>
        <v>0</v>
      </c>
      <c r="W31" s="31" t="b">
        <f t="shared" si="12"/>
        <v>0</v>
      </c>
      <c r="X31" s="31" t="b">
        <f t="shared" si="13"/>
        <v>0</v>
      </c>
      <c r="Y31" s="31" t="b">
        <f t="shared" si="14"/>
        <v>0</v>
      </c>
      <c r="Z31" s="31" t="b">
        <f t="shared" si="15"/>
        <v>1</v>
      </c>
      <c r="AA31" s="31" t="b">
        <f t="shared" si="16"/>
        <v>0</v>
      </c>
      <c r="AB31" s="31" t="b">
        <f t="shared" si="17"/>
        <v>0</v>
      </c>
      <c r="AC31" s="31" t="b">
        <f t="shared" si="18"/>
        <v>0</v>
      </c>
      <c r="AD31" s="31" t="b">
        <f t="shared" si="19"/>
        <v>0</v>
      </c>
      <c r="AE31" s="31" t="b">
        <f t="shared" si="20"/>
        <v>0</v>
      </c>
      <c r="AF31" s="31" t="b">
        <f t="shared" si="21"/>
        <v>0</v>
      </c>
      <c r="AG31" s="31" t="b">
        <f t="shared" si="22"/>
        <v>0</v>
      </c>
      <c r="AH31" s="31" t="b">
        <f t="shared" si="23"/>
        <v>0</v>
      </c>
      <c r="AI31" s="31" t="b">
        <f t="shared" si="24"/>
        <v>0</v>
      </c>
      <c r="AJ31" s="31" t="b">
        <f t="shared" si="25"/>
        <v>0</v>
      </c>
      <c r="AK31" s="31" t="b">
        <f t="shared" si="26"/>
        <v>0</v>
      </c>
      <c r="AL31" s="31" t="b">
        <f t="shared" si="27"/>
        <v>0</v>
      </c>
      <c r="AM31" s="31" t="b">
        <f t="shared" si="28"/>
        <v>0</v>
      </c>
      <c r="AN31" s="31" t="b">
        <f t="shared" si="29"/>
        <v>0</v>
      </c>
      <c r="AO31" s="31" t="b">
        <f t="shared" si="30"/>
        <v>0</v>
      </c>
      <c r="AP31" s="31" t="b">
        <f t="shared" si="31"/>
        <v>0</v>
      </c>
      <c r="AQ31" s="31" t="b">
        <f t="shared" si="32"/>
        <v>0</v>
      </c>
      <c r="AR31" s="31" t="b">
        <f t="shared" si="33"/>
        <v>0</v>
      </c>
      <c r="AS31" s="31" t="b">
        <f t="shared" si="34"/>
        <v>0</v>
      </c>
      <c r="AT31" s="31" t="b">
        <f t="shared" si="35"/>
        <v>0</v>
      </c>
      <c r="AU31" s="31" t="b">
        <f t="shared" si="36"/>
        <v>0</v>
      </c>
      <c r="AV31" s="31" t="b">
        <f t="shared" si="37"/>
        <v>0</v>
      </c>
      <c r="AW31" s="32" t="b">
        <f t="shared" si="38"/>
        <v>1</v>
      </c>
    </row>
    <row r="32" spans="1:49" ht="18" customHeight="1">
      <c r="A32" s="48">
        <f>IF(Lottning!$B$8="vakant",0,(IF(AND(Vakant!AX32&lt;=21,Vakant!BC32&gt;0),Vakant!BC32,0)))</f>
        <v>19</v>
      </c>
      <c r="B32" s="48" t="str">
        <f>+IF(AND(A32&gt;0,A32&lt;=21),VLOOKUP(F32,Grupper!$B$1:$C$12,2,FALSE),"")</f>
        <v>A</v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0.8999999999999995</v>
      </c>
      <c r="D32" s="50" t="str">
        <f t="shared" si="40"/>
        <v>-</v>
      </c>
      <c r="E32" s="50">
        <f>IF(OR(AND(A32&gt;0,F32=F31),AND(A32&gt;0,F32=H31),AND(A32&gt;0,H32=H31),AND(A32&gt;0,H32=F31)),(IF(OR(A32&lt;=21),C32+Inställningar!$B$1,E31)),(IF(OR(AND(A32&gt;0,A32&lt;=21)),C32+Inställningar!$B$1,E31)))</f>
        <v>0.9076388888888883</v>
      </c>
      <c r="F32" s="28" t="str">
        <f>IF(OR(AND(A32&lt;=21,A32&gt;0)),(VLOOKUP(A32,Vakant!$A$10:$G$51,5,FALSE)),"")</f>
        <v>Kågeröds BoIF 2</v>
      </c>
      <c r="G32" s="29" t="str">
        <f t="shared" si="41"/>
        <v>-</v>
      </c>
      <c r="H32" s="28" t="str">
        <f>+IF(OR(AND(A32&lt;=21,A32&gt;0)),(VLOOKUP(A32,Vakant!$A$10:$G$51,7,FALSE)),"")</f>
        <v>Kågeröds BoIF 1</v>
      </c>
      <c r="I32" s="30">
        <v>1</v>
      </c>
      <c r="J32" s="29" t="str">
        <f t="shared" si="0"/>
        <v>-</v>
      </c>
      <c r="K32" s="30">
        <v>2</v>
      </c>
      <c r="L32" s="30" t="s">
        <v>80</v>
      </c>
      <c r="M32" s="31" t="b">
        <f t="shared" si="2"/>
        <v>0</v>
      </c>
      <c r="N32" s="31" t="b">
        <f t="shared" si="3"/>
        <v>0</v>
      </c>
      <c r="O32" s="31" t="b">
        <f t="shared" si="4"/>
        <v>1</v>
      </c>
      <c r="P32" s="31" t="b">
        <f t="shared" si="5"/>
        <v>0</v>
      </c>
      <c r="Q32" s="31" t="b">
        <f t="shared" si="6"/>
        <v>0</v>
      </c>
      <c r="R32" s="31" t="b">
        <f t="shared" si="7"/>
        <v>0</v>
      </c>
      <c r="S32" s="31" t="b">
        <f t="shared" si="8"/>
        <v>0</v>
      </c>
      <c r="T32" s="31" t="b">
        <f t="shared" si="9"/>
        <v>0</v>
      </c>
      <c r="U32" s="31" t="b">
        <f t="shared" si="10"/>
        <v>0</v>
      </c>
      <c r="V32" s="31" t="b">
        <f t="shared" si="11"/>
        <v>0</v>
      </c>
      <c r="W32" s="31" t="b">
        <f t="shared" si="12"/>
        <v>0</v>
      </c>
      <c r="X32" s="31" t="b">
        <f t="shared" si="13"/>
        <v>0</v>
      </c>
      <c r="Y32" s="31" t="b">
        <f t="shared" si="14"/>
        <v>0</v>
      </c>
      <c r="Z32" s="31" t="b">
        <f t="shared" si="15"/>
        <v>0</v>
      </c>
      <c r="AA32" s="31" t="b">
        <f t="shared" si="16"/>
        <v>0</v>
      </c>
      <c r="AB32" s="31" t="b">
        <f t="shared" si="17"/>
        <v>0</v>
      </c>
      <c r="AC32" s="31" t="b">
        <f t="shared" si="18"/>
        <v>1</v>
      </c>
      <c r="AD32" s="31" t="b">
        <f t="shared" si="19"/>
        <v>0</v>
      </c>
      <c r="AE32" s="31" t="b">
        <f t="shared" si="20"/>
        <v>0</v>
      </c>
      <c r="AF32" s="31" t="b">
        <f t="shared" si="21"/>
        <v>0</v>
      </c>
      <c r="AG32" s="31" t="b">
        <f t="shared" si="22"/>
        <v>0</v>
      </c>
      <c r="AH32" s="31" t="b">
        <f t="shared" si="23"/>
        <v>0</v>
      </c>
      <c r="AI32" s="31" t="b">
        <f t="shared" si="24"/>
        <v>0</v>
      </c>
      <c r="AJ32" s="31" t="b">
        <f t="shared" si="25"/>
        <v>0</v>
      </c>
      <c r="AK32" s="31" t="b">
        <f t="shared" si="26"/>
        <v>0</v>
      </c>
      <c r="AL32" s="31" t="b">
        <f t="shared" si="27"/>
        <v>0</v>
      </c>
      <c r="AM32" s="31" t="b">
        <f t="shared" si="28"/>
        <v>0</v>
      </c>
      <c r="AN32" s="31" t="b">
        <f t="shared" si="29"/>
        <v>0</v>
      </c>
      <c r="AO32" s="31" t="b">
        <f t="shared" si="30"/>
        <v>0</v>
      </c>
      <c r="AP32" s="31" t="b">
        <f t="shared" si="31"/>
        <v>0</v>
      </c>
      <c r="AQ32" s="31" t="b">
        <f t="shared" si="32"/>
        <v>0</v>
      </c>
      <c r="AR32" s="31" t="b">
        <f t="shared" si="33"/>
        <v>0</v>
      </c>
      <c r="AS32" s="31" t="b">
        <f t="shared" si="34"/>
        <v>0</v>
      </c>
      <c r="AT32" s="31" t="b">
        <f t="shared" si="35"/>
        <v>0</v>
      </c>
      <c r="AU32" s="31" t="b">
        <f t="shared" si="36"/>
        <v>0</v>
      </c>
      <c r="AV32" s="31" t="b">
        <f t="shared" si="37"/>
        <v>0</v>
      </c>
      <c r="AW32" s="32" t="b">
        <f t="shared" si="38"/>
        <v>1</v>
      </c>
    </row>
    <row r="33" spans="1:49" ht="18" customHeight="1">
      <c r="A33" s="48">
        <f>IF(Lottning!$B$8="vakant",0,(IF(AND(Vakant!AX33&lt;=21,Vakant!BC33&gt;0),Vakant!BC33,0)))</f>
        <v>20</v>
      </c>
      <c r="B33" s="48" t="str">
        <f>+IF(AND(A33&gt;0,A33&lt;=21),VLOOKUP(F33,Grupper!$B$1:$C$12,2,FALSE),"")</f>
        <v>A</v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0.9083333333333328</v>
      </c>
      <c r="D33" s="50" t="str">
        <f t="shared" si="40"/>
        <v>-</v>
      </c>
      <c r="E33" s="50">
        <f>IF(OR(AND(A33&gt;0,F33=F32),AND(A33&gt;0,F33=H32),AND(A33&gt;0,H33=H32),AND(A33&gt;0,H33=F32)),(IF(OR(A33&lt;=21),C33+Inställningar!$B$1,E32)),(IF(OR(AND(A33&gt;0,A33&lt;=21)),C33+Inställningar!$B$1,E32)))</f>
        <v>0.9159722222222216</v>
      </c>
      <c r="F33" s="28" t="str">
        <f>IF(OR(AND(A33&lt;=21,A33&gt;0)),(VLOOKUP(A33,Vakant!$A$10:$G$51,5,FALSE)),"")</f>
        <v>Svalövs BK 1</v>
      </c>
      <c r="G33" s="29" t="str">
        <f t="shared" si="41"/>
        <v>-</v>
      </c>
      <c r="H33" s="28" t="str">
        <f>+IF(OR(AND(A33&lt;=21,A33&gt;0)),(VLOOKUP(A33,Vakant!$A$10:$G$51,7,FALSE)),"")</f>
        <v>Harrie FF/Furulunds IK</v>
      </c>
      <c r="I33" s="30">
        <v>1</v>
      </c>
      <c r="J33" s="29" t="str">
        <f t="shared" si="0"/>
        <v>-</v>
      </c>
      <c r="K33" s="30">
        <v>1</v>
      </c>
      <c r="L33" s="30" t="s">
        <v>80</v>
      </c>
      <c r="M33" s="31" t="b">
        <f t="shared" si="2"/>
        <v>0</v>
      </c>
      <c r="N33" s="31" t="b">
        <f t="shared" si="3"/>
        <v>0</v>
      </c>
      <c r="O33" s="31" t="b">
        <f t="shared" si="4"/>
        <v>0</v>
      </c>
      <c r="P33" s="31" t="b">
        <f t="shared" si="5"/>
        <v>0</v>
      </c>
      <c r="Q33" s="31" t="b">
        <f t="shared" si="6"/>
        <v>0</v>
      </c>
      <c r="R33" s="31" t="b">
        <f t="shared" si="7"/>
        <v>0</v>
      </c>
      <c r="S33" s="31" t="b">
        <f t="shared" si="8"/>
        <v>0</v>
      </c>
      <c r="T33" s="31" t="b">
        <f t="shared" si="9"/>
        <v>0</v>
      </c>
      <c r="U33" s="31" t="b">
        <f t="shared" si="10"/>
        <v>0</v>
      </c>
      <c r="V33" s="31" t="b">
        <f t="shared" si="11"/>
        <v>0</v>
      </c>
      <c r="W33" s="31" t="b">
        <f t="shared" si="12"/>
        <v>0</v>
      </c>
      <c r="X33" s="31" t="b">
        <f t="shared" si="13"/>
        <v>0</v>
      </c>
      <c r="Y33" s="31" t="b">
        <f t="shared" si="14"/>
        <v>0</v>
      </c>
      <c r="Z33" s="31" t="b">
        <f t="shared" si="15"/>
        <v>0</v>
      </c>
      <c r="AA33" s="31" t="b">
        <f t="shared" si="16"/>
        <v>0</v>
      </c>
      <c r="AB33" s="31" t="b">
        <f t="shared" si="17"/>
        <v>0</v>
      </c>
      <c r="AC33" s="31" t="b">
        <f t="shared" si="18"/>
        <v>0</v>
      </c>
      <c r="AD33" s="31" t="b">
        <f t="shared" si="19"/>
        <v>0</v>
      </c>
      <c r="AE33" s="31" t="b">
        <f t="shared" si="20"/>
        <v>0</v>
      </c>
      <c r="AF33" s="31" t="b">
        <f t="shared" si="21"/>
        <v>0</v>
      </c>
      <c r="AG33" s="31" t="b">
        <f t="shared" si="22"/>
        <v>0</v>
      </c>
      <c r="AH33" s="31" t="b">
        <f t="shared" si="23"/>
        <v>0</v>
      </c>
      <c r="AI33" s="31" t="b">
        <f t="shared" si="24"/>
        <v>0</v>
      </c>
      <c r="AJ33" s="31" t="b">
        <f t="shared" si="25"/>
        <v>0</v>
      </c>
      <c r="AK33" s="31" t="b">
        <f t="shared" si="26"/>
        <v>1</v>
      </c>
      <c r="AL33" s="31" t="b">
        <f t="shared" si="27"/>
        <v>0</v>
      </c>
      <c r="AM33" s="31" t="b">
        <f t="shared" si="28"/>
        <v>0</v>
      </c>
      <c r="AN33" s="31" t="b">
        <f t="shared" si="29"/>
        <v>0</v>
      </c>
      <c r="AO33" s="31" t="b">
        <f t="shared" si="30"/>
        <v>0</v>
      </c>
      <c r="AP33" s="31" t="b">
        <f t="shared" si="31"/>
        <v>1</v>
      </c>
      <c r="AQ33" s="31" t="b">
        <f t="shared" si="32"/>
        <v>0</v>
      </c>
      <c r="AR33" s="31" t="b">
        <f t="shared" si="33"/>
        <v>0</v>
      </c>
      <c r="AS33" s="31" t="b">
        <f t="shared" si="34"/>
        <v>0</v>
      </c>
      <c r="AT33" s="31" t="b">
        <f t="shared" si="35"/>
        <v>0</v>
      </c>
      <c r="AU33" s="31" t="b">
        <f t="shared" si="36"/>
        <v>0</v>
      </c>
      <c r="AV33" s="31" t="b">
        <f t="shared" si="37"/>
        <v>0</v>
      </c>
      <c r="AW33" s="32" t="b">
        <f t="shared" si="38"/>
        <v>1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0.9083333333333328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0.9159722222222216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21</v>
      </c>
      <c r="B35" s="48" t="str">
        <f>+IF(AND(A35&gt;0,A35&lt;=21),VLOOKUP(F35,Grupper!$B$1:$C$12,2,FALSE),"")</f>
        <v>A</v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0.9166666666666661</v>
      </c>
      <c r="D35" s="50" t="str">
        <f t="shared" si="40"/>
        <v>-</v>
      </c>
      <c r="E35" s="50">
        <f>IF(OR(AND(A35&gt;0,F35=F34),AND(A35&gt;0,F35=H34),AND(A35&gt;0,H35=H34),AND(A35&gt;0,H35=F34)),(IF(OR(A35&lt;=21),C35+Inställningar!$B$1,E34)),(IF(OR(AND(A35&gt;0,A35&lt;=21)),C35+Inställningar!$B$1,E34)))</f>
        <v>0.9243055555555549</v>
      </c>
      <c r="F35" s="28" t="str">
        <f>IF(OR(AND(A35&lt;=21,A35&gt;0)),(VLOOKUP(A35,Vakant!$A$10:$G$51,5,FALSE)),"")</f>
        <v>Linero IF</v>
      </c>
      <c r="G35" s="29" t="str">
        <f t="shared" si="41"/>
        <v>-</v>
      </c>
      <c r="H35" s="28" t="str">
        <f>+IF(OR(AND(A35&lt;=21,A35&gt;0)),(VLOOKUP(A35,Vakant!$A$10:$G$51,7,FALSE)),"")</f>
        <v>Svalövs BK 2</v>
      </c>
      <c r="I35" s="30">
        <v>3</v>
      </c>
      <c r="J35" s="29" t="str">
        <f t="shared" si="0"/>
        <v>-</v>
      </c>
      <c r="K35" s="30">
        <v>3</v>
      </c>
      <c r="L35" s="30" t="s">
        <v>80</v>
      </c>
      <c r="M35" s="31" t="b">
        <f t="shared" si="2"/>
        <v>0</v>
      </c>
      <c r="N35" s="31" t="b">
        <f t="shared" si="3"/>
        <v>0</v>
      </c>
      <c r="O35" s="31" t="b">
        <f t="shared" si="4"/>
        <v>0</v>
      </c>
      <c r="P35" s="31" t="b">
        <f t="shared" si="5"/>
        <v>0</v>
      </c>
      <c r="Q35" s="31" t="b">
        <f t="shared" si="6"/>
        <v>0</v>
      </c>
      <c r="R35" s="31" t="b">
        <f t="shared" si="7"/>
        <v>0</v>
      </c>
      <c r="S35" s="31" t="b">
        <f t="shared" si="8"/>
        <v>0</v>
      </c>
      <c r="T35" s="31" t="b">
        <f t="shared" si="9"/>
        <v>0</v>
      </c>
      <c r="U35" s="31" t="b">
        <f t="shared" si="10"/>
        <v>0</v>
      </c>
      <c r="V35" s="31" t="b">
        <f t="shared" si="11"/>
        <v>0</v>
      </c>
      <c r="W35" s="31" t="b">
        <f t="shared" si="12"/>
        <v>0</v>
      </c>
      <c r="X35" s="31" t="b">
        <f t="shared" si="13"/>
        <v>0</v>
      </c>
      <c r="Y35" s="31" t="b">
        <f t="shared" si="14"/>
        <v>0</v>
      </c>
      <c r="Z35" s="31" t="b">
        <f t="shared" si="15"/>
        <v>0</v>
      </c>
      <c r="AA35" s="31" t="b">
        <f t="shared" si="16"/>
        <v>0</v>
      </c>
      <c r="AB35" s="31" t="b">
        <f t="shared" si="17"/>
        <v>0</v>
      </c>
      <c r="AC35" s="31" t="b">
        <f t="shared" si="18"/>
        <v>0</v>
      </c>
      <c r="AD35" s="31" t="b">
        <f t="shared" si="19"/>
        <v>0</v>
      </c>
      <c r="AE35" s="31" t="b">
        <f t="shared" si="20"/>
        <v>0</v>
      </c>
      <c r="AF35" s="31" t="b">
        <f t="shared" si="21"/>
        <v>0</v>
      </c>
      <c r="AG35" s="31" t="b">
        <f t="shared" si="22"/>
        <v>0</v>
      </c>
      <c r="AH35" s="31" t="b">
        <f t="shared" si="23"/>
        <v>0</v>
      </c>
      <c r="AI35" s="31" t="b">
        <f t="shared" si="24"/>
        <v>0</v>
      </c>
      <c r="AJ35" s="31" t="b">
        <f t="shared" si="25"/>
        <v>0</v>
      </c>
      <c r="AK35" s="31" t="b">
        <f t="shared" si="26"/>
        <v>0</v>
      </c>
      <c r="AL35" s="31" t="b">
        <f t="shared" si="27"/>
        <v>0</v>
      </c>
      <c r="AM35" s="31" t="b">
        <f t="shared" si="28"/>
        <v>0</v>
      </c>
      <c r="AN35" s="31" t="b">
        <f t="shared" si="29"/>
        <v>1</v>
      </c>
      <c r="AO35" s="31" t="b">
        <f t="shared" si="30"/>
        <v>0</v>
      </c>
      <c r="AP35" s="31" t="b">
        <f t="shared" si="31"/>
        <v>0</v>
      </c>
      <c r="AQ35" s="31" t="b">
        <f t="shared" si="32"/>
        <v>1</v>
      </c>
      <c r="AR35" s="31" t="b">
        <f t="shared" si="33"/>
        <v>0</v>
      </c>
      <c r="AS35" s="31" t="b">
        <f t="shared" si="34"/>
        <v>0</v>
      </c>
      <c r="AT35" s="31" t="b">
        <f t="shared" si="35"/>
        <v>0</v>
      </c>
      <c r="AU35" s="31" t="b">
        <f t="shared" si="36"/>
        <v>0</v>
      </c>
      <c r="AV35" s="31" t="b">
        <f t="shared" si="37"/>
        <v>0</v>
      </c>
      <c r="AW35" s="32" t="b">
        <f t="shared" si="38"/>
        <v>1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0.9166666666666661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0.9243055555555549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0.9166666666666661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0.9243055555555549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 t="str">
        <f>IF(Inställningar!$B$5="JA",Matchnummer!A22,"")</f>
        <v>Semifinal 1</v>
      </c>
      <c r="B38" s="49"/>
      <c r="C38" s="50" t="e">
        <f>IF(AND(Inställningar!$B$6="JA",Inställningar!$B$5="JA"),E37+Inställningar!$B$4,IF(Inställningar!$B$5="JA",E37+Inställningar!$B$4,""))</f>
        <v>#VALUE!</v>
      </c>
      <c r="D38" s="29" t="str">
        <f>IF(Inställningar!$B$5="JA","-","")</f>
        <v>-</v>
      </c>
      <c r="E38" s="50" t="e">
        <f>IF(AND(Inställningar!$B$6="JA",Inställningar!$B$5="JA"),C38+Inställningar!$B$2,IF(Inställningar!$B$5="JA",C38+Inställningar!$B$2,""))</f>
        <v>#VALUE!</v>
      </c>
      <c r="F38" s="52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  <v>Linero IF</v>
      </c>
      <c r="G38" s="29" t="str">
        <f>IF(Inställningar!$B$5="JA","-","")</f>
        <v>-</v>
      </c>
      <c r="H38" s="28" t="s">
        <v>74</v>
      </c>
      <c r="I38" s="30">
        <v>1</v>
      </c>
      <c r="J38" s="29" t="str">
        <f>IF(Inställningar!$B$5="JA","-","")</f>
        <v>-</v>
      </c>
      <c r="K38" s="30">
        <v>3</v>
      </c>
      <c r="L38" s="51" t="s">
        <v>80</v>
      </c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 t="str">
        <f>IF(Inställningar!$B$5="JA",Matchnummer!A23,"")</f>
        <v>Semifinal 2</v>
      </c>
      <c r="B39" s="49"/>
      <c r="C39" s="50" t="e">
        <f>IF(AND(Inställningar!$B$6="JA",Inställningar!$B$5="JA"),E38+Inställningar!$B$3,IF(Inställningar!$B$5="JA",E38+Inställningar!$B$3,""))</f>
        <v>#VALUE!</v>
      </c>
      <c r="D39" s="29" t="str">
        <f>IF(Inställningar!$B$5="JA","-","")</f>
        <v>-</v>
      </c>
      <c r="E39" s="50" t="e">
        <f>IF(AND(Inställningar!$B$6="JA",Inställningar!$B$5="JA"),C39+Inställningar!$B$2,IF(Inställningar!$B$5="JA",C39+Inställningar!$B$2,""))</f>
        <v>#VALUE!</v>
      </c>
      <c r="F39" s="52" t="s">
        <v>82</v>
      </c>
      <c r="G39" s="29" t="str">
        <f>IF(Inställningar!$B$5="JA","-","")</f>
        <v>-</v>
      </c>
      <c r="H39" s="28" t="s">
        <v>79</v>
      </c>
      <c r="I39" s="30">
        <v>3</v>
      </c>
      <c r="J39" s="29" t="str">
        <f>IF(Inställningar!$B$5="JA","-","")</f>
        <v>-</v>
      </c>
      <c r="K39" s="30">
        <v>0</v>
      </c>
      <c r="L39" s="51" t="s">
        <v>80</v>
      </c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 t="str">
        <f>IF(Inställningar!$B$5="JA",Matchnummer!A24,"")</f>
        <v>3:e pris</v>
      </c>
      <c r="B40" s="49"/>
      <c r="C40" s="50" t="e">
        <f>IF(AND(Inställningar!$B$6="JA",Inställningar!$B$5="JA"),E39+Inställningar!$B$4,IF(Inställningar!$B$5="JA",E39+Inställningar!$B$4,""))</f>
        <v>#VALUE!</v>
      </c>
      <c r="D40" s="29" t="str">
        <f>IF(Inställningar!$B$5="JA","-","")</f>
        <v>-</v>
      </c>
      <c r="E40" s="50" t="e">
        <f>IF(AND(Inställningar!$B$6="JA",Inställningar!$B$5="JA"),C40+Inställningar!$B$2,IF(Inställningar!$B$5="JA",C40+Inställningar!$B$2,""))</f>
        <v>#VALUE!</v>
      </c>
      <c r="F40" s="28" t="str">
        <f>IF(Inställningar!$B$5="JA",(IF(AND(L38="X",AND(I38&lt;&gt;"",K38&lt;&gt;"")),(IF(I38&lt;K38,F38,H38)),"Förlorare semi 1")),"")</f>
        <v>Linero IF</v>
      </c>
      <c r="G40" s="29" t="str">
        <f>IF(Inställningar!$B$5="JA","-","")</f>
        <v>-</v>
      </c>
      <c r="H40" s="28" t="str">
        <f>IF(Inställningar!$B$5="JA",(IF(AND(L39="x",AND(I39&lt;&gt;"",K39&lt;&gt;"")),(IF(I39&lt;K39,F39,H39)),"Förlorare semi 2")),"")</f>
        <v>Svalövs BK 2</v>
      </c>
      <c r="I40" s="30">
        <v>4</v>
      </c>
      <c r="J40" s="29" t="str">
        <f>IF(Inställningar!$B$5="JA","-","")</f>
        <v>-</v>
      </c>
      <c r="K40" s="30">
        <v>1</v>
      </c>
      <c r="L40" s="51" t="s">
        <v>80</v>
      </c>
    </row>
    <row r="41" spans="1:12" ht="18" customHeight="1">
      <c r="A41" s="48" t="str">
        <f>IF(Inställningar!$B$5="JA",Matchnummer!A25,"")</f>
        <v>Final</v>
      </c>
      <c r="B41" s="49"/>
      <c r="C41" s="50" t="e">
        <f>IF(AND(Inställningar!$B$6="JA",Inställningar!$B$5="JA"),E40+Inställningar!$B$3,IF(Inställningar!$B$5="JA",E40+Inställningar!$B$3,""))</f>
        <v>#VALUE!</v>
      </c>
      <c r="D41" s="29" t="str">
        <f>IF(Inställningar!$B$5="JA","-","")</f>
        <v>-</v>
      </c>
      <c r="E41" s="50" t="e">
        <f>IF(AND(Inställningar!$B$6="JA",Inställningar!$B$5="JA"),C41+Inställningar!$B$2,IF(Inställningar!$B$5="JA",C41+Inställningar!$B$2,""))</f>
        <v>#VALUE!</v>
      </c>
      <c r="F41" s="28" t="str">
        <f>IF(Inställningar!$B$5="JA",(IF(AND(L38="X",AND(I38&lt;&gt;"",K38&lt;&gt;"")),(IF(I38&gt;K38,F38,H38)),"Vinnare semi 1")),"")</f>
        <v>Kågeröds BoIF 1</v>
      </c>
      <c r="G41" s="29" t="str">
        <f>IF(Inställningar!$B$5="JA","-","")</f>
        <v>-</v>
      </c>
      <c r="H41" s="28" t="str">
        <f>IF(Inställningar!$B$5="JA",(IF(AND(L39="X",AND(I39&lt;&gt;"",K39&lt;&gt;"")),(IF(I39&gt;K39,F39,H39)),"Vinnare semi 2")),"")</f>
        <v>Svalövs BK1</v>
      </c>
      <c r="I41" s="30">
        <v>2</v>
      </c>
      <c r="J41" s="29" t="str">
        <f>IF(Inställningar!$B$5="JA","-","")</f>
        <v>-</v>
      </c>
      <c r="K41" s="30">
        <v>1</v>
      </c>
      <c r="L41" s="51" t="s">
        <v>80</v>
      </c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 t="str">
        <f>+IF(AND(L41="X",L40="X",L39="X",L38="X",Inställningar!B5="JA"),"Slutresultat","")</f>
        <v>Slutresultat</v>
      </c>
      <c r="B43" s="62"/>
      <c r="G43" s="53" t="str">
        <f>+IF(AND(L41="X",L40="X",L39="X",L38="X",Inställningar!B5="JA",Inställningar!B7="JA"),"Cupens lirare","")</f>
        <v>Cupens lirare</v>
      </c>
      <c r="H43" s="32"/>
      <c r="I43" s="30"/>
      <c r="J43" s="28"/>
    </row>
    <row r="44" spans="1:12" ht="23.25" customHeight="1">
      <c r="A44" s="55" t="str">
        <f>+IF(AND(L41="X",L40="X",L39="X",L38="X",Inställningar!B5="JA"),"Vinnare","")</f>
        <v>Vinnare</v>
      </c>
      <c r="B44" s="56"/>
      <c r="C44" s="57" t="str">
        <f>IF(AND(L41="X",L40="X",L39="X",L38="X",OR(I40&gt;0,K40&gt;0),OR(I41&gt;0,K41&gt;0)),(IF(I41&gt;K41,F41,H41)),"")</f>
        <v>Kågeröds BoIF 1</v>
      </c>
      <c r="D44" s="57"/>
      <c r="E44" s="57"/>
      <c r="F44" s="57"/>
      <c r="G44" s="27" t="str">
        <f>+IF(AND(L41="X",L40="X",L39="X",L38="X",Inställningar!B5="JA",Inställningar!B7="JA"),"Namn:","")</f>
        <v>Namn:</v>
      </c>
      <c r="H44" s="121"/>
      <c r="I44" s="121"/>
      <c r="J44" s="121"/>
      <c r="K44" s="121"/>
      <c r="L44" s="58"/>
    </row>
    <row r="45" spans="1:12" ht="23.25" customHeight="1">
      <c r="A45" s="55" t="str">
        <f>+IF(AND(L41="X",L40="X",L39="X",L38="X",Inställningar!B5="JA"),"Tvåa","")</f>
        <v>Tvåa</v>
      </c>
      <c r="B45" s="56"/>
      <c r="C45" s="57" t="str">
        <f>+IF(AND(L41="X",L40="X",L39="X",L38="X",OR(I41&gt;0,K41&gt;0),OR(I40&gt;0,K40&gt;0)),(IF(I41&lt;K41,F41,H41)),"")</f>
        <v>Svalövs BK1</v>
      </c>
      <c r="D45" s="57"/>
      <c r="E45" s="57"/>
      <c r="F45" s="57"/>
      <c r="G45" s="27" t="str">
        <f>+IF(AND(L41="X",L40="X",L39="X",L38="X",Inställningar!B5="JA",Inställningar!B7="JA"),"Klubb:","")</f>
        <v>Klubb:</v>
      </c>
      <c r="H45" s="121"/>
      <c r="I45" s="121"/>
      <c r="J45" s="121"/>
      <c r="K45" s="121"/>
      <c r="L45" s="58"/>
    </row>
    <row r="46" spans="1:12" ht="23.25" customHeight="1">
      <c r="A46" s="55" t="str">
        <f>+IF(AND(L41="X",L40="X",L39="X",L38="X",Inställningar!B5="JA"),"Trea","")</f>
        <v>Trea</v>
      </c>
      <c r="B46" s="56"/>
      <c r="C46" s="57" t="str">
        <f>+IF(AND(L41="X",L40="X",L39="X",L38="X",OR(I41&gt;0,K41&gt;0),OR(I40&gt;0,K40&gt;0)),(IF(I40&gt;K40,F40,H40)),"")</f>
        <v>Linero IF</v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 t="str">
        <f>+IF(AND(L41="X",L40="X",L39="X",L38="X",Inställningar!B5="JA"),"Fyra","")</f>
        <v>Fyra</v>
      </c>
      <c r="B47" s="60"/>
      <c r="C47" s="57" t="str">
        <f>++IF(AND(L41="X",L40="X",L39="X",L38="X",OR(I41&gt;0,K41&gt;0),OR(I40&gt;0,K40&gt;0)),(IF(I40&lt;K40,F40,H40)),"")</f>
        <v>Svalövs BK 2</v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0" operator="equal" stopIfTrue="1">
      <formula>$E9</formula>
    </cfRule>
  </conditionalFormatting>
  <conditionalFormatting sqref="C10:C37">
    <cfRule type="cellIs" priority="2" dxfId="0" operator="equal" stopIfTrue="1">
      <formula>C9</formula>
    </cfRule>
  </conditionalFormatting>
  <conditionalFormatting sqref="A10:A37">
    <cfRule type="cellIs" priority="3" dxfId="0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 scale="85" r:id="rId1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/>
      <c r="J1" s="27" t="s">
        <v>68</v>
      </c>
      <c r="K1" s="27" t="s">
        <v>69</v>
      </c>
      <c r="L1" s="27" t="s">
        <v>70</v>
      </c>
    </row>
    <row r="2" spans="1:12" ht="12.75" customHeight="1" hidden="1">
      <c r="A2" s="65" t="s">
        <v>71</v>
      </c>
      <c r="B2" s="66" t="str">
        <f>+Grupper!A1</f>
        <v>A1</v>
      </c>
      <c r="C2" s="67">
        <f>IF(Inställningar!$B$6="Nej",IF(Grupper!B1="vakant","",Grupper!B1),0)</f>
        <v>0</v>
      </c>
      <c r="D2" s="68">
        <f>+IF(Inställningar!$B$6="NEJ",IF(Grupper!B1="vakant","",COUNTIF(Schema!M:M,"SANT")),0)</f>
        <v>0</v>
      </c>
      <c r="E2" s="68">
        <f>+IF(Inställningar!$B$6="NEJ",IF(Grupper!B1="vakant","",COUNTIF(Schema!AK:AK,"sant")),0)</f>
        <v>0</v>
      </c>
      <c r="F2" s="68">
        <f>+IF(Inställningar!$B$6="NEJ",IF(Grupper!B1="vakant","",COUNTIF(Schema!Y:Y,"sant")),0)</f>
        <v>0</v>
      </c>
      <c r="G2" s="69">
        <f>IF(Inställningar!$B$6="Nej",IF(Grupper!B1="vakant","",D2+E2+F2),0)</f>
        <v>0</v>
      </c>
      <c r="H2" s="70">
        <f>IF(Inställningar!$B$6="Nej",IF(Grupper!B1="vakant",0,(SUMIF(Schema!$F$10:$F$37,Tabell!C2,Schema!$I$10:$I$37)+SUMIF(Schema!$H$10:$H$37,Tabell!C2,Schema!$K$10:$K$37))),0)</f>
        <v>0</v>
      </c>
      <c r="I2" s="71" t="s">
        <v>57</v>
      </c>
      <c r="J2" s="72">
        <f>IF(Inställningar!$B$6="Nej",IF(Grupper!B1="vakant",0,SUMIF(Schema!$F$10:$F$37,Tabell!C2,Schema!$K$10:$K$37)+SUMIF(Schema!$H$10:$H$37,Tabell!C2,Schema!$I$10:$I$37)),0)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>
        <f>IF(Inställningar!$B$6="Nej",IF(Grupper!B2="vakant","",Grupper!B2),0)</f>
        <v>0</v>
      </c>
      <c r="D3" s="75">
        <f>+IF(Inställningar!$B$6="NEJ",IF(Grupper!B2="vakant","",COUNTIF(Schema!N:N,"SANT")),0)</f>
        <v>0</v>
      </c>
      <c r="E3" s="75">
        <f>+IF(Inställningar!$B$6="NEJ",IF(Grupper!B2="vakant","",COUNTIF(Schema!AL:AL,"sant")),0)</f>
        <v>0</v>
      </c>
      <c r="F3" s="75">
        <f>+IF(Inställningar!$B$6="NEJ",IF(Grupper!B2="vakant","",COUNTIF(Schema!Z:Z,"sant")),0)</f>
        <v>0</v>
      </c>
      <c r="G3" s="76">
        <f>IF(Inställningar!$B$6="Nej",IF(Grupper!B2="vakant","",D3+E3+F3),0)</f>
        <v>0</v>
      </c>
      <c r="H3" s="77">
        <f>IF(Inställningar!$B$6="Nej",IF(Grupper!B2="vakant",0,(SUMIF(Schema!$F$10:$F$37,Tabell!C3,Schema!$I$10:$I$37)+SUMIF(Schema!$H$10:$H$37,Tabell!C3,Schema!$K$10:$K$37))),0)</f>
        <v>0</v>
      </c>
      <c r="I3" s="78" t="s">
        <v>57</v>
      </c>
      <c r="J3" s="79">
        <f>IF(Inställningar!$B$6="Nej",IF(Grupper!B2="vakant",0,SUMIF(Schema!$F$10:$F$37,Tabell!C3,Schema!$K$10:$K$37)+SUMIF(Schema!$H$10:$H$37,Tabell!C3,Schema!$I$10:$I$37)),0)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65"/>
      <c r="B4" s="73" t="str">
        <f>+Grupper!A3</f>
        <v>A3</v>
      </c>
      <c r="C4" s="74">
        <f>IF(Inställningar!$B$6="Nej",IF(Grupper!B3="vakant","",Grupper!B3),0)</f>
        <v>0</v>
      </c>
      <c r="D4" s="75">
        <f>+IF(Inställningar!$B$6="NEJ",IF(Grupper!B3="vakant","",COUNTIF(Schema!O:O,"SANT")),0)</f>
        <v>0</v>
      </c>
      <c r="E4" s="75">
        <f>+IF(Inställningar!$B$6="NEJ",IF(Grupper!B3="vakant","",COUNTIF(Schema!AM:AM,"sant")),0)</f>
        <v>0</v>
      </c>
      <c r="F4" s="75">
        <f>+IF(Inställningar!$B$6="NEJ",IF(Grupper!B3="vakant","",COUNTIF(Schema!AA:AA,"sant")),0)</f>
        <v>0</v>
      </c>
      <c r="G4" s="76">
        <f>IF(Inställningar!$B$6="Nej",IF(Grupper!B3="vakant","",D4+E4+F4),0)</f>
        <v>0</v>
      </c>
      <c r="H4" s="77">
        <f>IF(Inställningar!$B$6="Nej",IF(Grupper!B3="vakant",0,(SUMIF(Schema!$F$10:$F$37,Tabell!C4,Schema!$I$10:$I$37)+SUMIF(Schema!$H$10:$H$37,Tabell!C4,Schema!$K$10:$K$37))),0)</f>
        <v>0</v>
      </c>
      <c r="I4" s="78" t="s">
        <v>57</v>
      </c>
      <c r="J4" s="79">
        <f>IF(Inställningar!$B$6="Nej",IF(Grupper!B3="vakant",0,SUMIF(Schema!$F$10:$F$37,Tabell!C4,Schema!$K$10:$K$37)+SUMIF(Schema!$H$10:$H$37,Tabell!C4,Schema!$I$10:$I$37)),0)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>
        <f>IF(Inställningar!$B$6="Nej",IF(Grupper!B4="vakant","",Grupper!B4),0)</f>
        <v>0</v>
      </c>
      <c r="D5" s="75">
        <f>+IF(Inställningar!$B$6="NEJ",IF(Grupper!B4="vakant","",COUNTIF(Schema!P:P,"SANT")),0)</f>
        <v>0</v>
      </c>
      <c r="E5" s="75">
        <f>+IF(Inställningar!$B$6="NEJ",IF(Grupper!B4="vakant","",COUNTIF(Schema!AN:AN,"sant")),0)</f>
        <v>0</v>
      </c>
      <c r="F5" s="75">
        <f>+IF(Inställningar!$B$6="NEJ",IF(Grupper!B4="vakant","",COUNTIF(Schema!AB:AB,"sant")),0)</f>
        <v>0</v>
      </c>
      <c r="G5" s="76">
        <f>IF(Inställningar!$B$6="Nej",IF(Grupper!B4="vakant","",D5+E5+F5),0)</f>
        <v>0</v>
      </c>
      <c r="H5" s="77">
        <f>IF(Inställningar!$B$6="Nej",IF(Grupper!B4="vakant",0,(SUMIF(Schema!$F$10:$F$37,Tabell!C5,Schema!$I$10:$I$37)+SUMIF(Schema!$H$10:$H$37,Tabell!C5,Schema!$K$10:$K$37))),0)</f>
        <v>0</v>
      </c>
      <c r="I5" s="78" t="s">
        <v>57</v>
      </c>
      <c r="J5" s="79">
        <f>IF(Inställningar!$B$6="Nej",IF(Grupper!B4="vakant",0,SUMIF(Schema!$F$10:$F$37,Tabell!C5,Schema!$K$10:$K$37)+SUMIF(Schema!$H$10:$H$37,Tabell!C5,Schema!$I$10:$I$37)),0)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65"/>
      <c r="B6" s="80" t="str">
        <f>+Grupper!A5</f>
        <v>A5</v>
      </c>
      <c r="C6" s="81">
        <f>IF(Inställningar!$B$6="Nej",IF(Grupper!B5="vakant","",Grupper!B5),0)</f>
        <v>0</v>
      </c>
      <c r="D6" s="82">
        <f>+IF(Inställningar!$B$6="NEJ",IF(Grupper!B5="vakant","",COUNTIF(Schema!Q:Q,"SANT")),0)</f>
        <v>0</v>
      </c>
      <c r="E6" s="82">
        <f>+IF(Inställningar!$B$6="NEJ",IF(Grupper!B5="vakant","",COUNTIF(Schema!AO:AO,"sant")),0)</f>
        <v>0</v>
      </c>
      <c r="F6" s="82">
        <f>+IF(Inställningar!$B$6="NEJ",IF(Grupper!B5="vakant","",COUNTIF(Schema!AC:AC,"sant")),0)</f>
        <v>0</v>
      </c>
      <c r="G6" s="83">
        <f>IF(Inställningar!$B$6="Nej",IF(Grupper!B5="vakant","",D6+E6+F6),0)</f>
        <v>0</v>
      </c>
      <c r="H6" s="84">
        <f>IF(Inställningar!$B$6="Nej",IF(Grupper!B5="vakant",0,(SUMIF(Schema!$F$10:$F$37,Tabell!C6,Schema!$I$10:$I$37)+SUMIF(Schema!$H$10:$H$37,Tabell!C6,Schema!$K$10:$K$37))),0)</f>
        <v>0</v>
      </c>
      <c r="I6" s="85" t="s">
        <v>57</v>
      </c>
      <c r="J6" s="86">
        <f>IF(Inställningar!$B$6="Nej",IF(Grupper!B5="vakant",0,SUMIF(Schema!$F$10:$F$37,Tabell!C6,Schema!$K$10:$K$37)+SUMIF(Schema!$H$10:$H$37,Tabell!C6,Schema!$I$10:$I$37)),0)</f>
        <v>0</v>
      </c>
      <c r="K6" s="83">
        <f>IF(Grupper!B5="vakant","",H6-J6)</f>
        <v>0</v>
      </c>
      <c r="L6" s="83">
        <f>IF(Grupper!B5="vakant",-100,D6*3+E6*1+F6*0)</f>
        <v>0</v>
      </c>
    </row>
    <row r="7" spans="1:12" ht="12.75" customHeight="1" hidden="1">
      <c r="A7" s="65" t="s">
        <v>72</v>
      </c>
      <c r="B7" s="87" t="str">
        <f>+Grupper!A6</f>
        <v>A6</v>
      </c>
      <c r="C7" s="88">
        <f>IF(Inställningar!$B$6="Nej",IF(Grupper!B8="vakant","",Grupper!B8),0)</f>
        <v>0</v>
      </c>
      <c r="D7" s="89">
        <f>+IF(Inställningar!$B$6="NEJ",IF(Grupper!B8="vakant","",COUNTIF(Schema!T:T,"SANT")),0)</f>
        <v>0</v>
      </c>
      <c r="E7" s="89">
        <f>+IF(Inställningar!$B$6="NEJ",IF(Grupper!B8="vakant","",COUNTIF(Schema!AR:AR,"sant")),0)</f>
        <v>0</v>
      </c>
      <c r="F7" s="89">
        <f>+IF(Inställningar!$B$6="NEJ",IF(Grupper!B8="vakant","",COUNTIF(Schema!AF:AF,"sant")),0)</f>
        <v>0</v>
      </c>
      <c r="G7" s="90">
        <f>IF(Inställningar!$B$6="nej",IF(Grupper!B8="vakant","",D7+E7+F7),0)</f>
        <v>0</v>
      </c>
      <c r="H7" s="91">
        <f>IF(Inställningar!$B$6="Nej",IF(Grupper!B6="vakant",0,(SUMIF(Schema!$F$10:$F$37,Tabell!C7,Schema!$I$10:$I$37)+SUMIF(Schema!$H$10:$H$37,Tabell!C7,Schema!$K$10:$K$37))),0)</f>
        <v>0</v>
      </c>
      <c r="I7" s="92" t="s">
        <v>57</v>
      </c>
      <c r="J7" s="93">
        <f>IF(Inställningar!$B$6="Nej",IF(Grupper!B6="vakant",0,SUMIF(Schema!$F$10:$F$37,Tabell!C7,Schema!$K$10:$K$37)+SUMIF(Schema!$H$10:$H$37,Tabell!C7,Schema!$I$10:$I$37)),0)</f>
        <v>0</v>
      </c>
      <c r="K7" s="90">
        <f>IF(Grupper!B8="vakant","",H7-J7)</f>
        <v>0</v>
      </c>
      <c r="L7" s="90">
        <f>IF(Grupper!B8="vakant",-100,D7*3+E7*1+F7*0)</f>
        <v>0</v>
      </c>
    </row>
    <row r="8" spans="1:12" ht="12.75" customHeight="1" hidden="1">
      <c r="A8" s="65"/>
      <c r="B8" s="73" t="str">
        <f>+Grupper!A7</f>
        <v>A7</v>
      </c>
      <c r="C8" s="88">
        <f>IF(Inställningar!$B$6="Nej",IF(Grupper!B9="vakant","",Grupper!B9),0)</f>
        <v>0</v>
      </c>
      <c r="D8" s="75">
        <f>+IF(Inställningar!$B$6="NEJ",IF(Grupper!B9="vakant","",COUNTIF(Schema!U:U,"SANT")),0)</f>
        <v>0</v>
      </c>
      <c r="E8" s="75">
        <f>+IF(Inställningar!$B$6="NEJ",IF(Grupper!B9="vakant","",COUNTIF(Schema!AS:AS,"sant")),0)</f>
        <v>0</v>
      </c>
      <c r="F8" s="75">
        <f>+IF(Inställningar!$B$6="NEJ",IF(Grupper!B9="vakant","",COUNTIF(Schema!AG:AG,"sant")),0)</f>
        <v>0</v>
      </c>
      <c r="G8" s="76">
        <f>IF(Inställningar!$B$6="nej",IF(Grupper!B9="vakant","",D8+E8+F8),0)</f>
        <v>0</v>
      </c>
      <c r="H8" s="77">
        <f>IF(Inställningar!$B$6="Nej",IF(Grupper!B7="vakant",0,(SUMIF(Schema!$F$10:$F$37,Tabell!C8,Schema!$I$10:$I$37)+SUMIF(Schema!$H$10:$H$37,Tabell!C8,Schema!$K$10:$K$37))),0)</f>
        <v>0</v>
      </c>
      <c r="I8" s="78" t="s">
        <v>57</v>
      </c>
      <c r="J8" s="79">
        <f>IF(Inställningar!$B$6="Nej",IF(Grupper!B7="vakant",0,SUMIF(Schema!$F$10:$F$37,Tabell!C8,Schema!$K$10:$K$37)+SUMIF(Schema!$H$10:$H$37,Tabell!C8,Schema!$I$10:$I$37)),0)</f>
        <v>0</v>
      </c>
      <c r="K8" s="76">
        <f>IF(Grupper!B9="vakant","",H8-J8)</f>
        <v>0</v>
      </c>
      <c r="L8" s="76">
        <f>IF(Grupper!B9="vakant",-100,D8*3+E8*1+F8*0)</f>
        <v>0</v>
      </c>
    </row>
    <row r="9" spans="1:12" ht="12.75" customHeight="1" hidden="1">
      <c r="A9" s="65"/>
      <c r="B9" s="73" t="str">
        <f>+Grupper!A8</f>
        <v>B1</v>
      </c>
      <c r="C9" s="74">
        <f>IF(Inställningar!$B$6="Nej",IF(Grupper!B10="vakant","",Grupper!B10),0)</f>
        <v>0</v>
      </c>
      <c r="D9" s="75">
        <f>+IF(Inställningar!$B$6="NEJ",IF(Grupper!B10="vakant","",COUNTIF(Schema!V:V,"SANT")),0)</f>
        <v>0</v>
      </c>
      <c r="E9" s="75">
        <f>+IF(Inställningar!$B$6="NEJ",IF(Grupper!B10="vakant","",COUNTIF(Schema!AT:AT,"sant")),0)</f>
        <v>0</v>
      </c>
      <c r="F9" s="75">
        <f>+IF(Inställningar!$B$6="NEJ",IF(Grupper!B10="vakant","",COUNTIF(Schema!AH:AH,"sant")),0)</f>
        <v>0</v>
      </c>
      <c r="G9" s="76">
        <f>IF(Inställningar!$B$6="nej",IF(Grupper!B10="vakant","",D9+E9+F9),0)</f>
        <v>0</v>
      </c>
      <c r="H9" s="77">
        <f>IF(Inställningar!$B$6="Nej",IF(Grupper!B8="vakant",0,(SUMIF(Schema!$F$10:$F$37,Tabell!C9,Schema!$I$10:$I$37)+SUMIF(Schema!$H$10:$H$37,Tabell!C9,Schema!$K$10:$K$37))),0)</f>
        <v>0</v>
      </c>
      <c r="I9" s="78">
        <f>IF(Inställningar!$B$6="NEJ","-","")</f>
      </c>
      <c r="J9" s="79">
        <f>IF(Inställningar!$B$6="Nej",IF(Grupper!B8="vakant",0,SUMIF(Schema!$F$10:$F$37,Tabell!C9,Schema!$K$10:$K$37)+SUMIF(Schema!$H$10:$H$37,Tabell!C9,Schema!$I$10:$I$37)),0)</f>
        <v>0</v>
      </c>
      <c r="K9" s="76">
        <f>IF(Grupper!B10="vakant","",H9-J9)</f>
        <v>0</v>
      </c>
      <c r="L9" s="76">
        <f>IF(Grupper!B10="vakant",-100,D9*3+E9*1+F9*0)</f>
        <v>0</v>
      </c>
    </row>
    <row r="10" spans="1:12" ht="12.75" customHeight="1" hidden="1">
      <c r="A10" s="65"/>
      <c r="B10" s="73" t="str">
        <f>+Grupper!A9</f>
        <v>B2</v>
      </c>
      <c r="C10" s="74">
        <f>IF(Inställningar!$B$6="Nej",IF(Grupper!B11="vakant","",Grupper!B11),0)</f>
        <v>0</v>
      </c>
      <c r="D10" s="75">
        <f>+IF(Inställningar!$B$6="NEJ",IF(Grupper!B11="vakant","",COUNTIF(Schema!W:W,"SANT")),0)</f>
        <v>0</v>
      </c>
      <c r="E10" s="75">
        <f>+IF(Inställningar!$B$6="NEJ",IF(Grupper!B11="vakant","",COUNTIF(Schema!AU:AU,"sant")),0)</f>
        <v>0</v>
      </c>
      <c r="F10" s="75">
        <f>+IF(Inställningar!$B$6="NEJ",IF(Grupper!B11="vakant","",COUNTIF(Schema!AI:AI,"sant")),0)</f>
        <v>0</v>
      </c>
      <c r="G10" s="76">
        <f>IF(Inställningar!$B$6="nej",IF(Grupper!B11="vakant","",D10+E10+F10),0)</f>
        <v>0</v>
      </c>
      <c r="H10" s="77">
        <f>IF(Inställningar!$B$6="Nej",IF(Grupper!B9="vakant",0,(SUMIF(Schema!$F$10:$F$37,Tabell!C10,Schema!$I$10:$I$37)+SUMIF(Schema!$H$10:$H$37,Tabell!C10,Schema!$K$10:$K$37))),0)</f>
        <v>0</v>
      </c>
      <c r="I10" s="78">
        <f>IF(Inställningar!$B$6="NEJ","-","")</f>
      </c>
      <c r="J10" s="79">
        <f>IF(Inställningar!$B$6="Nej",IF(Grupper!B9="vakant",0,SUMIF(Schema!$F$10:$F$37,Tabell!C10,Schema!$K$10:$K$37)+SUMIF(Schema!$H$10:$H$37,Tabell!C10,Schema!$I$10:$I$37)),0)</f>
        <v>0</v>
      </c>
      <c r="K10" s="76">
        <f>IF(Grupper!B11="vakant","",H10-J10)</f>
        <v>0</v>
      </c>
      <c r="L10" s="76">
        <f>IF(Grupper!B11="vakant",-100,D10*3+E10*1+F10*0)</f>
        <v>0</v>
      </c>
    </row>
    <row r="11" spans="1:12" ht="12.75" customHeight="1" hidden="1">
      <c r="A11" s="65"/>
      <c r="B11" s="80" t="str">
        <f>+Grupper!A10</f>
        <v>B3</v>
      </c>
      <c r="C11" s="81">
        <f>IF(Inställningar!$B$6="Nej",IF(Grupper!B12="vakant","",Grupper!B12),0)</f>
        <v>0</v>
      </c>
      <c r="D11" s="82">
        <f>+IF(Inställningar!$B$6="NEJ",IF(Grupper!B12="vakant","",COUNTIF(Schema!X:X,"SANT")),0)</f>
        <v>0</v>
      </c>
      <c r="E11" s="82">
        <f>+IF(Inställningar!$B$6="NEJ",IF(Grupper!B12="vakant","",COUNTIF(Schema!AV:AV,"sant")),0)</f>
        <v>0</v>
      </c>
      <c r="F11" s="82">
        <f>+IF(Inställningar!$B$6="NEJ",IF(Grupper!B12="vakant","",COUNTIF(Schema!AJ:AJ,"sant")),0)</f>
        <v>0</v>
      </c>
      <c r="G11" s="83">
        <f>IF(Inställningar!$B$6="nej",IF(Grupper!B12="vakant","",D11+E11+F11),0)</f>
        <v>0</v>
      </c>
      <c r="H11" s="82">
        <f>IF(Inställningar!$B$6="Nej",IF(Grupper!B10="vakant",0,(SUMIF(Schema!$F$10:$F$37,Tabell!C11,Schema!$I$10:$I$37)+SUMIF(Schema!$H$10:$H$37,Tabell!C11,Schema!$K$10:$K$37))),0)</f>
        <v>0</v>
      </c>
      <c r="I11" s="82">
        <f>IF(Inställningar!$B$6="NEJ","-","")</f>
      </c>
      <c r="J11" s="86">
        <f>IF(Inställningar!$B$6="Nej",IF(Grupper!B10="vakant",0,SUMIF(Schema!$F$10:$F$37,Tabell!C11,Schema!$K$10:$K$37)+SUMIF(Schema!$H$10:$H$37,Tabell!C11,Schema!$I$10:$I$37)),0)</f>
        <v>0</v>
      </c>
      <c r="K11" s="83">
        <f>IF(Grupper!B12="vakant","",H11-J11)</f>
        <v>0</v>
      </c>
      <c r="L11" s="83">
        <f>IF(Grupper!B12="vakant",-100,D11*3+E11*1+F11*0)</f>
        <v>0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29.25" customHeight="1">
      <c r="A14" s="124"/>
      <c r="B14" s="97" t="s">
        <v>28</v>
      </c>
      <c r="C14" s="98">
        <v>0</v>
      </c>
      <c r="D14" s="68">
        <v>0</v>
      </c>
      <c r="E14" s="68">
        <v>0</v>
      </c>
      <c r="F14" s="68">
        <v>0</v>
      </c>
      <c r="G14" s="99">
        <v>0</v>
      </c>
      <c r="H14" s="100">
        <v>0</v>
      </c>
      <c r="I14" s="68" t="s">
        <v>57</v>
      </c>
      <c r="J14" s="101">
        <v>0</v>
      </c>
      <c r="K14" s="99">
        <v>0</v>
      </c>
      <c r="L14" s="99">
        <v>0</v>
      </c>
    </row>
    <row r="15" spans="1:12" ht="29.25" customHeight="1">
      <c r="A15" s="124"/>
      <c r="B15" s="102" t="s">
        <v>29</v>
      </c>
      <c r="C15" s="103">
        <v>0</v>
      </c>
      <c r="D15" s="75">
        <v>0</v>
      </c>
      <c r="E15" s="75">
        <v>0</v>
      </c>
      <c r="F15" s="75">
        <v>0</v>
      </c>
      <c r="G15" s="104">
        <v>0</v>
      </c>
      <c r="H15" s="105">
        <v>0</v>
      </c>
      <c r="I15" s="75" t="s">
        <v>57</v>
      </c>
      <c r="J15" s="106">
        <v>0</v>
      </c>
      <c r="K15" s="104">
        <v>0</v>
      </c>
      <c r="L15" s="104">
        <v>0</v>
      </c>
    </row>
    <row r="16" spans="1:12" ht="29.25" customHeight="1">
      <c r="A16" s="124"/>
      <c r="B16" s="102" t="s">
        <v>30</v>
      </c>
      <c r="C16" s="103">
        <v>0</v>
      </c>
      <c r="D16" s="75">
        <v>0</v>
      </c>
      <c r="E16" s="75">
        <v>0</v>
      </c>
      <c r="F16" s="75">
        <v>0</v>
      </c>
      <c r="G16" s="104">
        <v>0</v>
      </c>
      <c r="H16" s="105">
        <v>0</v>
      </c>
      <c r="I16" s="75" t="s">
        <v>57</v>
      </c>
      <c r="J16" s="106">
        <v>0</v>
      </c>
      <c r="K16" s="104">
        <v>0</v>
      </c>
      <c r="L16" s="104">
        <v>0</v>
      </c>
    </row>
    <row r="17" spans="1:12" ht="29.25" customHeight="1">
      <c r="A17" s="124"/>
      <c r="B17" s="102" t="s">
        <v>31</v>
      </c>
      <c r="C17" s="103">
        <v>0</v>
      </c>
      <c r="D17" s="75">
        <v>0</v>
      </c>
      <c r="E17" s="75">
        <v>0</v>
      </c>
      <c r="F17" s="75">
        <v>0</v>
      </c>
      <c r="G17" s="104">
        <v>0</v>
      </c>
      <c r="H17" s="105">
        <v>0</v>
      </c>
      <c r="I17" s="75" t="s">
        <v>57</v>
      </c>
      <c r="J17" s="106">
        <v>0</v>
      </c>
      <c r="K17" s="104">
        <v>0</v>
      </c>
      <c r="L17" s="104">
        <v>0</v>
      </c>
    </row>
    <row r="18" spans="1:12" ht="29.25" customHeight="1">
      <c r="A18" s="124"/>
      <c r="B18" s="107" t="s">
        <v>32</v>
      </c>
      <c r="C18" s="108">
        <v>0</v>
      </c>
      <c r="D18" s="82">
        <v>0</v>
      </c>
      <c r="E18" s="82">
        <v>0</v>
      </c>
      <c r="F18" s="82">
        <v>0</v>
      </c>
      <c r="G18" s="109">
        <v>0</v>
      </c>
      <c r="H18" s="110">
        <v>0</v>
      </c>
      <c r="I18" s="82" t="s">
        <v>57</v>
      </c>
      <c r="J18" s="111">
        <v>0</v>
      </c>
      <c r="K18" s="109">
        <v>0</v>
      </c>
      <c r="L18" s="109">
        <v>0</v>
      </c>
    </row>
    <row r="19" spans="1:12" ht="29.25" customHeight="1">
      <c r="A19" s="124"/>
      <c r="B19" s="112" t="s">
        <v>33</v>
      </c>
      <c r="C19" s="113">
        <v>0</v>
      </c>
      <c r="D19" s="89">
        <v>0</v>
      </c>
      <c r="E19" s="89">
        <v>0</v>
      </c>
      <c r="F19" s="89">
        <v>0</v>
      </c>
      <c r="G19" s="114">
        <v>0</v>
      </c>
      <c r="H19" s="115">
        <v>0</v>
      </c>
      <c r="I19" s="89" t="s">
        <v>57</v>
      </c>
      <c r="J19" s="116">
        <v>0</v>
      </c>
      <c r="K19" s="114">
        <v>0</v>
      </c>
      <c r="L19" s="114">
        <v>0</v>
      </c>
    </row>
    <row r="20" spans="1:12" ht="29.25" customHeight="1">
      <c r="A20" s="124"/>
      <c r="B20" s="102" t="s">
        <v>34</v>
      </c>
      <c r="C20" s="103">
        <v>0</v>
      </c>
      <c r="D20" s="75">
        <v>0</v>
      </c>
      <c r="E20" s="75">
        <v>0</v>
      </c>
      <c r="F20" s="75">
        <v>0</v>
      </c>
      <c r="G20" s="104">
        <v>0</v>
      </c>
      <c r="H20" s="105">
        <v>0</v>
      </c>
      <c r="I20" s="75" t="s">
        <v>57</v>
      </c>
      <c r="J20" s="106">
        <v>0</v>
      </c>
      <c r="K20" s="104">
        <v>0</v>
      </c>
      <c r="L20" s="104">
        <v>0</v>
      </c>
    </row>
    <row r="21" spans="1:12" ht="29.25" customHeight="1">
      <c r="A21" s="124"/>
      <c r="B21" s="102" t="s">
        <v>35</v>
      </c>
      <c r="C21" s="103">
        <v>0</v>
      </c>
      <c r="D21" s="75">
        <v>0</v>
      </c>
      <c r="E21" s="75">
        <v>0</v>
      </c>
      <c r="F21" s="75">
        <v>0</v>
      </c>
      <c r="G21" s="104">
        <v>0</v>
      </c>
      <c r="H21" s="105">
        <v>0</v>
      </c>
      <c r="I21" s="75"/>
      <c r="J21" s="106">
        <v>0</v>
      </c>
      <c r="K21" s="104">
        <v>0</v>
      </c>
      <c r="L21" s="104">
        <v>0</v>
      </c>
    </row>
    <row r="22" spans="1:12" ht="29.25" customHeight="1">
      <c r="A22" s="124"/>
      <c r="B22" s="102" t="s">
        <v>36</v>
      </c>
      <c r="C22" s="103">
        <v>0</v>
      </c>
      <c r="D22" s="75">
        <v>0</v>
      </c>
      <c r="E22" s="75">
        <v>0</v>
      </c>
      <c r="F22" s="75">
        <v>0</v>
      </c>
      <c r="G22" s="104">
        <v>0</v>
      </c>
      <c r="H22" s="105">
        <v>0</v>
      </c>
      <c r="I22" s="75"/>
      <c r="J22" s="106">
        <v>0</v>
      </c>
      <c r="K22" s="104">
        <v>0</v>
      </c>
      <c r="L22" s="104">
        <v>0</v>
      </c>
    </row>
    <row r="23" spans="1:12" ht="29.25" customHeight="1">
      <c r="A23" s="124"/>
      <c r="B23" s="107" t="s">
        <v>37</v>
      </c>
      <c r="C23" s="108">
        <v>0</v>
      </c>
      <c r="D23" s="82">
        <v>0</v>
      </c>
      <c r="E23" s="82">
        <v>0</v>
      </c>
      <c r="F23" s="82">
        <v>0</v>
      </c>
      <c r="G23" s="109">
        <v>0</v>
      </c>
      <c r="H23" s="110">
        <v>0</v>
      </c>
      <c r="I23" s="82"/>
      <c r="J23" s="111">
        <v>0</v>
      </c>
      <c r="K23" s="109">
        <v>0</v>
      </c>
      <c r="L23" s="109">
        <v>0</v>
      </c>
    </row>
    <row r="24" ht="29.25" customHeight="1"/>
  </sheetData>
  <sheetProtection/>
  <mergeCells count="2">
    <mergeCell ref="A14:A18"/>
    <mergeCell ref="A19:A23"/>
  </mergeCells>
  <conditionalFormatting sqref="B10:L12">
    <cfRule type="cellIs" priority="1" dxfId="0" operator="equal" stopIfTrue="1">
      <formula>-100</formula>
    </cfRule>
  </conditionalFormatting>
  <conditionalFormatting sqref="B13:L23">
    <cfRule type="cellIs" priority="2" dxfId="0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B10" sqref="B10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/>
      <c r="J1" s="27" t="s">
        <v>68</v>
      </c>
      <c r="K1" s="27" t="s">
        <v>69</v>
      </c>
      <c r="L1" s="27" t="s">
        <v>70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Svalövs BK 1</v>
      </c>
      <c r="D2" s="70">
        <f>IF(Grupper!B1="vakant","",COUNTIF(Schema!M:M,"sant"))</f>
        <v>2</v>
      </c>
      <c r="E2" s="71">
        <f>IF(Grupper!B1="vakant","",COUNTIF(Schema!AK:AK,"sant"))</f>
        <v>2</v>
      </c>
      <c r="F2" s="72">
        <f>IF(Grupper!B1="vakant","",COUNTIF(Schema!Y:Y,"sant"))</f>
        <v>1</v>
      </c>
      <c r="G2" s="69">
        <f>IF(Grupper!B1="vakant","",D2+E2+F2)</f>
        <v>5</v>
      </c>
      <c r="H2" s="70">
        <f>IF(Grupper!B1="vakant","",(SUMIF(Schema!$F$10:$F$37,'Tabell alla'!C2,Schema!$I$10:$I$37)+SUMIF(Schema!$H$10:$H$37,'Tabell alla'!C2,Schema!$K$10:$K$37)))</f>
        <v>10</v>
      </c>
      <c r="I2" s="71" t="s">
        <v>57</v>
      </c>
      <c r="J2" s="72">
        <f>IF(Grupper!B1="vakant","",SUMIF(Schema!$F$10:$F$37,'Tabell alla'!C2,Schema!$K$10:$K$37)+SUMIF(Schema!$H$10:$H$37,'Tabell alla'!C2,Schema!$I$10:$I$37))</f>
        <v>6</v>
      </c>
      <c r="K2" s="69">
        <f>IF(Grupper!B1="vakant","",H2-J2)</f>
        <v>4</v>
      </c>
      <c r="L2" s="69">
        <f>IF(Grupper!B1="vakant",-100,D2*3+E2*1+F2*0)</f>
        <v>8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Billeberga GIF</v>
      </c>
      <c r="D3" s="77">
        <f>IF(Grupper!B2="vakant","",COUNTIF(Schema!N:N,"sant"))</f>
        <v>2</v>
      </c>
      <c r="E3" s="78">
        <f>IF(Grupper!B2="vakant","",COUNTIF(Schema!AL:AL,"sant"))</f>
        <v>0</v>
      </c>
      <c r="F3" s="79">
        <f>IF(Grupper!B2="vakant","",COUNTIF(Schema!Z:Z,"sant"))</f>
        <v>4</v>
      </c>
      <c r="G3" s="76">
        <f>IF(Grupper!B2="vakant","",D3+E3+F3)</f>
        <v>6</v>
      </c>
      <c r="H3" s="77">
        <f>IF(Grupper!B2="vakant","",(SUMIF(Schema!$F$10:$F$37,'Tabell alla'!C3,Schema!$I$10:$I$37)+SUMIF(Schema!$H$10:$H$37,'Tabell alla'!C3,Schema!$K$10:$K$37)))</f>
        <v>10</v>
      </c>
      <c r="I3" s="78" t="s">
        <v>57</v>
      </c>
      <c r="J3" s="79">
        <f>IF(Grupper!B2="vakant","",SUMIF(Schema!$F$10:$F$37,'Tabell alla'!C3,Schema!$K$10:$K$37)+SUMIF(Schema!$H$10:$H$37,'Tabell alla'!C3,Schema!$I$10:$I$37))</f>
        <v>15</v>
      </c>
      <c r="K3" s="76">
        <f>IF(Grupper!B2="vakant","",H3-J3)</f>
        <v>-5</v>
      </c>
      <c r="L3" s="76">
        <f>IF(Grupper!B2="vakant",-100,D3*3+E3*1+F3*0)</f>
        <v>6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Kågeröds BoIF 1</v>
      </c>
      <c r="D4" s="77">
        <f>IF(Grupper!B3="vakant","",COUNTIF(Schema!O:O,"sant"))</f>
        <v>3</v>
      </c>
      <c r="E4" s="78">
        <f>IF(Grupper!B3="vakant","",COUNTIF(Schema!AM:AM,"sant"))</f>
        <v>0</v>
      </c>
      <c r="F4" s="79">
        <f>IF(Grupper!B3="vakant","",COUNTIF(Schema!AA:AA,"sant"))</f>
        <v>2</v>
      </c>
      <c r="G4" s="76">
        <f>IF(Grupper!B3="vakant","",D4+E4+F4)</f>
        <v>5</v>
      </c>
      <c r="H4" s="77">
        <f>IF(Grupper!B3="vakant","",(SUMIF(Schema!$F$10:$F$37,'Tabell alla'!C4,Schema!$I$10:$I$37)+SUMIF(Schema!$H$10:$H$37,'Tabell alla'!C4,Schema!$K$10:$K$37)))</f>
        <v>7</v>
      </c>
      <c r="I4" s="78" t="s">
        <v>57</v>
      </c>
      <c r="J4" s="79">
        <f>IF(Grupper!B3="vakant","",SUMIF(Schema!$F$10:$F$37,'Tabell alla'!C4,Schema!$K$10:$K$37)+SUMIF(Schema!$H$10:$H$37,'Tabell alla'!C4,Schema!$I$10:$I$37))</f>
        <v>8</v>
      </c>
      <c r="K4" s="76">
        <f>IF(Grupper!B3="vakant","",H4-J4)</f>
        <v>-1</v>
      </c>
      <c r="L4" s="76">
        <f>IF(Grupper!B3="vakant",-100,D4*3+E4*1+F4*0)</f>
        <v>9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Linero IF</v>
      </c>
      <c r="D5" s="77">
        <f>IF(Grupper!B4="vakant","",COUNTIF(Schema!P:P,"sant"))</f>
        <v>4</v>
      </c>
      <c r="E5" s="78">
        <f>IF(Grupper!B4="vakant","",COUNTIF(Schema!AN:AN,"sant"))</f>
        <v>2</v>
      </c>
      <c r="F5" s="79">
        <f>IF(Grupper!B4="vakant","",COUNTIF(Schema!AB:AB,"sant"))</f>
        <v>0</v>
      </c>
      <c r="G5" s="76">
        <f>IF(Grupper!B4="vakant","",D5+E5+F5)</f>
        <v>6</v>
      </c>
      <c r="H5" s="77">
        <f>IF(Grupper!B4="vakant","",(SUMIF(Schema!$F$10:$F$37,'Tabell alla'!C5,Schema!$I$10:$I$37)+SUMIF(Schema!$H$10:$H$37,'Tabell alla'!C5,Schema!$K$10:$K$37)))</f>
        <v>14</v>
      </c>
      <c r="I5" s="78" t="s">
        <v>57</v>
      </c>
      <c r="J5" s="79">
        <f>IF(Grupper!B4="vakant","",SUMIF(Schema!$F$10:$F$37,'Tabell alla'!C5,Schema!$K$10:$K$37)+SUMIF(Schema!$H$10:$H$37,'Tabell alla'!C5,Schema!$I$10:$I$37))</f>
        <v>5</v>
      </c>
      <c r="K5" s="76">
        <f>IF(Grupper!B4="vakant","",H5-J5)</f>
        <v>9</v>
      </c>
      <c r="L5" s="76">
        <f>IF(Grupper!B4="vakant",-100,D5*3+E5*1+F5*0)</f>
        <v>14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Kågeröds BoIF 2</v>
      </c>
      <c r="D6" s="77">
        <f>IF(Grupper!B5="vakant","",COUNTIF(Schema!Q:Q,"sant"))</f>
        <v>1</v>
      </c>
      <c r="E6" s="78">
        <f>IF(Grupper!B5="vakant","",COUNTIF(Schema!AO:AO,"sant"))</f>
        <v>0</v>
      </c>
      <c r="F6" s="79">
        <f>IF(Grupper!B5="vakant","",COUNTIF(Schema!AC:AC,"sant"))</f>
        <v>5</v>
      </c>
      <c r="G6" s="76">
        <f>IF(Grupper!B5="vakant","",D6+E6+F6)</f>
        <v>6</v>
      </c>
      <c r="H6" s="77">
        <f>IF(Grupper!B5="vakant","",(SUMIF(Schema!$F$10:$F$37,'Tabell alla'!C6,Schema!$I$10:$I$37)+SUMIF(Schema!$H$10:$H$37,'Tabell alla'!C6,Schema!$K$10:$K$37)))</f>
        <v>5</v>
      </c>
      <c r="I6" s="78" t="s">
        <v>57</v>
      </c>
      <c r="J6" s="79">
        <f>IF(Grupper!B5="vakant","",SUMIF(Schema!$F$10:$F$37,'Tabell alla'!C6,Schema!$K$10:$K$37)+SUMIF(Schema!$H$10:$H$37,'Tabell alla'!C6,Schema!$I$10:$I$37))</f>
        <v>17</v>
      </c>
      <c r="K6" s="76">
        <f>IF(Grupper!B5="vakant","",H6-J6)</f>
        <v>-12</v>
      </c>
      <c r="L6" s="76">
        <f>IF(Grupper!B5="vakant",-100,D6*3+E6*1+F6*0)</f>
        <v>3</v>
      </c>
    </row>
    <row r="7" spans="1:12" ht="12.75" customHeight="1" hidden="1">
      <c r="A7" s="65"/>
      <c r="B7" s="73" t="str">
        <f>+IF(Inställningar!$B$6="nej",Grupper!A8,Grupper!A6)</f>
        <v>A6</v>
      </c>
      <c r="C7" s="74" t="str">
        <f>IF(Grupper!B6="vakant","",Grupper!B6)</f>
        <v>Harrie FF/Furulunds IK</v>
      </c>
      <c r="D7" s="77">
        <f>IF(Grupper!B6="vakant","",COUNTIF(Schema!R:R,"sant"))</f>
        <v>2</v>
      </c>
      <c r="E7" s="78">
        <f>IF(Grupper!B6="vakant","",COUNTIF(Schema!AP:AP,"sant"))</f>
        <v>1</v>
      </c>
      <c r="F7" s="79">
        <f>IF(Grupper!B6="vakant","",COUNTIF(Schema!AD:AD,"sant"))</f>
        <v>3</v>
      </c>
      <c r="G7" s="76">
        <f>IF(Grupper!B6="vakant","",D7+E7+F7)</f>
        <v>6</v>
      </c>
      <c r="H7" s="77">
        <f>IF(Grupper!B6="vakant","",(SUMIF(Schema!$F$10:$F$37,'Tabell alla'!C7,Schema!$I$10:$I$37)+SUMIF(Schema!$H$10:$H$37,'Tabell alla'!C7,Schema!$K$10:$K$37)))</f>
        <v>9</v>
      </c>
      <c r="I7" s="78" t="s">
        <v>57</v>
      </c>
      <c r="J7" s="79">
        <f>IF(Grupper!B6="vakant","",SUMIF(Schema!$F$10:$F$37,'Tabell alla'!C7,Schema!$K$10:$K$37)+SUMIF(Schema!$H$10:$H$37,'Tabell alla'!C7,Schema!$I$10:$I$37))</f>
        <v>12</v>
      </c>
      <c r="K7" s="76">
        <f>IF(Grupper!B6="vakant","",H7-J7)</f>
        <v>-3</v>
      </c>
      <c r="L7" s="76">
        <f>IF(Grupper!B6="vakant",-100,D7*3+E7*1+F7*0)</f>
        <v>7</v>
      </c>
    </row>
    <row r="8" spans="1:12" ht="12.75" customHeight="1" hidden="1">
      <c r="A8" s="65"/>
      <c r="B8" s="80" t="str">
        <f>+IF(Inställningar!$B$6="nej",Grupper!A9,Grupper!A7)</f>
        <v>A7</v>
      </c>
      <c r="C8" s="117" t="str">
        <f>IF(Grupper!B7="vakant","",Grupper!B7)</f>
        <v>Svalövs BK 2</v>
      </c>
      <c r="D8" s="84">
        <f>IF(Grupper!B7="vakant","",COUNTIF(Schema!S:S,"sant"))</f>
        <v>3</v>
      </c>
      <c r="E8" s="85">
        <f>IF(Grupper!B7="vakant","",COUNTIF(Schema!AQ:AQ,"sant"))</f>
        <v>1</v>
      </c>
      <c r="F8" s="86">
        <f>IF(Grupper!B7="vakant","",COUNTIF(Schema!AE:AE,"sant"))</f>
        <v>2</v>
      </c>
      <c r="G8" s="83">
        <f>IF(Grupper!B7="vakant","",D8+E8+F8)</f>
        <v>6</v>
      </c>
      <c r="H8" s="84">
        <f>IF(Grupper!B7="vakant","",(SUMIF(Schema!$F$10:$F$37,'Tabell alla'!C8,Schema!$I$10:$I$37)+SUMIF(Schema!$H$10:$H$37,'Tabell alla'!C8,Schema!$K$10:$K$37)))</f>
        <v>19</v>
      </c>
      <c r="I8" s="85" t="s">
        <v>57</v>
      </c>
      <c r="J8" s="86">
        <f>IF(Grupper!B7="vakant","",SUMIF(Schema!$F$10:$F$37,'Tabell alla'!C8,Schema!$K$10:$K$37)+SUMIF(Schema!$H$10:$H$37,'Tabell alla'!C8,Schema!$I$10:$I$37))</f>
        <v>11</v>
      </c>
      <c r="K8" s="83">
        <f>IF(Grupper!B7="vakant","",H8-J8)</f>
        <v>8</v>
      </c>
      <c r="L8" s="83">
        <f>IF(Grupper!B7="vakant",-100,D8*3+E8*1+F8*0)</f>
        <v>10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27"/>
      <c r="C10" s="64"/>
      <c r="D10" s="27" t="s">
        <v>63</v>
      </c>
      <c r="E10" s="27" t="s">
        <v>64</v>
      </c>
      <c r="F10" s="27" t="s">
        <v>65</v>
      </c>
      <c r="G10" s="27" t="s">
        <v>66</v>
      </c>
      <c r="H10" s="27" t="s">
        <v>67</v>
      </c>
      <c r="I10" s="27"/>
      <c r="J10" s="27" t="s">
        <v>68</v>
      </c>
      <c r="K10" s="27" t="s">
        <v>69</v>
      </c>
      <c r="L10" s="27" t="s">
        <v>70</v>
      </c>
    </row>
    <row r="11" spans="1:12" ht="29.25" customHeight="1">
      <c r="A11" s="65"/>
      <c r="B11" s="66" t="s">
        <v>31</v>
      </c>
      <c r="C11" s="67" t="s">
        <v>76</v>
      </c>
      <c r="D11" s="70">
        <v>4</v>
      </c>
      <c r="E11" s="71">
        <v>2</v>
      </c>
      <c r="F11" s="72">
        <v>0</v>
      </c>
      <c r="G11" s="69">
        <v>6</v>
      </c>
      <c r="H11" s="70">
        <v>14</v>
      </c>
      <c r="I11" s="71" t="s">
        <v>57</v>
      </c>
      <c r="J11" s="72">
        <v>5</v>
      </c>
      <c r="K11" s="69">
        <v>9</v>
      </c>
      <c r="L11" s="69">
        <v>14</v>
      </c>
    </row>
    <row r="12" spans="1:12" ht="29.25" customHeight="1">
      <c r="A12" s="65"/>
      <c r="B12" s="73" t="s">
        <v>34</v>
      </c>
      <c r="C12" s="74" t="s">
        <v>79</v>
      </c>
      <c r="D12" s="77">
        <v>3</v>
      </c>
      <c r="E12" s="78">
        <v>1</v>
      </c>
      <c r="F12" s="79">
        <v>2</v>
      </c>
      <c r="G12" s="76">
        <v>6</v>
      </c>
      <c r="H12" s="77">
        <v>19</v>
      </c>
      <c r="I12" s="78" t="s">
        <v>57</v>
      </c>
      <c r="J12" s="79">
        <v>11</v>
      </c>
      <c r="K12" s="76">
        <v>8</v>
      </c>
      <c r="L12" s="76">
        <v>10</v>
      </c>
    </row>
    <row r="13" spans="1:12" ht="29.25" customHeight="1">
      <c r="A13" s="65"/>
      <c r="B13" s="73" t="s">
        <v>30</v>
      </c>
      <c r="C13" s="74" t="s">
        <v>74</v>
      </c>
      <c r="D13" s="77">
        <v>3</v>
      </c>
      <c r="E13" s="78">
        <v>0</v>
      </c>
      <c r="F13" s="79">
        <v>2</v>
      </c>
      <c r="G13" s="76">
        <v>5</v>
      </c>
      <c r="H13" s="77">
        <v>7</v>
      </c>
      <c r="I13" s="78" t="s">
        <v>57</v>
      </c>
      <c r="J13" s="79">
        <v>8</v>
      </c>
      <c r="K13" s="76">
        <v>-1</v>
      </c>
      <c r="L13" s="76">
        <v>9</v>
      </c>
    </row>
    <row r="14" spans="1:12" ht="29.25" customHeight="1">
      <c r="A14" s="65"/>
      <c r="B14" s="73" t="s">
        <v>28</v>
      </c>
      <c r="C14" s="74" t="s">
        <v>78</v>
      </c>
      <c r="D14" s="77">
        <v>2</v>
      </c>
      <c r="E14" s="78">
        <v>2</v>
      </c>
      <c r="F14" s="79">
        <v>1</v>
      </c>
      <c r="G14" s="76">
        <v>5</v>
      </c>
      <c r="H14" s="77">
        <v>10</v>
      </c>
      <c r="I14" s="78" t="s">
        <v>57</v>
      </c>
      <c r="J14" s="79">
        <v>6</v>
      </c>
      <c r="K14" s="76">
        <v>4</v>
      </c>
      <c r="L14" s="76">
        <v>8</v>
      </c>
    </row>
    <row r="15" spans="1:12" ht="29.25" customHeight="1">
      <c r="A15" s="65"/>
      <c r="B15" s="73" t="s">
        <v>33</v>
      </c>
      <c r="C15" s="74" t="s">
        <v>77</v>
      </c>
      <c r="D15" s="77">
        <v>2</v>
      </c>
      <c r="E15" s="78">
        <v>1</v>
      </c>
      <c r="F15" s="79">
        <v>3</v>
      </c>
      <c r="G15" s="76">
        <v>6</v>
      </c>
      <c r="H15" s="77">
        <v>9</v>
      </c>
      <c r="I15" s="78" t="s">
        <v>57</v>
      </c>
      <c r="J15" s="79">
        <v>12</v>
      </c>
      <c r="K15" s="76">
        <v>-3</v>
      </c>
      <c r="L15" s="76">
        <v>7</v>
      </c>
    </row>
    <row r="16" spans="1:12" ht="29.25" customHeight="1">
      <c r="A16" s="65"/>
      <c r="B16" s="73" t="s">
        <v>29</v>
      </c>
      <c r="C16" s="74" t="s">
        <v>73</v>
      </c>
      <c r="D16" s="77">
        <v>2</v>
      </c>
      <c r="E16" s="78">
        <v>0</v>
      </c>
      <c r="F16" s="79">
        <v>4</v>
      </c>
      <c r="G16" s="76">
        <v>6</v>
      </c>
      <c r="H16" s="77">
        <v>10</v>
      </c>
      <c r="I16" s="78" t="s">
        <v>57</v>
      </c>
      <c r="J16" s="79">
        <v>15</v>
      </c>
      <c r="K16" s="76">
        <v>-5</v>
      </c>
      <c r="L16" s="76">
        <v>6</v>
      </c>
    </row>
    <row r="17" spans="1:12" ht="29.25" customHeight="1">
      <c r="A17" s="65"/>
      <c r="B17" s="80" t="s">
        <v>32</v>
      </c>
      <c r="C17" s="117" t="s">
        <v>75</v>
      </c>
      <c r="D17" s="84">
        <v>1</v>
      </c>
      <c r="E17" s="85">
        <v>0</v>
      </c>
      <c r="F17" s="86">
        <v>5</v>
      </c>
      <c r="G17" s="83">
        <v>6</v>
      </c>
      <c r="H17" s="84">
        <v>5</v>
      </c>
      <c r="I17" s="85" t="s">
        <v>57</v>
      </c>
      <c r="J17" s="86">
        <v>17</v>
      </c>
      <c r="K17" s="83">
        <v>-12</v>
      </c>
      <c r="L17" s="83">
        <v>3</v>
      </c>
    </row>
    <row r="18" ht="29.25" customHeight="1"/>
  </sheetData>
  <sheetProtection/>
  <conditionalFormatting sqref="B10:L17">
    <cfRule type="cellIs" priority="1" dxfId="0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 r:id="rId1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Svalov</dc:creator>
  <cp:keywords/>
  <dc:description/>
  <cp:lastModifiedBy>Svalov</cp:lastModifiedBy>
  <cp:lastPrinted>2014-11-14T22:57:26Z</cp:lastPrinted>
  <dcterms:created xsi:type="dcterms:W3CDTF">2014-11-05T18:12:33Z</dcterms:created>
  <dcterms:modified xsi:type="dcterms:W3CDTF">2014-11-16T20:37:19Z</dcterms:modified>
  <cp:category/>
  <cp:version/>
  <cp:contentType/>
  <cp:contentStatus/>
</cp:coreProperties>
</file>