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4" windowHeight="8192" activeTab="5"/>
  </bookViews>
  <sheets>
    <sheet name="Inställningar" sheetId="1" r:id="rId1"/>
    <sheet name="Lottning" sheetId="2" r:id="rId2"/>
    <sheet name="Spelordning" sheetId="3" state="hidden" r:id="rId3"/>
    <sheet name="Tider" sheetId="4" state="hidden" r:id="rId4"/>
    <sheet name="Grupper" sheetId="5" state="hidden" r:id="rId5"/>
    <sheet name="Schema" sheetId="6" r:id="rId6"/>
    <sheet name="Tabell" sheetId="7" r:id="rId7"/>
    <sheet name="Tabell Alla möter alla" sheetId="8" r:id="rId8"/>
    <sheet name="Alt schema" sheetId="9" r:id="rId9"/>
    <sheet name="Alt Tabell" sheetId="10" r:id="rId10"/>
    <sheet name="Alt Tabell alla möter alla" sheetId="11" r:id="rId11"/>
    <sheet name="Vakant" sheetId="12" state="hidden" r:id="rId12"/>
  </sheets>
  <definedNames>
    <definedName name="_xlnm.Print_Area" localSheetId="8">'Alt schema'!$A$1:$K$46</definedName>
    <definedName name="_xlnm.Print_Area" localSheetId="9">'Alt Tabell'!$A$13:$L$23</definedName>
    <definedName name="_xlnm.Print_Area" localSheetId="5">'Schema'!$A$1:$K$46</definedName>
    <definedName name="_xlnm.Print_Area" localSheetId="6">'Tabell'!$A$13:$L$23</definedName>
    <definedName name="_xlnm.Print_Titles" localSheetId="6">'Tabell'!$1:$1</definedName>
    <definedName name="_xlnm.Print_Area" localSheetId="7">'Tabell Alla möter alla'!$B$10:$L$17</definedName>
    <definedName name="Excel_BuiltIn_Print_Area_11">'Alt Tabell alla möter alla'!#REF!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1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A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Tryck Ctrl m för att få aktuell tabell med spel i två grupper.</t>
        </r>
      </text>
    </comment>
    <comment ref="A4" authorId="0">
      <text>
        <r>
          <rPr>
            <b/>
            <sz val="8"/>
            <color indexed="8"/>
            <rFont val="Tahoma"/>
            <family val="2"/>
          </rPr>
          <t>Tryck ctrl t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<sst xmlns="http://schemas.openxmlformats.org/spreadsheetml/2006/main" count="471" uniqueCount="79">
  <si>
    <t>Matchtid (Skriv in 00 kolon 10)</t>
  </si>
  <si>
    <t>Tid mellan matcher (Skriv in 00 kolon 01)</t>
  </si>
  <si>
    <t>Extratid om två matcher på rad</t>
  </si>
  <si>
    <t>Poängräkning</t>
  </si>
  <si>
    <t>nej</t>
  </si>
  <si>
    <t>Alla möter alla</t>
  </si>
  <si>
    <t>NEJ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</si>
  <si>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</si>
  <si>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</si>
  <si>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</si>
  <si>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</si>
  <si>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</si>
  <si>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</si>
  <si>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</si>
  <si>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</si>
  <si>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</si>
  <si>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</si>
  <si>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</si>
  <si>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</si>
  <si>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</si>
  <si>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</si>
  <si>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</si>
  <si>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</si>
  <si>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</si>
  <si>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</si>
  <si>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</si>
  <si>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</si>
  <si>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</si>
  <si>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Svalövs BK 2</t>
  </si>
  <si>
    <t>A2</t>
  </si>
  <si>
    <t>Kågeröds BoIF</t>
  </si>
  <si>
    <t>A3</t>
  </si>
  <si>
    <t>Ekeby GIF</t>
  </si>
  <si>
    <t>A4</t>
  </si>
  <si>
    <t>Marieholms IS</t>
  </si>
  <si>
    <t>A5</t>
  </si>
  <si>
    <t>Teckomatorps SK</t>
  </si>
  <si>
    <t>A6</t>
  </si>
  <si>
    <t>A7</t>
  </si>
  <si>
    <t>B1</t>
  </si>
  <si>
    <t>Svalövs BK 1</t>
  </si>
  <si>
    <t>B2</t>
  </si>
  <si>
    <t>Billeberga GIF</t>
  </si>
  <si>
    <t>B3</t>
  </si>
  <si>
    <t>Gantofta IF</t>
  </si>
  <si>
    <t>B4</t>
  </si>
  <si>
    <t>IK Wormo</t>
  </si>
  <si>
    <t>B5</t>
  </si>
  <si>
    <t>Eskilsminne IF</t>
  </si>
  <si>
    <t>Matchtid</t>
  </si>
  <si>
    <t>minuter</t>
  </si>
  <si>
    <t>Mellanrum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</si>
  <si>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</si>
  <si>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</si>
  <si>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</si>
  <si>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</si>
  <si>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</si>
  <si>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</si>
  <si>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</si>
  <si>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</si>
  <si>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</si>
  <si>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</si>
  <si>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</si>
  <si>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</si>
  <si>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</si>
  <si>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</si>
  <si>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</si>
  <si>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</si>
  <si>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</si>
  <si>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</si>
  <si>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</si>
  <si>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</si>
  <si>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</si>
  <si>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</si>
  <si>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</si>
  <si>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</si>
  <si>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Spelad?</t>
  </si>
  <si>
    <t>GRUPP A</t>
  </si>
  <si>
    <t>GRUPP 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</si>
</sst>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HH:MM;@"/>
    <numFmt numFmtId="167" formatCode="#,##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16" borderId="1" applyNumberFormat="0" applyAlignment="0" applyProtection="0"/>
    <xf numFmtId="164" fontId="3" fillId="17" borderId="2" applyNumberFormat="0" applyAlignment="0" applyProtection="0"/>
    <xf numFmtId="164" fontId="4" fillId="4" borderId="0" applyNumberFormat="0" applyBorder="0" applyAlignment="0" applyProtection="0"/>
    <xf numFmtId="164" fontId="5" fillId="3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2" applyNumberFormat="0" applyAlignment="0" applyProtection="0"/>
    <xf numFmtId="164" fontId="8" fillId="22" borderId="3" applyNumberFormat="0" applyAlignment="0" applyProtection="0"/>
    <xf numFmtId="164" fontId="9" fillId="0" borderId="4" applyNumberFormat="0" applyFill="0" applyAlignment="0" applyProtection="0"/>
    <xf numFmtId="164" fontId="10" fillId="23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17" borderId="9" applyNumberFormat="0" applyAlignment="0" applyProtection="0"/>
    <xf numFmtId="164" fontId="17" fillId="0" borderId="0" applyNumberFormat="0" applyFill="0" applyBorder="0" applyAlignment="0" applyProtection="0"/>
  </cellStyleXfs>
  <cellXfs count="11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8" fillId="0" borderId="0" xfId="0" applyFont="1" applyAlignment="1">
      <alignment horizontal="center"/>
    </xf>
    <xf numFmtId="165" fontId="19" fillId="0" borderId="0" xfId="0" applyNumberFormat="1" applyFont="1" applyAlignment="1" applyProtection="1">
      <alignment horizontal="center"/>
      <protection locked="0"/>
    </xf>
    <xf numFmtId="164" fontId="19" fillId="0" borderId="0" xfId="0" applyFont="1" applyAlignment="1" applyProtection="1">
      <alignment horizontal="center"/>
      <protection locked="0"/>
    </xf>
    <xf numFmtId="165" fontId="21" fillId="0" borderId="0" xfId="0" applyNumberFormat="1" applyFont="1" applyBorder="1" applyAlignment="1">
      <alignment horizontal="left" wrapText="1"/>
    </xf>
    <xf numFmtId="164" fontId="0" fillId="0" borderId="0" xfId="0" applyFont="1" applyAlignment="1" applyProtection="1">
      <alignment/>
      <protection/>
    </xf>
    <xf numFmtId="164" fontId="23" fillId="0" borderId="10" xfId="0" applyFont="1" applyBorder="1" applyAlignment="1">
      <alignment vertical="center"/>
    </xf>
    <xf numFmtId="164" fontId="23" fillId="0" borderId="11" xfId="0" applyFont="1" applyBorder="1" applyAlignment="1">
      <alignment vertical="center"/>
    </xf>
    <xf numFmtId="164" fontId="23" fillId="0" borderId="10" xfId="0" applyFont="1" applyBorder="1" applyAlignment="1" applyProtection="1">
      <alignment horizontal="center" vertical="center" wrapText="1"/>
      <protection/>
    </xf>
    <xf numFmtId="164" fontId="23" fillId="0" borderId="11" xfId="0" applyFont="1" applyBorder="1" applyAlignment="1" applyProtection="1">
      <alignment vertical="top"/>
      <protection/>
    </xf>
    <xf numFmtId="164" fontId="23" fillId="0" borderId="10" xfId="0" applyFont="1" applyBorder="1" applyAlignment="1" applyProtection="1">
      <alignment vertical="center"/>
      <protection/>
    </xf>
    <xf numFmtId="164" fontId="23" fillId="0" borderId="10" xfId="0" applyFont="1" applyBorder="1" applyAlignment="1" applyProtection="1">
      <alignment vertical="center"/>
      <protection locked="0"/>
    </xf>
    <xf numFmtId="164" fontId="0" fillId="0" borderId="0" xfId="0" applyFill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24" fillId="0" borderId="0" xfId="0" applyFont="1" applyAlignment="1" applyProtection="1">
      <alignment/>
      <protection/>
    </xf>
    <xf numFmtId="164" fontId="25" fillId="0" borderId="0" xfId="0" applyFont="1" applyAlignment="1" applyProtection="1">
      <alignment horizontal="left"/>
      <protection/>
    </xf>
    <xf numFmtId="164" fontId="25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23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6" fillId="0" borderId="0" xfId="0" applyFont="1" applyAlignment="1" applyProtection="1">
      <alignment horizontal="center"/>
      <protection/>
    </xf>
    <xf numFmtId="164" fontId="28" fillId="0" borderId="0" xfId="0" applyFont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29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25" fillId="0" borderId="0" xfId="0" applyFont="1" applyBorder="1" applyAlignment="1" applyProtection="1">
      <alignment horizontal="center"/>
      <protection/>
    </xf>
    <xf numFmtId="164" fontId="25" fillId="0" borderId="0" xfId="0" applyFont="1" applyBorder="1" applyAlignment="1" applyProtection="1">
      <alignment horizontal="center"/>
      <protection locked="0"/>
    </xf>
    <xf numFmtId="164" fontId="25" fillId="0" borderId="0" xfId="0" applyFont="1" applyAlignment="1" applyProtection="1">
      <alignment horizontal="center"/>
      <protection locked="0"/>
    </xf>
    <xf numFmtId="164" fontId="25" fillId="17" borderId="0" xfId="0" applyNumberFormat="1" applyFont="1" applyFill="1" applyAlignment="1" applyProtection="1">
      <alignment horizontal="left"/>
      <protection/>
    </xf>
    <xf numFmtId="164" fontId="25" fillId="17" borderId="0" xfId="0" applyNumberFormat="1" applyFont="1" applyFill="1" applyAlignment="1" applyProtection="1">
      <alignment horizontal="center"/>
      <protection/>
    </xf>
    <xf numFmtId="166" fontId="0" fillId="17" borderId="0" xfId="0" applyNumberFormat="1" applyFill="1" applyAlignment="1" applyProtection="1">
      <alignment horizontal="center"/>
      <protection/>
    </xf>
    <xf numFmtId="164" fontId="23" fillId="17" borderId="0" xfId="0" applyFont="1" applyFill="1" applyAlignment="1" applyProtection="1">
      <alignment horizontal="center"/>
      <protection/>
    </xf>
    <xf numFmtId="164" fontId="0" fillId="17" borderId="0" xfId="0" applyFill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25" fillId="0" borderId="0" xfId="0" applyNumberFormat="1" applyFont="1" applyAlignment="1" applyProtection="1">
      <alignment horizontal="left"/>
      <protection/>
    </xf>
    <xf numFmtId="164" fontId="25" fillId="0" borderId="0" xfId="0" applyNumberFormat="1" applyFon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/>
    </xf>
    <xf numFmtId="164" fontId="30" fillId="0" borderId="0" xfId="0" applyNumberFormat="1" applyFont="1" applyAlignment="1" applyProtection="1">
      <alignment horizontal="left"/>
      <protection/>
    </xf>
    <xf numFmtId="164" fontId="31" fillId="0" borderId="0" xfId="0" applyNumberFormat="1" applyFont="1" applyAlignment="1" applyProtection="1">
      <alignment horizontal="center"/>
      <protection/>
    </xf>
    <xf numFmtId="164" fontId="28" fillId="0" borderId="0" xfId="0" applyNumberFormat="1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center"/>
      <protection/>
    </xf>
    <xf numFmtId="164" fontId="18" fillId="0" borderId="0" xfId="0" applyFont="1" applyAlignment="1" applyProtection="1">
      <alignment horizontal="left"/>
      <protection/>
    </xf>
    <xf numFmtId="164" fontId="29" fillId="0" borderId="0" xfId="0" applyFont="1" applyBorder="1" applyAlignment="1" applyProtection="1">
      <alignment/>
      <protection locked="0"/>
    </xf>
    <xf numFmtId="164" fontId="0" fillId="0" borderId="0" xfId="0" applyAlignment="1">
      <alignment/>
    </xf>
    <xf numFmtId="164" fontId="28" fillId="0" borderId="0" xfId="0" applyFont="1" applyAlignment="1" applyProtection="1">
      <alignment horizontal="left"/>
      <protection/>
    </xf>
    <xf numFmtId="164" fontId="21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left"/>
      <protection/>
    </xf>
    <xf numFmtId="164" fontId="25" fillId="0" borderId="13" xfId="0" applyFont="1" applyBorder="1" applyAlignment="1" applyProtection="1">
      <alignment horizontal="center" vertical="center" textRotation="90"/>
      <protection locked="0"/>
    </xf>
    <xf numFmtId="164" fontId="25" fillId="0" borderId="14" xfId="0" applyNumberFormat="1" applyFont="1" applyBorder="1" applyAlignment="1" applyProtection="1">
      <alignment horizontal="left"/>
      <protection/>
    </xf>
    <xf numFmtId="164" fontId="0" fillId="0" borderId="15" xfId="0" applyNumberFormat="1" applyFont="1" applyBorder="1" applyAlignment="1" applyProtection="1">
      <alignment horizontal="left"/>
      <protection/>
    </xf>
    <xf numFmtId="167" fontId="0" fillId="0" borderId="16" xfId="0" applyNumberFormat="1" applyFont="1" applyBorder="1" applyAlignment="1" applyProtection="1">
      <alignment horizontal="center"/>
      <protection/>
    </xf>
    <xf numFmtId="167" fontId="0" fillId="0" borderId="17" xfId="0" applyNumberFormat="1" applyFont="1" applyBorder="1" applyAlignment="1" applyProtection="1">
      <alignment horizontal="center"/>
      <protection/>
    </xf>
    <xf numFmtId="167" fontId="0" fillId="0" borderId="14" xfId="0" applyNumberFormat="1" applyFont="1" applyBorder="1" applyAlignment="1" applyProtection="1">
      <alignment horizontal="center"/>
      <protection/>
    </xf>
    <xf numFmtId="167" fontId="0" fillId="0" borderId="15" xfId="0" applyNumberFormat="1" applyFont="1" applyBorder="1" applyAlignment="1" applyProtection="1">
      <alignment horizontal="center"/>
      <protection/>
    </xf>
    <xf numFmtId="164" fontId="25" fillId="0" borderId="18" xfId="0" applyNumberFormat="1" applyFont="1" applyBorder="1" applyAlignment="1" applyProtection="1">
      <alignment horizontal="left"/>
      <protection/>
    </xf>
    <xf numFmtId="164" fontId="0" fillId="0" borderId="19" xfId="0" applyNumberFormat="1" applyFont="1" applyBorder="1" applyAlignment="1" applyProtection="1">
      <alignment horizontal="left"/>
      <protection/>
    </xf>
    <xf numFmtId="167" fontId="0" fillId="0" borderId="20" xfId="0" applyNumberFormat="1" applyFont="1" applyBorder="1" applyAlignment="1" applyProtection="1">
      <alignment horizontal="center"/>
      <protection/>
    </xf>
    <xf numFmtId="167" fontId="0" fillId="0" borderId="21" xfId="0" applyNumberFormat="1" applyFont="1" applyBorder="1" applyAlignment="1" applyProtection="1">
      <alignment horizontal="center"/>
      <protection/>
    </xf>
    <xf numFmtId="167" fontId="0" fillId="0" borderId="18" xfId="0" applyNumberFormat="1" applyFont="1" applyBorder="1" applyAlignment="1" applyProtection="1">
      <alignment horizontal="center"/>
      <protection/>
    </xf>
    <xf numFmtId="167" fontId="0" fillId="0" borderId="19" xfId="0" applyNumberFormat="1" applyFont="1" applyBorder="1" applyAlignment="1" applyProtection="1">
      <alignment horizontal="center"/>
      <protection/>
    </xf>
    <xf numFmtId="164" fontId="25" fillId="0" borderId="22" xfId="0" applyNumberFormat="1" applyFont="1" applyBorder="1" applyAlignment="1" applyProtection="1">
      <alignment horizontal="left"/>
      <protection/>
    </xf>
    <xf numFmtId="164" fontId="0" fillId="0" borderId="23" xfId="0" applyNumberFormat="1" applyFont="1" applyBorder="1" applyAlignment="1" applyProtection="1">
      <alignment horizontal="left"/>
      <protection/>
    </xf>
    <xf numFmtId="167" fontId="0" fillId="0" borderId="24" xfId="0" applyNumberFormat="1" applyFont="1" applyBorder="1" applyAlignment="1" applyProtection="1">
      <alignment horizontal="center"/>
      <protection/>
    </xf>
    <xf numFmtId="167" fontId="0" fillId="0" borderId="25" xfId="0" applyNumberFormat="1" applyFont="1" applyBorder="1" applyAlignment="1" applyProtection="1">
      <alignment horizontal="center"/>
      <protection/>
    </xf>
    <xf numFmtId="167" fontId="0" fillId="0" borderId="22" xfId="0" applyNumberFormat="1" applyFont="1" applyBorder="1" applyAlignment="1" applyProtection="1">
      <alignment horizontal="center"/>
      <protection/>
    </xf>
    <xf numFmtId="167" fontId="0" fillId="0" borderId="23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4" fontId="25" fillId="0" borderId="14" xfId="0" applyNumberFormat="1" applyFont="1" applyBorder="1" applyAlignment="1" applyProtection="1">
      <alignment horizontal="left"/>
      <protection locked="0"/>
    </xf>
    <xf numFmtId="164" fontId="0" fillId="0" borderId="15" xfId="0" applyNumberFormat="1" applyFont="1" applyBorder="1" applyAlignment="1" applyProtection="1">
      <alignment horizontal="left"/>
      <protection locked="0"/>
    </xf>
    <xf numFmtId="167" fontId="0" fillId="0" borderId="16" xfId="0" applyNumberFormat="1" applyFont="1" applyBorder="1" applyAlignment="1" applyProtection="1">
      <alignment horizontal="center"/>
      <protection locked="0"/>
    </xf>
    <xf numFmtId="167" fontId="0" fillId="0" borderId="17" xfId="0" applyNumberFormat="1" applyFont="1" applyBorder="1" applyAlignment="1" applyProtection="1">
      <alignment horizontal="center"/>
      <protection locked="0"/>
    </xf>
    <xf numFmtId="167" fontId="0" fillId="0" borderId="14" xfId="0" applyNumberFormat="1" applyFont="1" applyBorder="1" applyAlignment="1" applyProtection="1">
      <alignment horizontal="center"/>
      <protection locked="0"/>
    </xf>
    <xf numFmtId="167" fontId="0" fillId="0" borderId="15" xfId="0" applyNumberFormat="1" applyFont="1" applyBorder="1" applyAlignment="1" applyProtection="1">
      <alignment horizontal="center"/>
      <protection locked="0"/>
    </xf>
    <xf numFmtId="164" fontId="25" fillId="0" borderId="18" xfId="0" applyNumberFormat="1" applyFont="1" applyBorder="1" applyAlignment="1" applyProtection="1">
      <alignment horizontal="left"/>
      <protection locked="0"/>
    </xf>
    <xf numFmtId="164" fontId="0" fillId="0" borderId="19" xfId="0" applyNumberFormat="1" applyFont="1" applyBorder="1" applyAlignment="1" applyProtection="1">
      <alignment horizontal="left"/>
      <protection locked="0"/>
    </xf>
    <xf numFmtId="167" fontId="0" fillId="0" borderId="20" xfId="0" applyNumberFormat="1" applyFont="1" applyBorder="1" applyAlignment="1" applyProtection="1">
      <alignment horizontal="center"/>
      <protection locked="0"/>
    </xf>
    <xf numFmtId="167" fontId="0" fillId="0" borderId="21" xfId="0" applyNumberFormat="1" applyFont="1" applyBorder="1" applyAlignment="1" applyProtection="1">
      <alignment horizontal="center"/>
      <protection locked="0"/>
    </xf>
    <xf numFmtId="167" fontId="0" fillId="0" borderId="18" xfId="0" applyNumberFormat="1" applyFont="1" applyBorder="1" applyAlignment="1" applyProtection="1">
      <alignment horizontal="center"/>
      <protection locked="0"/>
    </xf>
    <xf numFmtId="167" fontId="0" fillId="0" borderId="19" xfId="0" applyNumberFormat="1" applyFont="1" applyBorder="1" applyAlignment="1" applyProtection="1">
      <alignment horizontal="center"/>
      <protection locked="0"/>
    </xf>
    <xf numFmtId="164" fontId="25" fillId="0" borderId="22" xfId="0" applyNumberFormat="1" applyFont="1" applyBorder="1" applyAlignment="1" applyProtection="1">
      <alignment horizontal="left"/>
      <protection locked="0"/>
    </xf>
    <xf numFmtId="164" fontId="0" fillId="0" borderId="23" xfId="0" applyNumberFormat="1" applyFont="1" applyBorder="1" applyAlignment="1" applyProtection="1">
      <alignment horizontal="left"/>
      <protection locked="0"/>
    </xf>
    <xf numFmtId="167" fontId="0" fillId="0" borderId="24" xfId="0" applyNumberFormat="1" applyFont="1" applyBorder="1" applyAlignment="1" applyProtection="1">
      <alignment horizontal="center"/>
      <protection locked="0"/>
    </xf>
    <xf numFmtId="167" fontId="0" fillId="0" borderId="25" xfId="0" applyNumberFormat="1" applyFont="1" applyBorder="1" applyAlignment="1" applyProtection="1">
      <alignment horizontal="center"/>
      <protection locked="0"/>
    </xf>
    <xf numFmtId="167" fontId="0" fillId="0" borderId="22" xfId="0" applyNumberFormat="1" applyFont="1" applyBorder="1" applyAlignment="1" applyProtection="1">
      <alignment horizontal="center"/>
      <protection locked="0"/>
    </xf>
    <xf numFmtId="167" fontId="0" fillId="0" borderId="23" xfId="0" applyNumberFormat="1" applyFont="1" applyBorder="1" applyAlignment="1" applyProtection="1">
      <alignment horizontal="center"/>
      <protection locked="0"/>
    </xf>
    <xf numFmtId="164" fontId="25" fillId="0" borderId="26" xfId="0" applyNumberFormat="1" applyFont="1" applyBorder="1" applyAlignment="1" applyProtection="1">
      <alignment horizontal="left"/>
      <protection locked="0"/>
    </xf>
    <xf numFmtId="164" fontId="0" fillId="0" borderId="27" xfId="0" applyNumberFormat="1" applyFont="1" applyBorder="1" applyAlignment="1" applyProtection="1">
      <alignment horizontal="left"/>
      <protection locked="0"/>
    </xf>
    <xf numFmtId="167" fontId="0" fillId="0" borderId="28" xfId="0" applyNumberFormat="1" applyFont="1" applyBorder="1" applyAlignment="1" applyProtection="1">
      <alignment horizontal="center"/>
      <protection locked="0"/>
    </xf>
    <xf numFmtId="167" fontId="0" fillId="0" borderId="29" xfId="0" applyNumberFormat="1" applyFont="1" applyBorder="1" applyAlignment="1" applyProtection="1">
      <alignment horizontal="center"/>
      <protection locked="0"/>
    </xf>
    <xf numFmtId="167" fontId="0" fillId="0" borderId="26" xfId="0" applyNumberFormat="1" applyFont="1" applyBorder="1" applyAlignment="1" applyProtection="1">
      <alignment horizontal="center"/>
      <protection locked="0"/>
    </xf>
    <xf numFmtId="167" fontId="0" fillId="0" borderId="27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 locked="0"/>
    </xf>
    <xf numFmtId="164" fontId="0" fillId="0" borderId="30" xfId="0" applyNumberFormat="1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164" fontId="30" fillId="0" borderId="0" xfId="0" applyNumberFormat="1" applyFont="1" applyAlignment="1" applyProtection="1">
      <alignment horizontal="center"/>
      <protection/>
    </xf>
    <xf numFmtId="164" fontId="25" fillId="0" borderId="26" xfId="0" applyNumberFormat="1" applyFont="1" applyBorder="1" applyAlignment="1" applyProtection="1">
      <alignment horizontal="left"/>
      <protection/>
    </xf>
    <xf numFmtId="164" fontId="0" fillId="0" borderId="27" xfId="0" applyNumberFormat="1" applyFont="1" applyBorder="1" applyAlignment="1" applyProtection="1">
      <alignment horizontal="left"/>
      <protection/>
    </xf>
    <xf numFmtId="167" fontId="0" fillId="0" borderId="29" xfId="0" applyNumberFormat="1" applyFont="1" applyBorder="1" applyAlignment="1" applyProtection="1">
      <alignment horizontal="center"/>
      <protection/>
    </xf>
    <xf numFmtId="167" fontId="0" fillId="0" borderId="26" xfId="0" applyNumberFormat="1" applyFont="1" applyBorder="1" applyAlignment="1" applyProtection="1">
      <alignment horizontal="center"/>
      <protection/>
    </xf>
    <xf numFmtId="167" fontId="0" fillId="0" borderId="28" xfId="0" applyNumberFormat="1" applyFont="1" applyBorder="1" applyAlignment="1" applyProtection="1">
      <alignment horizontal="center"/>
      <protection/>
    </xf>
    <xf numFmtId="167" fontId="0" fillId="0" borderId="27" xfId="0" applyNumberFormat="1" applyFont="1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Dekorfärg1" xfId="20"/>
    <cellStyle name="20% - Dekorfärg2" xfId="21"/>
    <cellStyle name="20% - Dekorfärg3" xfId="22"/>
    <cellStyle name="20% - Dekorfärg4" xfId="23"/>
    <cellStyle name="20% - Dekorfärg5" xfId="24"/>
    <cellStyle name="20% - Dekorfärg6" xfId="25"/>
    <cellStyle name="40% - Dekorfärg1" xfId="26"/>
    <cellStyle name="40% - Dekorfärg2" xfId="27"/>
    <cellStyle name="40% - Dekorfärg3" xfId="28"/>
    <cellStyle name="40% - Dekorfärg4" xfId="29"/>
    <cellStyle name="40% - Dekorfärg5" xfId="30"/>
    <cellStyle name="40% - Dekorfärg6" xfId="31"/>
    <cellStyle name="60% - Dekorfärg1" xfId="32"/>
    <cellStyle name="60% - Dekorfärg2" xfId="33"/>
    <cellStyle name="60% - Dekorfärg3" xfId="34"/>
    <cellStyle name="60% - Dekorfärg4" xfId="35"/>
    <cellStyle name="60% - Dekorfärg5" xfId="36"/>
    <cellStyle name="60% - Dekorfärg6" xfId="37"/>
    <cellStyle name="Anteckning" xfId="38"/>
    <cellStyle name="Beräkning" xfId="39"/>
    <cellStyle name="Bra" xfId="40"/>
    <cellStyle name="Dålig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Indata" xfId="49"/>
    <cellStyle name="Kontrollcell" xfId="50"/>
    <cellStyle name="Länkad cell" xfId="51"/>
    <cellStyle name="Neutral" xfId="52"/>
    <cellStyle name="Rubrik 1" xfId="53"/>
    <cellStyle name="Rubrik 1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dxfs count="3">
    <dxf>
      <border/>
    </dxf>
    <dxf>
      <fill>
        <patternFill patternType="solid">
          <fgColor rgb="FF33CCCC"/>
          <bgColor rgb="FF00FF00"/>
        </patternFill>
      </fill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5"/>
  <sheetViews>
    <sheetView showGridLines="0" workbookViewId="0" topLeftCell="A1">
      <pane xSplit="1" topLeftCell="B1" activePane="topRight" state="frozen"/>
      <selection pane="topLeft" activeCell="A1" sqref="A1"/>
      <selection pane="topRight" activeCell="B6" sqref="B6"/>
    </sheetView>
  </sheetViews>
  <sheetFormatPr defaultColWidth="1.1484375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2.5">
      <c r="A1" s="1" t="s">
        <v>0</v>
      </c>
      <c r="B1" s="3">
        <v>0.008333333333333333</v>
      </c>
    </row>
    <row r="2" spans="1:2" ht="22.5">
      <c r="A2" s="1" t="s">
        <v>1</v>
      </c>
      <c r="B2" s="3">
        <v>0.0006944444444444445</v>
      </c>
    </row>
    <row r="3" spans="1:2" ht="23.25">
      <c r="A3" s="1" t="s">
        <v>2</v>
      </c>
      <c r="B3" s="3">
        <v>0.003472222222222222</v>
      </c>
    </row>
    <row r="4" spans="1:2" ht="23.25">
      <c r="A4" s="1" t="s">
        <v>3</v>
      </c>
      <c r="B4" s="4" t="s">
        <v>4</v>
      </c>
    </row>
    <row r="5" spans="1:2" ht="23.25">
      <c r="A5" s="1" t="s">
        <v>5</v>
      </c>
      <c r="B5" s="4" t="s">
        <v>6</v>
      </c>
    </row>
    <row r="6" spans="1:2" ht="22.5">
      <c r="A6" s="1" t="s">
        <v>7</v>
      </c>
      <c r="B6" s="3">
        <v>0.3333333333333333</v>
      </c>
    </row>
    <row r="7" spans="1:2" ht="45" customHeight="1">
      <c r="A7" s="5" t="s">
        <v>8</v>
      </c>
      <c r="B7" s="5"/>
    </row>
    <row r="8" spans="1:2" ht="23.25">
      <c r="A8" s="6" t="s">
        <v>9</v>
      </c>
      <c r="B8" s="4" t="s">
        <v>10</v>
      </c>
    </row>
    <row r="9" spans="1:2" ht="23.25">
      <c r="A9" s="6" t="s">
        <v>11</v>
      </c>
      <c r="B9" s="4" t="s">
        <v>12</v>
      </c>
    </row>
    <row r="10" spans="1:2" ht="23.25">
      <c r="A10" s="6" t="s">
        <v>13</v>
      </c>
      <c r="B10" s="4" t="s">
        <v>14</v>
      </c>
    </row>
    <row r="11" spans="1:2" ht="23.25">
      <c r="A11" s="6" t="s">
        <v>15</v>
      </c>
      <c r="B11" s="4" t="s">
        <v>16</v>
      </c>
    </row>
    <row r="12" spans="1:2" ht="23.25">
      <c r="A12" s="6" t="s">
        <v>17</v>
      </c>
      <c r="B12" s="4" t="s">
        <v>18</v>
      </c>
    </row>
    <row r="13" spans="1:2" ht="22.5">
      <c r="A13" s="6" t="s">
        <v>19</v>
      </c>
      <c r="B13" s="4" t="s">
        <v>20</v>
      </c>
    </row>
    <row r="14" spans="1:2" ht="22.5">
      <c r="A14" s="6" t="s">
        <v>21</v>
      </c>
      <c r="B14" s="4" t="s">
        <v>22</v>
      </c>
    </row>
    <row r="15" spans="1:2" ht="22.5">
      <c r="A15" s="6" t="s">
        <v>23</v>
      </c>
      <c r="B15" s="4" t="s">
        <v>24</v>
      </c>
    </row>
  </sheetData>
  <sheetProtection sheet="1" objects="1" scenarios="1"/>
  <mergeCells count="1">
    <mergeCell ref="A7:B7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workbookViewId="0" topLeftCell="A13">
      <selection activeCell="A13" sqref="A13"/>
    </sheetView>
  </sheetViews>
  <sheetFormatPr defaultColWidth="1.1484375" defaultRowHeight="12.75" customHeight="1" zeroHeight="1"/>
  <cols>
    <col min="1" max="1" width="9.140625" style="54" customWidth="1"/>
    <col min="2" max="2" width="3.28125" style="54" customWidth="1"/>
    <col min="3" max="3" width="21.57421875" style="54" customWidth="1"/>
    <col min="4" max="8" width="13.00390625" style="54" customWidth="1"/>
    <col min="9" max="9" width="1.57421875" style="54" customWidth="1"/>
    <col min="10" max="12" width="13.00390625" style="54" customWidth="1"/>
    <col min="13" max="13" width="7.140625" style="43" customWidth="1"/>
    <col min="14" max="15" width="0" style="43" hidden="1" customWidth="1"/>
    <col min="16" max="16384" width="0" style="54" hidden="1" customWidth="1"/>
  </cols>
  <sheetData>
    <row r="1" spans="2:12" s="33" customFormat="1" ht="12.75" customHeight="1" hidden="1">
      <c r="B1" s="19"/>
      <c r="C1" s="55"/>
      <c r="D1" s="19" t="s">
        <v>68</v>
      </c>
      <c r="E1" s="19" t="s">
        <v>69</v>
      </c>
      <c r="F1" s="19" t="s">
        <v>70</v>
      </c>
      <c r="G1" s="19" t="s">
        <v>71</v>
      </c>
      <c r="H1" s="19" t="s">
        <v>72</v>
      </c>
      <c r="I1" s="19"/>
      <c r="J1" s="19" t="s">
        <v>73</v>
      </c>
      <c r="K1" s="19" t="s">
        <v>74</v>
      </c>
      <c r="L1" s="19" t="s">
        <v>75</v>
      </c>
    </row>
    <row r="2" spans="1:12" ht="12.75" customHeight="1" hidden="1">
      <c r="A2" s="56" t="s">
        <v>77</v>
      </c>
      <c r="B2" s="57" t="str">
        <f>+Grupper!A1</f>
        <v>A1</v>
      </c>
      <c r="C2" s="58" t="str">
        <f>IF(Grupper!B1="vakant","",Grupper!B1)</f>
        <v>Svalövs BK 2</v>
      </c>
      <c r="D2" s="79">
        <f>+IF(Inställningar!$B$5="NEJ",IF(Grupper!B1="vakant",0,COUNTIF('Alt schema'!M:M,"SANT")),"")</f>
        <v>0</v>
      </c>
      <c r="E2" s="79">
        <f>+IF(Inställningar!$B$5="NEJ",IF(Grupper!B1="vakant",0,COUNTIF('Alt schema'!AK:AK,"sant")),"")</f>
        <v>0</v>
      </c>
      <c r="F2" s="79">
        <f>+IF(Inställningar!$B$5="NEJ",IF(Grupper!B1="vakant",0,COUNTIF('Alt schema'!Y:Y,"sant")),"")</f>
        <v>0</v>
      </c>
      <c r="G2" s="60">
        <f>IF(Grupper!B1="vakant",0,D2+E2+F2)</f>
        <v>0</v>
      </c>
      <c r="H2" s="61">
        <f>IF(Grupper!B1="vakant",0,(SUMIF('Alt schema'!$F$10:$F$34,'Alt Tabell'!C2,'Alt schema'!$I$10:$I$34)+SUMIF('Alt schema'!$H$10:$H$34,'Alt Tabell'!C2,'Alt schema'!$K$10:$K$34)))</f>
        <v>0</v>
      </c>
      <c r="I2" s="59" t="s">
        <v>67</v>
      </c>
      <c r="J2" s="62">
        <f>IF(Grupper!B1="vakant",0,SUMIF('Alt schema'!$F$10:$F$34,'Alt Tabell'!C2,'Alt schema'!$K$10:$K$34)+SUMIF('Alt schema'!$H$10:$H$34,'Alt Tabell'!C2,'Alt schema'!$I$10:$I$34))</f>
        <v>0</v>
      </c>
      <c r="K2" s="60">
        <f>IF(Grupper!B1="vakant",0,H2-J2)</f>
        <v>0</v>
      </c>
      <c r="L2" s="60">
        <f>IF(Grupper!B1="vakant",0,D2*3+E2*1+F2*0)</f>
        <v>0</v>
      </c>
    </row>
    <row r="3" spans="1:12" ht="12.75" customHeight="1" hidden="1">
      <c r="A3" s="56"/>
      <c r="B3" s="63" t="str">
        <f>+Grupper!A2</f>
        <v>A2</v>
      </c>
      <c r="C3" s="64" t="str">
        <f>IF(Grupper!B2="vakant","",Grupper!B2)</f>
        <v>Kågeröds BoIF</v>
      </c>
      <c r="D3" s="85">
        <f>+IF(Inställningar!$B$5="NEJ",IF(Grupper!B2="vakant",0,COUNTIF('Alt schema'!N:N,"SANT")),"")</f>
        <v>0</v>
      </c>
      <c r="E3" s="85">
        <f>+IF(Inställningar!$B$5="NEJ",IF(Grupper!B2="vakant",0,COUNTIF('Alt schema'!AL:AL,"sant")),"")</f>
        <v>0</v>
      </c>
      <c r="F3" s="85">
        <f>+IF(Inställningar!$B$5="NEJ",IF(Grupper!B2="vakant",0,COUNTIF('Alt schema'!Z:Z,"sant")),"")</f>
        <v>0</v>
      </c>
      <c r="G3" s="66">
        <f>IF(Grupper!B2="vakant",0,D3+E3+F3)</f>
        <v>0</v>
      </c>
      <c r="H3" s="67">
        <f>IF(Grupper!B2="vakant",0,(SUMIF('Alt schema'!$F$10:$F$34,'Alt Tabell'!C3,'Alt schema'!$I$10:$I$34)+SUMIF('Alt schema'!$H$10:$H$34,'Alt Tabell'!C3,'Alt schema'!$K$10:$K$34)))</f>
        <v>0</v>
      </c>
      <c r="I3" s="65" t="s">
        <v>67</v>
      </c>
      <c r="J3" s="68">
        <f>IF(Grupper!B2="vakant",0,SUMIF('Alt schema'!$F$10:$F$34,'Alt Tabell'!C3,'Alt schema'!$K$10:$K$34)+SUMIF('Alt schema'!$H$10:$H$34,'Alt Tabell'!C3,'Alt schema'!$I$10:$I$34))</f>
        <v>0</v>
      </c>
      <c r="K3" s="66">
        <f>IF(Grupper!B2="vakant",0,H3-J3)</f>
        <v>0</v>
      </c>
      <c r="L3" s="66">
        <f>IF(Grupper!B2="vakant",0,D3*3+E3*1+F3*0)</f>
        <v>0</v>
      </c>
    </row>
    <row r="4" spans="1:12" ht="12.75" customHeight="1" hidden="1">
      <c r="A4" s="56"/>
      <c r="B4" s="63" t="str">
        <f>+Grupper!A3</f>
        <v>A3</v>
      </c>
      <c r="C4" s="64" t="str">
        <f>IF(Grupper!B3="vakant","",Grupper!B3)</f>
        <v>Ekeby GIF</v>
      </c>
      <c r="D4" s="85">
        <f>+IF(Inställningar!$B$5="NEJ",IF(Grupper!B3="vakant",0,COUNTIF('Alt schema'!O:O,"SANT")),"")</f>
        <v>0</v>
      </c>
      <c r="E4" s="85">
        <f>+IF(Inställningar!$B$5="NEJ",IF(Grupper!B3="vakant",0,COUNTIF('Alt schema'!AM:AM,"sant")),"")</f>
        <v>0</v>
      </c>
      <c r="F4" s="85">
        <f>+IF(Inställningar!$B$5="NEJ",IF(Grupper!B3="vakant",0,COUNTIF('Alt schema'!AA:AA,"sant")),"")</f>
        <v>0</v>
      </c>
      <c r="G4" s="66">
        <f>IF(Grupper!B3="vakant",0,D4+E4+F4)</f>
        <v>0</v>
      </c>
      <c r="H4" s="67">
        <f>IF(Grupper!B3="vakant",0,(SUMIF('Alt schema'!$F$10:$F$34,'Alt Tabell'!C4,'Alt schema'!$I$10:$I$34)+SUMIF('Alt schema'!$H$10:$H$34,'Alt Tabell'!C4,'Alt schema'!$K$10:$K$34)))</f>
        <v>0</v>
      </c>
      <c r="I4" s="65" t="s">
        <v>67</v>
      </c>
      <c r="J4" s="68">
        <f>IF(Grupper!B3="vakant",0,SUMIF('Alt schema'!$F$10:$F$34,'Alt Tabell'!C4,'Alt schema'!$K$10:$K$34)+SUMIF('Alt schema'!$H$10:$H$34,'Alt Tabell'!C4,'Alt schema'!$I$10:$I$34))</f>
        <v>0</v>
      </c>
      <c r="K4" s="66">
        <f>IF(Grupper!B3="vakant",0,H4-J4)</f>
        <v>0</v>
      </c>
      <c r="L4" s="66">
        <f>IF(Grupper!B3="vakant",0,D4*3+E4*1+F4*0)</f>
        <v>0</v>
      </c>
    </row>
    <row r="5" spans="1:12" ht="12.75" customHeight="1" hidden="1">
      <c r="A5" s="56"/>
      <c r="B5" s="63" t="str">
        <f>+Grupper!A4</f>
        <v>A4</v>
      </c>
      <c r="C5" s="64" t="str">
        <f>IF(Grupper!B4="vakant","",Grupper!B4)</f>
        <v>Marieholms IS</v>
      </c>
      <c r="D5" s="85">
        <f>+IF(Inställningar!$B$5="NEJ",IF(Grupper!B4="vakant",0,COUNTIF('Alt schema'!P:P,"SANT")),"")</f>
        <v>0</v>
      </c>
      <c r="E5" s="85">
        <f>+IF(Inställningar!$B$5="NEJ",IF(Grupper!B4="vakant",0,COUNTIF('Alt schema'!AN:AN,"sant")),"")</f>
        <v>0</v>
      </c>
      <c r="F5" s="85">
        <f>+IF(Inställningar!$B$5="NEJ",IF(Grupper!B4="vakant",0,COUNTIF('Alt schema'!AB:AB,"sant")),"")</f>
        <v>0</v>
      </c>
      <c r="G5" s="66">
        <f>IF(Grupper!B4="vakant",0,D5+E5+F5)</f>
        <v>0</v>
      </c>
      <c r="H5" s="67">
        <f>IF(Grupper!B4="vakant",0,(SUMIF('Alt schema'!$F$10:$F$34,'Alt Tabell'!C5,'Alt schema'!$I$10:$I$34)+SUMIF('Alt schema'!$H$10:$H$34,'Alt Tabell'!C5,'Alt schema'!$K$10:$K$34)))</f>
        <v>0</v>
      </c>
      <c r="I5" s="65" t="s">
        <v>67</v>
      </c>
      <c r="J5" s="68">
        <f>IF(Grupper!B4="vakant",0,SUMIF('Alt schema'!$F$10:$F$34,'Alt Tabell'!C5,'Alt schema'!$K$10:$K$34)+SUMIF('Alt schema'!$H$10:$H$34,'Alt Tabell'!C5,'Alt schema'!$I$10:$I$34))</f>
        <v>0</v>
      </c>
      <c r="K5" s="66">
        <f>IF(Grupper!B4="vakant",0,H5-J5)</f>
        <v>0</v>
      </c>
      <c r="L5" s="66">
        <f>IF(Grupper!B4="vakant",0,D5*3+E5*1+F5*0)</f>
        <v>0</v>
      </c>
    </row>
    <row r="6" spans="1:12" ht="12.75" customHeight="1" hidden="1">
      <c r="A6" s="56"/>
      <c r="B6" s="69" t="str">
        <f>+Grupper!A5</f>
        <v>A5</v>
      </c>
      <c r="C6" s="70" t="str">
        <f>IF(Grupper!B5="vakant","",Grupper!B5)</f>
        <v>Teckomatorps SK</v>
      </c>
      <c r="D6" s="91">
        <f>+IF(Inställningar!$B$5="NEJ",IF(Grupper!B5="vakant",0,COUNTIF('Alt schema'!Q:Q,"SANT")),"")</f>
        <v>0</v>
      </c>
      <c r="E6" s="91">
        <f>+IF(Inställningar!$B$5="NEJ",IF(Grupper!B5="vakant",0,COUNTIF('Alt schema'!AO:AO,"sant")),"")</f>
        <v>0</v>
      </c>
      <c r="F6" s="91">
        <f>+IF(Inställningar!$B$5="NEJ",IF(Grupper!B5="vakant",0,COUNTIF('Alt schema'!AC:AC,"sant")),"")</f>
        <v>0</v>
      </c>
      <c r="G6" s="72">
        <f>IF(Grupper!B5="vakant",0,D6+E6+F6)</f>
        <v>0</v>
      </c>
      <c r="H6" s="73">
        <f>IF(Grupper!B5="vakant",0,(SUMIF('Alt schema'!$F$10:$F$34,'Alt Tabell'!C6,'Alt schema'!$I$10:$I$34)+SUMIF('Alt schema'!$H$10:$H$34,'Alt Tabell'!C6,'Alt schema'!$K$10:$K$34)))</f>
        <v>0</v>
      </c>
      <c r="I6" s="71" t="s">
        <v>67</v>
      </c>
      <c r="J6" s="74">
        <f>IF(Grupper!B5="vakant",0,SUMIF('Alt schema'!$F$10:$F$34,'Alt Tabell'!C6,'Alt schema'!$K$10:$K$34)+SUMIF('Alt schema'!$H$10:$H$34,'Alt Tabell'!C6,'Alt schema'!$I$10:$I$34))</f>
        <v>0</v>
      </c>
      <c r="K6" s="72">
        <f>IF(Grupper!B5="vakant",0,H6-J6)</f>
        <v>0</v>
      </c>
      <c r="L6" s="72">
        <f>IF(Grupper!B5="vakant",0,D6*3+E6*1+F6*0)</f>
        <v>0</v>
      </c>
    </row>
    <row r="7" spans="1:12" ht="12.75" customHeight="1" hidden="1">
      <c r="A7" s="56" t="s">
        <v>78</v>
      </c>
      <c r="B7" s="109" t="str">
        <f>+IF(Inställningar!$B$5="nej",Grupper!A8,Grupper!A6)</f>
        <v>B1</v>
      </c>
      <c r="C7" s="110" t="str">
        <f>+IF(Inställningar!$B$5="NEJ",IF(Grupper!B8="vakant","",Grupper!B8),IF(Grupper!B6="vakant","",Grupper!B6))</f>
        <v>Svalövs BK 1</v>
      </c>
      <c r="D7" s="97">
        <f>+IF(Inställningar!$B$5="NEJ",IF(Grupper!B8="vakant",0,COUNTIF('Alt schema'!T:T,"SANT")),"")</f>
        <v>0</v>
      </c>
      <c r="E7" s="97">
        <f>+IF(Inställningar!$B$5="NEJ",IF(Grupper!B8="vakant",0,COUNTIF('Alt schema'!AR:AR,"sant")),"")</f>
        <v>0</v>
      </c>
      <c r="F7" s="97">
        <f>+IF(Inställningar!$B$5="NEJ",IF(Grupper!B8="vakant",0,COUNTIF('Alt schema'!AF:AF,"sant")),"")</f>
        <v>0</v>
      </c>
      <c r="G7" s="111">
        <f>IF(Grupper!B8="vakant",0,D7+E7+F7)</f>
        <v>0</v>
      </c>
      <c r="H7" s="112">
        <f>IF(Grupper!B8="vakant",0,(SUMIF('Alt schema'!$F$10:$F$34,'Alt Tabell'!C7,'Alt schema'!$I$10:$I$34)+SUMIF('Alt schema'!$H$10:$H$34,'Alt Tabell'!C7,'Alt schema'!$K$10:$K$34)))</f>
        <v>0</v>
      </c>
      <c r="I7" s="113" t="s">
        <v>67</v>
      </c>
      <c r="J7" s="114">
        <f>IF(Grupper!B8="vakant",0,SUMIF('Alt schema'!$F$10:$F$34,'Alt Tabell'!C7,'Alt schema'!$K$10:$K$34)+SUMIF('Alt schema'!$H$10:$H$34,'Alt Tabell'!C7,'Alt schema'!$I$10:$I$34))</f>
        <v>0</v>
      </c>
      <c r="K7" s="111">
        <f>IF(Grupper!B8="vakant",0,H7-J7)</f>
        <v>0</v>
      </c>
      <c r="L7" s="111">
        <f>IF(Grupper!B8="vakant",0,D7*3+E7*1+F7*0)</f>
        <v>0</v>
      </c>
    </row>
    <row r="8" spans="1:12" ht="12.75" customHeight="1" hidden="1">
      <c r="A8" s="56"/>
      <c r="B8" s="63" t="str">
        <f>+IF(Inställningar!$B$5="nej",Grupper!A9,Grupper!A7)</f>
        <v>B2</v>
      </c>
      <c r="C8" s="110" t="str">
        <f>+IF(Inställningar!$B$5="NEJ",IF(Grupper!B9="vakant","",Grupper!B9),IF(Grupper!B7="vakant","VAKANT",Grupper!B7))</f>
        <v>Billeberga GIF</v>
      </c>
      <c r="D8" s="85">
        <f>+IF(Inställningar!$B$5="NEJ",IF(Grupper!B9="vakant",0,COUNTIF('Alt schema'!U:U,"SANT")),"")</f>
        <v>0</v>
      </c>
      <c r="E8" s="85">
        <f>+IF(Inställningar!$B$5="NEJ",IF(Grupper!B9="vakant",0,COUNTIF('Alt schema'!AS:AS,"sant")),"")</f>
        <v>0</v>
      </c>
      <c r="F8" s="85">
        <f>+IF(Inställningar!$B$5="NEJ",IF(Grupper!B9="vakant",0,COUNTIF('Alt schema'!AG:AG,"sant")),"")</f>
        <v>0</v>
      </c>
      <c r="G8" s="66">
        <f>IF(Grupper!B9="vakant",0,D8+E8+F8)</f>
        <v>0</v>
      </c>
      <c r="H8" s="67">
        <f>IF(Grupper!B9="vakant",0,(SUMIF('Alt schema'!$F$10:$F$34,'Alt Tabell'!C8,'Alt schema'!$I$10:$I$34)+SUMIF('Alt schema'!$H$10:$H$34,'Alt Tabell'!C8,'Alt schema'!$K$10:$K$34)))</f>
        <v>0</v>
      </c>
      <c r="I8" s="65" t="s">
        <v>67</v>
      </c>
      <c r="J8" s="68">
        <f>IF(Grupper!B9="vakant",0,SUMIF('Alt schema'!$F$10:$F$34,'Alt Tabell'!C8,'Alt schema'!$K$10:$K$34)+SUMIF('Alt schema'!$H$10:$H$34,'Alt Tabell'!C8,'Alt schema'!$I$10:$I$34))</f>
        <v>0</v>
      </c>
      <c r="K8" s="66">
        <f>IF(Grupper!B9="vakant",0,H8-J8)</f>
        <v>0</v>
      </c>
      <c r="L8" s="66">
        <f>IF(Grupper!B9="vakant",0,D8*3+E8*1+F8*0)</f>
        <v>0</v>
      </c>
    </row>
    <row r="9" spans="1:12" ht="12.75" customHeight="1" hidden="1">
      <c r="A9" s="56"/>
      <c r="B9" s="63" t="str">
        <f>+IF(Inställningar!$B$5="nej",Grupper!A10,"")</f>
        <v>B3</v>
      </c>
      <c r="C9" s="64" t="str">
        <f>IF(Grupper!B10="vakant","",Grupper!B10)</f>
        <v>Gantofta IF</v>
      </c>
      <c r="D9" s="85">
        <f>+IF(Inställningar!$B$5="NEJ",IF(Grupper!B10="vakant",0,COUNTIF('Alt schema'!V:V,"SANT")),"")</f>
        <v>0</v>
      </c>
      <c r="E9" s="85">
        <f>+IF(Inställningar!$B$5="NEJ",IF(Grupper!B10="vakant",0,COUNTIF('Alt schema'!AT:AT,"sant")),"")</f>
        <v>0</v>
      </c>
      <c r="F9" s="85">
        <f>+IF(Inställningar!$B$5="NEJ",IF(Grupper!B10="vakant",0,COUNTIF('Alt schema'!AH:AH,"sant")),"")</f>
        <v>0</v>
      </c>
      <c r="G9" s="66">
        <f>+IF(Inställningar!$B$5="NEJ",IF(Grupper!B10="vakant",0,D9+E9+F9),"")</f>
        <v>0</v>
      </c>
      <c r="H9" s="67">
        <f>IF(Inställningar!$B$5="NEJ",IF(Grupper!B10="vakant",0,(SUMIF('Alt schema'!$F$10:$F$34,'Alt Tabell'!C9,'Alt schema'!$I$10:$I$34)+SUMIF('Alt schema'!$H$10:$H$34,'Alt Tabell'!C9,'Alt schema'!$K$10:$K$34))),"")</f>
        <v>0</v>
      </c>
      <c r="I9" s="65" t="str">
        <f>IF(Inställningar!$B$5="NEJ","-","")</f>
        <v>-</v>
      </c>
      <c r="J9" s="68">
        <f>IF(Inställningar!$B$5="NEJ",IF(Grupper!B10="vakant",0,SUMIF('Alt schema'!$F$10:$F$34,'Alt Tabell'!C9,'Alt schema'!$K$10:$K$34)+SUMIF('Alt schema'!$H$10:$H$34,'Alt Tabell'!C9,'Alt schema'!$I$10:$I$34)),"")</f>
        <v>0</v>
      </c>
      <c r="K9" s="66">
        <f>IF(Inställningar!$B$5="NEJ",IF(Grupper!B10="vakant",0,H9-J9),"")</f>
        <v>0</v>
      </c>
      <c r="L9" s="66">
        <f>IF(Inställningar!$B$5="NEJ",IF(Grupper!B10="vakant",0,D9*3+E9*1+F9*0),"")</f>
        <v>0</v>
      </c>
    </row>
    <row r="10" spans="1:12" ht="12.75" customHeight="1" hidden="1">
      <c r="A10" s="56"/>
      <c r="B10" s="63" t="str">
        <f>+IF(Inställningar!$B$5="nej",Grupper!A11,"")</f>
        <v>B4</v>
      </c>
      <c r="C10" s="64" t="str">
        <f>IF(Grupper!B11="vakant","",Grupper!B11)</f>
        <v>IK Wormo</v>
      </c>
      <c r="D10" s="85">
        <f>+IF(Inställningar!$B$5="NEJ",IF(Grupper!B11="vakant",0,COUNTIF('Alt schema'!W:W,"SANT")),"")</f>
        <v>0</v>
      </c>
      <c r="E10" s="85">
        <f>+IF(Inställningar!$B$5="NEJ",IF(Grupper!B11="vakant",0,COUNTIF('Alt schema'!AU:AU,"sant")),"")</f>
        <v>0</v>
      </c>
      <c r="F10" s="85">
        <f>+IF(Inställningar!$B$5="NEJ",IF(Grupper!B11="vakant",0,COUNTIF('Alt schema'!AI:AI,"sant")),"")</f>
        <v>0</v>
      </c>
      <c r="G10" s="66">
        <f>+IF(Inställningar!$B$5="NEJ",IF(Grupper!B11="vakant",0,D10+E10+F10),"")</f>
        <v>0</v>
      </c>
      <c r="H10" s="67">
        <f>IF(Inställningar!$B$5="NEJ",IF(Grupper!B11="vakant",0,(SUMIF('Alt schema'!$F$10:$F$34,'Alt Tabell'!C10,'Alt schema'!$I$10:$I$34)+SUMIF('Alt schema'!$H$10:$H$34,'Alt Tabell'!C10,'Alt schema'!$K$10:$K$34))),"")</f>
        <v>0</v>
      </c>
      <c r="I10" s="65" t="str">
        <f>IF(Inställningar!$B$5="NEJ","-","")</f>
        <v>-</v>
      </c>
      <c r="J10" s="68">
        <f>IF(Inställningar!$B$5="NEJ",IF(Grupper!B11="vakant",0,SUMIF('Alt schema'!$F$10:$F$34,'Alt Tabell'!C10,'Alt schema'!$K$10:$K$34)+SUMIF('Alt schema'!$H$10:$H$34,'Alt Tabell'!C10,'Alt schema'!$I$10:$I$34)),"")</f>
        <v>0</v>
      </c>
      <c r="K10" s="66">
        <f>IF(Inställningar!$B$5="NEJ",IF(Grupper!B11="vakant",0,H10-J10),"")</f>
        <v>0</v>
      </c>
      <c r="L10" s="66">
        <f>IF(Inställningar!$B$5="NEJ",IF(Grupper!B11="vakant",0,D10*3+E10*1+F10*0),"")</f>
        <v>0</v>
      </c>
    </row>
    <row r="11" spans="1:12" ht="12.75" customHeight="1" hidden="1">
      <c r="A11" s="56"/>
      <c r="B11" s="69" t="str">
        <f>+IF(Inställningar!$B$5="nej",Grupper!A12,"")</f>
        <v>B5</v>
      </c>
      <c r="C11" s="70" t="str">
        <f>IF(Grupper!B12="vakant","",Grupper!B12)</f>
        <v>Eskilsminne IF</v>
      </c>
      <c r="D11" s="91">
        <f>+IF(Inställningar!$B$5="NEJ",IF(Grupper!B12="vakant",0,COUNTIF('Alt schema'!X:X,"SANT")),"")</f>
        <v>0</v>
      </c>
      <c r="E11" s="91">
        <f>+IF(Inställningar!$B$5="NEJ",IF(Grupper!B12="vakant",0,COUNTIF('Alt schema'!AV:AV,"sant")),"")</f>
        <v>0</v>
      </c>
      <c r="F11" s="91">
        <f>+IF(Inställningar!$B$5="NEJ",IF(Grupper!B12="vakant",0,COUNTIF('Alt schema'!AJ:AJ,"sant")),"")</f>
        <v>0</v>
      </c>
      <c r="G11" s="72">
        <f>+IF(Inställningar!$B$5="NEJ",IF(Grupper!B12="vakant",0,D11+E11+F11),"")</f>
        <v>0</v>
      </c>
      <c r="H11" s="73">
        <f>IF(Inställningar!$B$5="NEJ",IF(Grupper!B12="vakant",0,(SUMIF('Alt schema'!$F$10:$F$34,'Alt Tabell'!C11,'Alt schema'!$I$10:$I$34)+SUMIF('Alt schema'!$H$10:$H$34,'Alt Tabell'!C11,'Alt schema'!$K$10:$K$34))),"")</f>
        <v>0</v>
      </c>
      <c r="I11" s="65" t="str">
        <f>IF(Inställningar!$B$5="NEJ","-","")</f>
        <v>-</v>
      </c>
      <c r="J11" s="74">
        <f>IF(Inställningar!$B$5="NEJ",IF(Grupper!B12="vakant",0,SUMIF('Alt schema'!$F$10:$F$34,'Alt Tabell'!C11,'Alt schema'!$K$10:$K$34)+SUMIF('Alt schema'!$H$10:$H$34,'Alt Tabell'!C11,'Alt schema'!$I$10:$I$34)),"")</f>
        <v>0</v>
      </c>
      <c r="K11" s="72">
        <f>IF(Inställningar!$B$5="NEJ",IF(Grupper!B12="vakant",0,H11-J11),"")</f>
        <v>0</v>
      </c>
      <c r="L11" s="72">
        <f>IF(Inställningar!$B$5="NEJ",IF(Grupper!B12="vakant",0,D11*3+E11*1+F11*0),"")</f>
        <v>0</v>
      </c>
    </row>
    <row r="12" spans="3:12" ht="12.75" customHeight="1" hidden="1">
      <c r="C12" s="75"/>
      <c r="D12" s="76"/>
      <c r="E12" s="76"/>
      <c r="F12" s="76"/>
      <c r="G12" s="76"/>
      <c r="H12" s="43"/>
      <c r="I12" s="76"/>
      <c r="J12" s="43"/>
      <c r="K12" s="43"/>
      <c r="L12" s="43"/>
    </row>
    <row r="13" spans="1:12" ht="29.25" customHeight="1">
      <c r="A13" s="33"/>
      <c r="B13" s="33"/>
      <c r="C13" s="102"/>
      <c r="D13" s="33" t="s">
        <v>68</v>
      </c>
      <c r="E13" s="33" t="s">
        <v>69</v>
      </c>
      <c r="F13" s="33" t="s">
        <v>70</v>
      </c>
      <c r="G13" s="33" t="s">
        <v>71</v>
      </c>
      <c r="H13" s="33" t="s">
        <v>72</v>
      </c>
      <c r="I13" s="33"/>
      <c r="J13" s="33" t="s">
        <v>73</v>
      </c>
      <c r="K13" s="33" t="s">
        <v>74</v>
      </c>
      <c r="L13" s="33" t="s">
        <v>75</v>
      </c>
    </row>
    <row r="14" spans="1:12" ht="29.25" customHeight="1">
      <c r="A14" s="56" t="s">
        <v>77</v>
      </c>
      <c r="B14" s="77" t="s">
        <v>27</v>
      </c>
      <c r="C14" s="78">
        <v>0</v>
      </c>
      <c r="D14" s="79">
        <v>0</v>
      </c>
      <c r="E14" s="79">
        <v>0</v>
      </c>
      <c r="F14" s="79">
        <v>0</v>
      </c>
      <c r="G14" s="80">
        <v>0</v>
      </c>
      <c r="H14" s="81">
        <v>0</v>
      </c>
      <c r="I14" s="79" t="s">
        <v>67</v>
      </c>
      <c r="J14" s="82">
        <v>0</v>
      </c>
      <c r="K14" s="80">
        <v>0</v>
      </c>
      <c r="L14" s="80">
        <v>0</v>
      </c>
    </row>
    <row r="15" spans="1:12" ht="29.25" customHeight="1">
      <c r="A15" s="56"/>
      <c r="B15" s="83" t="s">
        <v>29</v>
      </c>
      <c r="C15" s="84">
        <v>0</v>
      </c>
      <c r="D15" s="85">
        <v>0</v>
      </c>
      <c r="E15" s="85">
        <v>0</v>
      </c>
      <c r="F15" s="85">
        <v>0</v>
      </c>
      <c r="G15" s="86">
        <v>0</v>
      </c>
      <c r="H15" s="87">
        <v>0</v>
      </c>
      <c r="I15" s="85" t="s">
        <v>67</v>
      </c>
      <c r="J15" s="88">
        <v>0</v>
      </c>
      <c r="K15" s="86">
        <v>0</v>
      </c>
      <c r="L15" s="86">
        <v>0</v>
      </c>
    </row>
    <row r="16" spans="1:12" ht="29.25" customHeight="1">
      <c r="A16" s="56"/>
      <c r="B16" s="83" t="s">
        <v>31</v>
      </c>
      <c r="C16" s="84">
        <v>0</v>
      </c>
      <c r="D16" s="85">
        <v>0</v>
      </c>
      <c r="E16" s="85">
        <v>0</v>
      </c>
      <c r="F16" s="85">
        <v>0</v>
      </c>
      <c r="G16" s="86">
        <v>0</v>
      </c>
      <c r="H16" s="87">
        <v>0</v>
      </c>
      <c r="I16" s="85" t="s">
        <v>67</v>
      </c>
      <c r="J16" s="88">
        <v>0</v>
      </c>
      <c r="K16" s="86">
        <v>0</v>
      </c>
      <c r="L16" s="86">
        <v>0</v>
      </c>
    </row>
    <row r="17" spans="1:12" ht="29.25" customHeight="1">
      <c r="A17" s="56"/>
      <c r="B17" s="83" t="s">
        <v>33</v>
      </c>
      <c r="C17" s="84">
        <v>0</v>
      </c>
      <c r="D17" s="85">
        <v>0</v>
      </c>
      <c r="E17" s="85">
        <v>0</v>
      </c>
      <c r="F17" s="85">
        <v>0</v>
      </c>
      <c r="G17" s="86">
        <v>0</v>
      </c>
      <c r="H17" s="87">
        <v>0</v>
      </c>
      <c r="I17" s="85" t="s">
        <v>67</v>
      </c>
      <c r="J17" s="88">
        <v>0</v>
      </c>
      <c r="K17" s="86">
        <v>0</v>
      </c>
      <c r="L17" s="86">
        <v>0</v>
      </c>
    </row>
    <row r="18" spans="1:12" ht="29.25" customHeight="1">
      <c r="A18" s="56"/>
      <c r="B18" s="89" t="s">
        <v>35</v>
      </c>
      <c r="C18" s="90">
        <v>0</v>
      </c>
      <c r="D18" s="91">
        <v>0</v>
      </c>
      <c r="E18" s="91">
        <v>0</v>
      </c>
      <c r="F18" s="91">
        <v>0</v>
      </c>
      <c r="G18" s="92">
        <v>0</v>
      </c>
      <c r="H18" s="93">
        <v>0</v>
      </c>
      <c r="I18" s="91" t="s">
        <v>67</v>
      </c>
      <c r="J18" s="94">
        <v>0</v>
      </c>
      <c r="K18" s="92">
        <v>0</v>
      </c>
      <c r="L18" s="92">
        <v>0</v>
      </c>
    </row>
    <row r="19" spans="1:12" ht="29.25" customHeight="1">
      <c r="A19" s="56" t="s">
        <v>78</v>
      </c>
      <c r="B19" s="95" t="s">
        <v>39</v>
      </c>
      <c r="C19" s="96">
        <v>0</v>
      </c>
      <c r="D19" s="97">
        <v>0</v>
      </c>
      <c r="E19" s="97">
        <v>0</v>
      </c>
      <c r="F19" s="97">
        <v>0</v>
      </c>
      <c r="G19" s="98">
        <v>0</v>
      </c>
      <c r="H19" s="99">
        <v>0</v>
      </c>
      <c r="I19" s="97" t="s">
        <v>67</v>
      </c>
      <c r="J19" s="100">
        <v>0</v>
      </c>
      <c r="K19" s="98">
        <v>0</v>
      </c>
      <c r="L19" s="98">
        <v>0</v>
      </c>
    </row>
    <row r="20" spans="1:12" ht="29.25" customHeight="1">
      <c r="A20" s="56"/>
      <c r="B20" s="83" t="s">
        <v>41</v>
      </c>
      <c r="C20" s="84">
        <v>0</v>
      </c>
      <c r="D20" s="85">
        <v>0</v>
      </c>
      <c r="E20" s="85">
        <v>0</v>
      </c>
      <c r="F20" s="85">
        <v>0</v>
      </c>
      <c r="G20" s="86">
        <v>0</v>
      </c>
      <c r="H20" s="87">
        <v>0</v>
      </c>
      <c r="I20" s="85" t="s">
        <v>67</v>
      </c>
      <c r="J20" s="88">
        <v>0</v>
      </c>
      <c r="K20" s="86">
        <v>0</v>
      </c>
      <c r="L20" s="86">
        <v>0</v>
      </c>
    </row>
    <row r="21" spans="1:12" ht="29.25" customHeight="1">
      <c r="A21" s="56"/>
      <c r="B21" s="83" t="s">
        <v>43</v>
      </c>
      <c r="C21" s="84">
        <v>0</v>
      </c>
      <c r="D21" s="85">
        <v>0</v>
      </c>
      <c r="E21" s="85">
        <v>0</v>
      </c>
      <c r="F21" s="85">
        <v>0</v>
      </c>
      <c r="G21" s="86">
        <v>0</v>
      </c>
      <c r="H21" s="87">
        <v>0</v>
      </c>
      <c r="I21" s="85" t="s">
        <v>67</v>
      </c>
      <c r="J21" s="88">
        <v>0</v>
      </c>
      <c r="K21" s="86">
        <v>0</v>
      </c>
      <c r="L21" s="86">
        <v>0</v>
      </c>
    </row>
    <row r="22" spans="1:12" ht="29.25" customHeight="1">
      <c r="A22" s="56"/>
      <c r="B22" s="83" t="s">
        <v>45</v>
      </c>
      <c r="C22" s="84">
        <v>0</v>
      </c>
      <c r="D22" s="85">
        <v>0</v>
      </c>
      <c r="E22" s="85">
        <v>0</v>
      </c>
      <c r="F22" s="85">
        <v>0</v>
      </c>
      <c r="G22" s="86">
        <v>0</v>
      </c>
      <c r="H22" s="87">
        <v>0</v>
      </c>
      <c r="I22" s="85" t="s">
        <v>67</v>
      </c>
      <c r="J22" s="88">
        <v>0</v>
      </c>
      <c r="K22" s="86">
        <v>0</v>
      </c>
      <c r="L22" s="86">
        <v>0</v>
      </c>
    </row>
    <row r="23" spans="1:12" ht="29.25" customHeight="1">
      <c r="A23" s="56"/>
      <c r="B23" s="89" t="s">
        <v>47</v>
      </c>
      <c r="C23" s="90">
        <v>0</v>
      </c>
      <c r="D23" s="91">
        <v>0</v>
      </c>
      <c r="E23" s="91">
        <v>0</v>
      </c>
      <c r="F23" s="91">
        <v>0</v>
      </c>
      <c r="G23" s="92">
        <v>0</v>
      </c>
      <c r="H23" s="93">
        <v>0</v>
      </c>
      <c r="I23" s="91" t="s">
        <v>67</v>
      </c>
      <c r="J23" s="94">
        <v>0</v>
      </c>
      <c r="K23" s="92">
        <v>0</v>
      </c>
      <c r="L23" s="92">
        <v>0</v>
      </c>
    </row>
  </sheetData>
  <sheetProtection sheet="1" objects="1" scenarios="1"/>
  <mergeCells count="2">
    <mergeCell ref="A14:A18"/>
    <mergeCell ref="A19:A23"/>
  </mergeCells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workbookViewId="0" topLeftCell="B10">
      <selection activeCell="B10" sqref="B10"/>
    </sheetView>
  </sheetViews>
  <sheetFormatPr defaultColWidth="1.1484375" defaultRowHeight="12.75" customHeight="1" zeroHeight="1"/>
  <cols>
    <col min="1" max="1" width="0" style="54" hidden="1" customWidth="1"/>
    <col min="2" max="2" width="3.28125" style="54" customWidth="1"/>
    <col min="3" max="3" width="20.7109375" style="54" customWidth="1"/>
    <col min="4" max="8" width="13.00390625" style="54" customWidth="1"/>
    <col min="9" max="9" width="1.57421875" style="54" customWidth="1"/>
    <col min="10" max="12" width="13.00390625" style="54" customWidth="1"/>
    <col min="13" max="13" width="7.140625" style="43" customWidth="1"/>
    <col min="14" max="15" width="0" style="43" hidden="1" customWidth="1"/>
    <col min="16" max="16384" width="0" style="54" hidden="1" customWidth="1"/>
  </cols>
  <sheetData>
    <row r="1" spans="2:12" s="33" customFormat="1" ht="12.75" customHeight="1" hidden="1">
      <c r="B1" s="19"/>
      <c r="C1" s="55"/>
      <c r="D1" s="19" t="s">
        <v>68</v>
      </c>
      <c r="E1" s="19" t="s">
        <v>69</v>
      </c>
      <c r="F1" s="19" t="s">
        <v>70</v>
      </c>
      <c r="G1" s="19" t="s">
        <v>71</v>
      </c>
      <c r="H1" s="19" t="s">
        <v>72</v>
      </c>
      <c r="I1" s="19"/>
      <c r="J1" s="19" t="s">
        <v>73</v>
      </c>
      <c r="K1" s="19" t="s">
        <v>74</v>
      </c>
      <c r="L1" s="19" t="s">
        <v>75</v>
      </c>
    </row>
    <row r="2" spans="1:12" ht="12.75" customHeight="1" hidden="1">
      <c r="A2" s="56"/>
      <c r="B2" s="57" t="str">
        <f>+Grupper!A1</f>
        <v>A1</v>
      </c>
      <c r="C2" s="58" t="str">
        <f>IF(Grupper!B1="vakant","",Grupper!B1)</f>
        <v>Svalövs BK 2</v>
      </c>
      <c r="D2" s="61">
        <f>IF(Grupper!B1="vakant",0,COUNTIF('Alt schema'!M:M,"sant"))</f>
        <v>0</v>
      </c>
      <c r="E2" s="59">
        <f>IF(Grupper!B1="vakant",0,COUNTIF('Alt schema'!AK:AK,"sant"))</f>
        <v>0</v>
      </c>
      <c r="F2" s="62">
        <f>IF(Grupper!B1="vakant",0,COUNTIF('Alt schema'!Y:Y,"sant"))</f>
        <v>0</v>
      </c>
      <c r="G2" s="60">
        <f>IF(Grupper!B1="vakant",0,D2+E2+F2)</f>
        <v>0</v>
      </c>
      <c r="H2" s="61">
        <f>IF(Grupper!B1="vakant",0,(SUMIF('Alt schema'!$F$10:$F$34,'Alt Tabell'!C2,'Alt schema'!$I$10:$I$34)+SUMIF('Alt schema'!$H$10:$H$34,'Alt Tabell'!C2,'Alt schema'!$K$10:$K$34)))</f>
        <v>0</v>
      </c>
      <c r="I2" s="59" t="s">
        <v>67</v>
      </c>
      <c r="J2" s="62">
        <f>IF(Grupper!B1="vakant",0,SUMIF('Alt schema'!$F$10:$F$34,'Alt Tabell'!C2,'Alt schema'!$K$10:$K$34)+SUMIF('Alt schema'!$H$10:$H$34,'Alt Tabell'!C2,'Alt schema'!$I$10:$I$34))</f>
        <v>0</v>
      </c>
      <c r="K2" s="60">
        <f>IF(Grupper!B1="vakant",0,H2-J2)</f>
        <v>0</v>
      </c>
      <c r="L2" s="60">
        <f>IF(Grupper!B1="vakant",0,D2*3+E2*1+F2*0)</f>
        <v>0</v>
      </c>
    </row>
    <row r="3" spans="1:12" ht="12.75" customHeight="1" hidden="1">
      <c r="A3" s="56"/>
      <c r="B3" s="63" t="str">
        <f>+Grupper!A2</f>
        <v>A2</v>
      </c>
      <c r="C3" s="64" t="str">
        <f>IF(Grupper!B2="vakant","",Grupper!B2)</f>
        <v>Kågeröds BoIF</v>
      </c>
      <c r="D3" s="67">
        <f>IF(Grupper!B2="vakant",0,COUNTIF('Alt schema'!N:N,"SANT"))</f>
        <v>0</v>
      </c>
      <c r="E3" s="65">
        <f>IF(Grupper!B2="vakant",0,COUNTIF('Alt schema'!AL:AL,"sant"))</f>
        <v>0</v>
      </c>
      <c r="F3" s="68">
        <f>+IF(Grupper!B2="vakant",0,COUNTIF('Alt schema'!Z:Z,"sant"))</f>
        <v>0</v>
      </c>
      <c r="G3" s="66">
        <f>IF(Grupper!B2="vakant",0,D3+E3+F3)</f>
        <v>0</v>
      </c>
      <c r="H3" s="67">
        <f>IF(Grupper!B2="vakant",0,(SUMIF('Alt schema'!$F$10:$F$34,'Alt Tabell'!C3,'Alt schema'!$I$10:$I$34)+SUMIF('Alt schema'!$H$10:$H$34,'Alt Tabell'!C3,'Alt schema'!$K$10:$K$34)))</f>
        <v>0</v>
      </c>
      <c r="I3" s="65" t="s">
        <v>67</v>
      </c>
      <c r="J3" s="68">
        <f>IF(Grupper!B2="vakant",0,SUMIF('Alt schema'!$F$10:$F$34,'Alt Tabell'!C3,'Alt schema'!$K$10:$K$34)+SUMIF('Alt schema'!$H$10:$H$34,'Alt Tabell'!C3,'Alt schema'!$I$10:$I$34))</f>
        <v>0</v>
      </c>
      <c r="K3" s="66">
        <f>IF(Grupper!B2="vakant",0,H3-J3)</f>
        <v>0</v>
      </c>
      <c r="L3" s="66">
        <f>IF(Grupper!B2="vakant",0,D3*3+E3*1+F3*0)</f>
        <v>0</v>
      </c>
    </row>
    <row r="4" spans="1:12" ht="12.75" customHeight="1" hidden="1">
      <c r="A4" s="56"/>
      <c r="B4" s="63" t="str">
        <f>+Grupper!A3</f>
        <v>A3</v>
      </c>
      <c r="C4" s="64" t="str">
        <f>IF(Grupper!B3="vakant","",Grupper!B3)</f>
        <v>Ekeby GIF</v>
      </c>
      <c r="D4" s="67">
        <f>IF(Grupper!B3="vakant",0,COUNTIF('Alt schema'!O:O,"SANT"))</f>
        <v>0</v>
      </c>
      <c r="E4" s="65">
        <f>IF(Grupper!B3="vakant",0,COUNTIF('Alt schema'!AM:AM,"sant"))</f>
        <v>0</v>
      </c>
      <c r="F4" s="68">
        <f>+COUNTIF('Alt schema'!AA:AA,"sant")</f>
        <v>0</v>
      </c>
      <c r="G4" s="66">
        <f>IF(Grupper!B3="vakant",0,D4+E4+F4)</f>
        <v>0</v>
      </c>
      <c r="H4" s="67">
        <f>IF(Grupper!B3="vakant",0,(SUMIF('Alt schema'!$F$10:$F$34,'Alt Tabell'!C4,'Alt schema'!$I$10:$I$34)+SUMIF('Alt schema'!$H$10:$H$34,'Alt Tabell'!C4,'Alt schema'!$K$10:$K$34)))</f>
        <v>0</v>
      </c>
      <c r="I4" s="65" t="s">
        <v>67</v>
      </c>
      <c r="J4" s="68">
        <f>IF(Grupper!B3="vakant",0,SUMIF('Alt schema'!$F$10:$F$34,'Alt Tabell'!C4,'Alt schema'!$K$10:$K$34)+SUMIF('Alt schema'!$H$10:$H$34,'Alt Tabell'!C4,'Alt schema'!$I$10:$I$34))</f>
        <v>0</v>
      </c>
      <c r="K4" s="66">
        <f>IF(Grupper!B3="vakant",0,H4-J4)</f>
        <v>0</v>
      </c>
      <c r="L4" s="66">
        <f>IF(Grupper!B3="vakant",0,D4*3+E4*1+F4*0)</f>
        <v>0</v>
      </c>
    </row>
    <row r="5" spans="1:12" ht="12.75" customHeight="1" hidden="1">
      <c r="A5" s="56"/>
      <c r="B5" s="63" t="str">
        <f>+Grupper!A4</f>
        <v>A4</v>
      </c>
      <c r="C5" s="64" t="str">
        <f>IF(Grupper!B4="vakant","",Grupper!B4)</f>
        <v>Marieholms IS</v>
      </c>
      <c r="D5" s="67">
        <f>IF(Grupper!B4="vakant",0,COUNTIF('Alt schema'!P:P,"SANT"))</f>
        <v>0</v>
      </c>
      <c r="E5" s="65">
        <f>IF(Grupper!B4="vakant",0,COUNTIF('Alt schema'!AN:AN,"sant"))</f>
        <v>0</v>
      </c>
      <c r="F5" s="68">
        <f>IF(Grupper!B4="vakant",0,COUNTIF('Alt schema'!AB:AB,"sant"))</f>
        <v>0</v>
      </c>
      <c r="G5" s="66">
        <f>IF(Grupper!B4="vakant",0,D5+E5+F5)</f>
        <v>0</v>
      </c>
      <c r="H5" s="67">
        <f>IF(Grupper!B4="vakant",0,(SUMIF('Alt schema'!$F$10:$F$34,'Alt Tabell'!C5,'Alt schema'!$I$10:$I$34)+SUMIF('Alt schema'!$H$10:$H$34,'Alt Tabell'!C5,'Alt schema'!$K$10:$K$34)))</f>
        <v>0</v>
      </c>
      <c r="I5" s="65" t="s">
        <v>67</v>
      </c>
      <c r="J5" s="68">
        <f>IF(Grupper!B4="vakant",0,SUMIF('Alt schema'!$F$10:$F$34,'Alt Tabell'!C5,'Alt schema'!$K$10:$K$34)+SUMIF('Alt schema'!$H$10:$H$34,'Alt Tabell'!C5,'Alt schema'!$I$10:$I$34))</f>
        <v>0</v>
      </c>
      <c r="K5" s="66">
        <f>IF(Grupper!B4="vakant",0,H5-J5)</f>
        <v>0</v>
      </c>
      <c r="L5" s="66">
        <f>IF(Grupper!B4="vakant",0,D5*3+E5*1+F5*0)</f>
        <v>0</v>
      </c>
    </row>
    <row r="6" spans="1:12" ht="12.75" customHeight="1" hidden="1">
      <c r="A6" s="56"/>
      <c r="B6" s="63" t="str">
        <f>+Grupper!A5</f>
        <v>A5</v>
      </c>
      <c r="C6" s="64" t="str">
        <f>IF(Grupper!B5="vakant","",Grupper!B5)</f>
        <v>Teckomatorps SK</v>
      </c>
      <c r="D6" s="67">
        <f>IF(Grupper!B5="vakant",0,COUNTIF('Alt schema'!Q:Q,"SANT"))</f>
        <v>0</v>
      </c>
      <c r="E6" s="65">
        <f>IF(Grupper!B5="vakant",0,COUNTIF('Alt schema'!AO:AO,"sant"))</f>
        <v>0</v>
      </c>
      <c r="F6" s="68">
        <f>+IF(Grupper!B5="vakant",0,COUNTIF('Alt schema'!AC:AC,"sant"))</f>
        <v>0</v>
      </c>
      <c r="G6" s="66">
        <f>IF(Grupper!B5="vakant",0,D6+E6+F6)</f>
        <v>0</v>
      </c>
      <c r="H6" s="67">
        <f>IF(Grupper!B5="vakant",0,(SUMIF('Alt schema'!$F$10:$F$34,'Alt Tabell'!C6,'Alt schema'!$I$10:$I$34)+SUMIF('Alt schema'!$H$10:$H$34,'Alt Tabell'!C6,'Alt schema'!$K$10:$K$34)))</f>
        <v>0</v>
      </c>
      <c r="I6" s="65" t="s">
        <v>67</v>
      </c>
      <c r="J6" s="68">
        <f>IF(Grupper!B5="vakant",0,SUMIF('Alt schema'!$F$10:$F$34,'Alt Tabell'!C6,'Alt schema'!$K$10:$K$34)+SUMIF('Alt schema'!$H$10:$H$34,'Alt Tabell'!C6,'Alt schema'!$I$10:$I$34))</f>
        <v>0</v>
      </c>
      <c r="K6" s="66">
        <f>IF(Grupper!B5="vakant",0,H6-J6)</f>
        <v>0</v>
      </c>
      <c r="L6" s="66">
        <f>IF(Grupper!B5="vakant",0,D6*3+E6*1+F6*0)</f>
        <v>0</v>
      </c>
    </row>
    <row r="7" spans="1:12" ht="12.75" customHeight="1" hidden="1">
      <c r="A7" s="56"/>
      <c r="B7" s="63" t="str">
        <f>+IF(Inställningar!$B$5="nej",Grupper!A8,Grupper!A6)</f>
        <v>B1</v>
      </c>
      <c r="C7" s="64" t="str">
        <f>+IF(Inställningar!$B$5="NEJ",IF(Grupper!B8="vakant","",Grupper!B8),IF(Grupper!B6="vakant","",Grupper!B6))</f>
        <v>Svalövs BK 1</v>
      </c>
      <c r="D7" s="67">
        <f>IF(Grupper!B8="vakant",0,COUNTIF('Alt schema'!R:R,"SANT"))</f>
        <v>0</v>
      </c>
      <c r="E7" s="65">
        <f>IF(Grupper!B8="vakant",0,COUNTIF('Alt schema'!AP:AP,"sant"))</f>
        <v>0</v>
      </c>
      <c r="F7" s="68">
        <f>+IF(Grupper!B8="vakant",0,COUNTIF('Alt schema'!AD:AD,"sant"))</f>
        <v>0</v>
      </c>
      <c r="G7" s="66">
        <f>IF(Grupper!B8="vakant",0,D7+E7+F7)</f>
        <v>0</v>
      </c>
      <c r="H7" s="67">
        <f>IF(Grupper!B8="vakant",0,(SUMIF('Alt schema'!$F$10:$F$34,'Alt Tabell'!C7,'Alt schema'!$I$10:$I$34)+SUMIF('Alt schema'!$H$10:$H$34,'Alt Tabell'!C7,'Alt schema'!$K$10:$K$34)))</f>
        <v>0</v>
      </c>
      <c r="I7" s="65" t="s">
        <v>67</v>
      </c>
      <c r="J7" s="68">
        <f>IF(Grupper!B8="vakant",0,SUMIF('Alt schema'!$F$10:$F$34,'Alt Tabell'!C7,'Alt schema'!$K$10:$K$34)+SUMIF('Alt schema'!$H$10:$H$34,'Alt Tabell'!C7,'Alt schema'!$I$10:$I$34))</f>
        <v>0</v>
      </c>
      <c r="K7" s="66">
        <f>IF(Grupper!B8="vakant",0,H7-J7)</f>
        <v>0</v>
      </c>
      <c r="L7" s="66">
        <f>IF(Grupper!B8="vakant",0,D7*3+E7*1+F7*0)</f>
        <v>0</v>
      </c>
    </row>
    <row r="8" spans="1:12" ht="12.75" customHeight="1" hidden="1">
      <c r="A8" s="56"/>
      <c r="B8" s="69" t="str">
        <f>+IF(Inställningar!$B$5="nej",Grupper!A9,Grupper!A7)</f>
        <v>B2</v>
      </c>
      <c r="C8" s="101" t="str">
        <f>+IF(Inställningar!$B$5="NEJ",IF(Grupper!B9="vakant","",Grupper!B9),IF(Grupper!B7="vakant","VAKANT",Grupper!B7))</f>
        <v>Billeberga GIF</v>
      </c>
      <c r="D8" s="73">
        <f>IF(Grupper!B9="vakant",0,COUNTIF('Alt schema'!S:S,"SANT"))</f>
        <v>0</v>
      </c>
      <c r="E8" s="71">
        <f>IF(Grupper!B9="vakant",0,COUNTIF('Alt schema'!AQ:AQ,"sant"))</f>
        <v>0</v>
      </c>
      <c r="F8" s="74">
        <f>+IF(Grupper!B9="vakant",0,COUNTIF('Alt schema'!AE:AE,"sant"))</f>
        <v>0</v>
      </c>
      <c r="G8" s="72">
        <f>IF(Grupper!B9="vakant",0,D8+E8+F8)</f>
        <v>0</v>
      </c>
      <c r="H8" s="73">
        <f>IF(Grupper!B9="vakant",0,(SUMIF('Alt schema'!$F$10:$F$34,'Alt Tabell'!C8,'Alt schema'!$I$10:$I$34)+SUMIF('Alt schema'!$H$10:$H$34,'Alt Tabell'!C8,'Alt schema'!$K$10:$K$34)))</f>
        <v>0</v>
      </c>
      <c r="I8" s="71" t="s">
        <v>67</v>
      </c>
      <c r="J8" s="74">
        <f>IF(Grupper!B9="vakant",0,SUMIF('Alt schema'!$F$10:$F$34,'Alt Tabell'!C8,'Alt schema'!$K$10:$K$34)+SUMIF('Alt schema'!$H$10:$H$34,'Alt Tabell'!C8,'Alt schema'!$I$10:$I$34))</f>
        <v>0</v>
      </c>
      <c r="K8" s="72">
        <f>IF(Grupper!B9="vakant",0,H8-J8)</f>
        <v>0</v>
      </c>
      <c r="L8" s="72">
        <f>IF(Grupper!B9="vakant",0,D8*3+E8*1+F8*0)</f>
        <v>0</v>
      </c>
    </row>
    <row r="9" spans="3:12" ht="12.75" customHeight="1" hidden="1">
      <c r="C9" s="75"/>
      <c r="D9" s="76"/>
      <c r="E9" s="76"/>
      <c r="F9" s="76"/>
      <c r="G9" s="76"/>
      <c r="H9" s="43"/>
      <c r="I9" s="76"/>
      <c r="J9" s="43"/>
      <c r="K9" s="43"/>
      <c r="L9" s="43"/>
    </row>
    <row r="10" spans="1:12" ht="29.25" customHeight="1">
      <c r="A10" s="33"/>
      <c r="B10" s="33"/>
      <c r="C10" s="102"/>
      <c r="D10" s="33" t="s">
        <v>68</v>
      </c>
      <c r="E10" s="33" t="s">
        <v>69</v>
      </c>
      <c r="F10" s="33" t="s">
        <v>70</v>
      </c>
      <c r="G10" s="33" t="s">
        <v>71</v>
      </c>
      <c r="H10" s="33" t="s">
        <v>72</v>
      </c>
      <c r="I10" s="33"/>
      <c r="J10" s="33" t="s">
        <v>73</v>
      </c>
      <c r="K10" s="33" t="s">
        <v>74</v>
      </c>
      <c r="L10" s="33" t="s">
        <v>75</v>
      </c>
    </row>
    <row r="11" spans="1:12" ht="29.25" customHeight="1">
      <c r="A11" s="56"/>
      <c r="B11" s="77" t="s">
        <v>27</v>
      </c>
      <c r="C11" s="78">
        <v>0</v>
      </c>
      <c r="D11" s="81">
        <v>0</v>
      </c>
      <c r="E11" s="79">
        <v>0</v>
      </c>
      <c r="F11" s="82">
        <v>0</v>
      </c>
      <c r="G11" s="80">
        <v>0</v>
      </c>
      <c r="H11" s="81">
        <v>0</v>
      </c>
      <c r="I11" s="79" t="s">
        <v>67</v>
      </c>
      <c r="J11" s="82">
        <v>0</v>
      </c>
      <c r="K11" s="80">
        <v>0</v>
      </c>
      <c r="L11" s="80">
        <v>0</v>
      </c>
    </row>
    <row r="12" spans="1:12" ht="29.25" customHeight="1">
      <c r="A12" s="56"/>
      <c r="B12" s="83" t="s">
        <v>29</v>
      </c>
      <c r="C12" s="84">
        <v>0</v>
      </c>
      <c r="D12" s="87">
        <v>0</v>
      </c>
      <c r="E12" s="85">
        <v>0</v>
      </c>
      <c r="F12" s="88">
        <v>0</v>
      </c>
      <c r="G12" s="86">
        <v>0</v>
      </c>
      <c r="H12" s="87">
        <v>0</v>
      </c>
      <c r="I12" s="85" t="s">
        <v>67</v>
      </c>
      <c r="J12" s="88">
        <v>0</v>
      </c>
      <c r="K12" s="86">
        <v>0</v>
      </c>
      <c r="L12" s="86">
        <v>0</v>
      </c>
    </row>
    <row r="13" spans="1:12" ht="29.25" customHeight="1">
      <c r="A13" s="56"/>
      <c r="B13" s="83" t="s">
        <v>31</v>
      </c>
      <c r="C13" s="84">
        <v>0</v>
      </c>
      <c r="D13" s="87">
        <v>0</v>
      </c>
      <c r="E13" s="85">
        <v>0</v>
      </c>
      <c r="F13" s="88">
        <v>0</v>
      </c>
      <c r="G13" s="86">
        <v>0</v>
      </c>
      <c r="H13" s="87">
        <v>0</v>
      </c>
      <c r="I13" s="85" t="s">
        <v>67</v>
      </c>
      <c r="J13" s="88">
        <v>0</v>
      </c>
      <c r="K13" s="86">
        <v>0</v>
      </c>
      <c r="L13" s="86">
        <v>0</v>
      </c>
    </row>
    <row r="14" spans="1:12" ht="29.25" customHeight="1">
      <c r="A14" s="56"/>
      <c r="B14" s="83" t="s">
        <v>33</v>
      </c>
      <c r="C14" s="84">
        <v>0</v>
      </c>
      <c r="D14" s="87">
        <v>0</v>
      </c>
      <c r="E14" s="85">
        <v>0</v>
      </c>
      <c r="F14" s="88">
        <v>0</v>
      </c>
      <c r="G14" s="86">
        <v>0</v>
      </c>
      <c r="H14" s="87">
        <v>0</v>
      </c>
      <c r="I14" s="85" t="s">
        <v>67</v>
      </c>
      <c r="J14" s="88">
        <v>0</v>
      </c>
      <c r="K14" s="86">
        <v>0</v>
      </c>
      <c r="L14" s="86">
        <v>0</v>
      </c>
    </row>
    <row r="15" spans="1:12" ht="29.25" customHeight="1">
      <c r="A15" s="56"/>
      <c r="B15" s="83" t="s">
        <v>35</v>
      </c>
      <c r="C15" s="84">
        <v>0</v>
      </c>
      <c r="D15" s="87">
        <v>0</v>
      </c>
      <c r="E15" s="85">
        <v>0</v>
      </c>
      <c r="F15" s="88">
        <v>0</v>
      </c>
      <c r="G15" s="86">
        <v>0</v>
      </c>
      <c r="H15" s="87">
        <v>0</v>
      </c>
      <c r="I15" s="85" t="s">
        <v>67</v>
      </c>
      <c r="J15" s="88">
        <v>0</v>
      </c>
      <c r="K15" s="86">
        <v>0</v>
      </c>
      <c r="L15" s="86">
        <v>0</v>
      </c>
    </row>
    <row r="16" spans="1:12" ht="29.25" customHeight="1">
      <c r="A16" s="56"/>
      <c r="B16" s="83" t="s">
        <v>39</v>
      </c>
      <c r="C16" s="84">
        <v>0</v>
      </c>
      <c r="D16" s="87">
        <v>0</v>
      </c>
      <c r="E16" s="85">
        <v>0</v>
      </c>
      <c r="F16" s="88">
        <v>0</v>
      </c>
      <c r="G16" s="86">
        <v>0</v>
      </c>
      <c r="H16" s="87">
        <v>0</v>
      </c>
      <c r="I16" s="85" t="s">
        <v>67</v>
      </c>
      <c r="J16" s="88">
        <v>0</v>
      </c>
      <c r="K16" s="86">
        <v>0</v>
      </c>
      <c r="L16" s="86">
        <v>0</v>
      </c>
    </row>
    <row r="17" spans="1:12" ht="29.25" customHeight="1">
      <c r="A17" s="56"/>
      <c r="B17" s="89" t="s">
        <v>41</v>
      </c>
      <c r="C17" s="103">
        <v>0</v>
      </c>
      <c r="D17" s="93">
        <v>0</v>
      </c>
      <c r="E17" s="91">
        <v>0</v>
      </c>
      <c r="F17" s="94">
        <v>0</v>
      </c>
      <c r="G17" s="92">
        <v>0</v>
      </c>
      <c r="H17" s="93">
        <v>0</v>
      </c>
      <c r="I17" s="91" t="s">
        <v>67</v>
      </c>
      <c r="J17" s="94">
        <v>0</v>
      </c>
      <c r="K17" s="92">
        <v>0</v>
      </c>
      <c r="L17" s="92">
        <v>0</v>
      </c>
    </row>
  </sheetData>
  <sheetProtection sheet="1" objects="1" scenarios="1"/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workbookViewId="0" topLeftCell="IV65536">
      <selection activeCell="A16" sqref="A16"/>
    </sheetView>
  </sheetViews>
  <sheetFormatPr defaultColWidth="1.1484375" defaultRowHeight="12.75" zeroHeight="1"/>
  <cols>
    <col min="1" max="1" width="0" style="18" hidden="1" customWidth="1"/>
    <col min="2" max="2" width="0" style="20" hidden="1" customWidth="1"/>
    <col min="3" max="3" width="0" style="21" hidden="1" customWidth="1"/>
    <col min="4" max="10" width="0" style="20" hidden="1" customWidth="1"/>
    <col min="11" max="11" width="0" style="104" hidden="1" customWidth="1"/>
    <col min="12" max="41" width="0" style="39" hidden="1" customWidth="1"/>
    <col min="42" max="16384" width="0" style="1" hidden="1" customWidth="1"/>
  </cols>
  <sheetData>
    <row r="1" spans="1:41" s="20" customFormat="1" ht="12.75" hidden="1">
      <c r="A1" s="25">
        <f>IF(Schema!A1&gt;0,Schema!A1,"")</f>
      </c>
      <c r="B1" s="20">
        <f>IF(Schema!C1&gt;0,Schema!C1,"")</f>
      </c>
      <c r="C1" s="21">
        <f>IF(Schema!D1&gt;0,Schema!D1,"")</f>
      </c>
      <c r="D1" s="20">
        <f>IF(Schema!E1&gt;0,Schema!E1,"")</f>
      </c>
      <c r="E1" s="26" t="str">
        <f>IF(Schema!F1&gt;0,Schema!F1,"")</f>
        <v>GRUPP A</v>
      </c>
      <c r="F1" s="26">
        <f>IF(Schema!G1&gt;0,Schema!G1,"")</f>
      </c>
      <c r="G1" s="26" t="str">
        <f>IF(Schema!H1&gt;0,Schema!H1,"")</f>
        <v>GRUPP B</v>
      </c>
      <c r="H1" s="20">
        <f>IF(Schema!I1&gt;0,Schema!I1,"")</f>
      </c>
      <c r="I1" s="20">
        <f>IF(Schema!J1&gt;0,Schema!J1,"")</f>
      </c>
      <c r="J1" s="20">
        <f>IF(Schema!K1&gt;0,Schema!K1,"")</f>
      </c>
      <c r="K1" s="104">
        <f>IF(Schema!L1&gt;0,Schema!L1,"")</f>
      </c>
      <c r="L1" s="104">
        <f>IF(Schema!M1&gt;0,Schema!M1,"")</f>
      </c>
      <c r="M1" s="115"/>
      <c r="N1" s="115"/>
      <c r="O1" s="115"/>
      <c r="P1" s="115"/>
      <c r="Q1" s="115"/>
      <c r="R1" s="115"/>
      <c r="S1" s="115"/>
      <c r="T1" s="115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</row>
    <row r="2" spans="1:12" ht="12.75" hidden="1">
      <c r="A2" s="18">
        <f>IF(Schema!A2&gt;0,Schema!A2,"")</f>
      </c>
      <c r="B2" s="20">
        <f>IF(Schema!C2&gt;0,Schema!C2,"")</f>
      </c>
      <c r="C2" s="21">
        <f>IF(Schema!D2&gt;0,Schema!D2,"")</f>
      </c>
      <c r="D2" s="20">
        <f>IF(Schema!E2&gt;0,Schema!E2,"")</f>
      </c>
      <c r="E2" s="21" t="str">
        <f>IF(Schema!F2&gt;0,Schema!F2,"")</f>
        <v>Svalövs BK 2</v>
      </c>
      <c r="F2" s="30">
        <f>IF(Schema!G2&gt;0,Schema!G2,"")</f>
      </c>
      <c r="G2" s="21" t="str">
        <f>IF(Schema!H2&gt;0,Schema!H2,"")</f>
        <v>Svalövs BK 1</v>
      </c>
      <c r="H2" s="30">
        <f>IF(Schema!I2&gt;0,Schema!I2,"")</f>
      </c>
      <c r="I2" s="20">
        <f>IF(Schema!J2&gt;0,Schema!J2,"")</f>
      </c>
      <c r="J2" s="20">
        <f>IF(Schema!K2&gt;0,Schema!K2,"")</f>
      </c>
      <c r="K2" s="104">
        <f>IF(Schema!L2&gt;0,Schema!L2,"")</f>
      </c>
      <c r="L2" s="39">
        <f>IF(Schema!M2&gt;0,Schema!M2,"")</f>
      </c>
    </row>
    <row r="3" spans="1:12" ht="12.75" hidden="1">
      <c r="A3" s="18">
        <f>IF(Schema!A3&gt;0,Schema!A3,"")</f>
      </c>
      <c r="B3" s="20">
        <f>IF(Schema!C3&gt;0,Schema!C3,"")</f>
      </c>
      <c r="C3" s="21">
        <f>IF(Schema!D3&gt;0,Schema!D3,"")</f>
      </c>
      <c r="D3" s="20">
        <f>IF(Schema!E3&gt;0,Schema!E3,"")</f>
      </c>
      <c r="E3" s="21" t="str">
        <f>IF(Schema!F3&gt;0,Schema!F3,"")</f>
        <v>Kågeröds BoIF</v>
      </c>
      <c r="F3" s="30">
        <f>IF(Schema!G3&gt;0,Schema!G3,"")</f>
      </c>
      <c r="G3" s="21" t="str">
        <f>IF(Schema!H3&gt;0,Schema!H3,"")</f>
        <v>Billeberga GIF</v>
      </c>
      <c r="H3" s="30">
        <f>IF(Schema!I3&gt;0,Schema!I3,"")</f>
      </c>
      <c r="I3" s="20">
        <f>IF(Schema!J3&gt;0,Schema!J3,"")</f>
      </c>
      <c r="J3" s="20">
        <f>IF(Schema!K3&gt;0,Schema!K3,"")</f>
      </c>
      <c r="K3" s="104">
        <f>IF(Schema!L3&gt;0,Schema!L3,"")</f>
      </c>
      <c r="L3" s="39">
        <f>IF(Schema!M3&gt;0,Schema!M3,"")</f>
      </c>
    </row>
    <row r="4" spans="1:12" ht="12.75" hidden="1">
      <c r="A4" s="18">
        <f>IF(Schema!A4&gt;0,Schema!A4,"")</f>
      </c>
      <c r="B4" s="20">
        <f>IF(Schema!C4&gt;0,Schema!C4,"")</f>
      </c>
      <c r="C4" s="21">
        <f>IF(Schema!D4&gt;0,Schema!D4,"")</f>
      </c>
      <c r="D4" s="20">
        <f>IF(Schema!E4&gt;0,Schema!E4,"")</f>
      </c>
      <c r="E4" s="21" t="str">
        <f>IF(Schema!F4&gt;0,Schema!F4,"")</f>
        <v>Ekeby GIF</v>
      </c>
      <c r="F4" s="30">
        <f>IF(Schema!G4&gt;0,Schema!G4,"")</f>
      </c>
      <c r="G4" s="21" t="str">
        <f>IF(Schema!H4&gt;0,Schema!H4,"")</f>
        <v>Gantofta IF</v>
      </c>
      <c r="H4" s="30">
        <f>IF(Schema!I4&gt;0,Schema!I4,"")</f>
      </c>
      <c r="I4" s="20">
        <f>IF(Schema!J4&gt;0,Schema!J4,"")</f>
      </c>
      <c r="J4" s="20">
        <f>IF(Schema!K4&gt;0,Schema!K4,"")</f>
      </c>
      <c r="K4" s="104">
        <f>IF(Schema!L4&gt;0,Schema!L4,"")</f>
      </c>
      <c r="L4" s="39">
        <f>IF(Schema!M4&gt;0,Schema!M4,"")</f>
      </c>
    </row>
    <row r="5" spans="1:12" ht="12.75" hidden="1">
      <c r="A5" s="18">
        <f>IF(Schema!A5&gt;0,Schema!A5,"")</f>
      </c>
      <c r="B5" s="20">
        <f>IF(Schema!C5&gt;0,Schema!C5,"")</f>
      </c>
      <c r="C5" s="21">
        <f>IF(Schema!D5&gt;0,Schema!D5,"")</f>
      </c>
      <c r="D5" s="20">
        <f>IF(Schema!E5&gt;0,Schema!E5,"")</f>
      </c>
      <c r="E5" s="21" t="str">
        <f>IF(Schema!F5&gt;0,Schema!F5,"")</f>
        <v>Marieholms IS</v>
      </c>
      <c r="F5" s="30">
        <f>IF(Schema!G5&gt;0,Schema!G5,"")</f>
      </c>
      <c r="G5" s="21" t="str">
        <f>IF(Schema!H5&gt;0,Schema!H5,"")</f>
        <v>IK Wormo</v>
      </c>
      <c r="H5" s="30">
        <f>IF(Schema!I5&gt;0,Schema!I5,"")</f>
      </c>
      <c r="I5" s="20">
        <f>IF(Schema!J5&gt;0,Schema!J5,"")</f>
      </c>
      <c r="J5" s="20">
        <f>IF(Schema!K5&gt;0,Schema!K5,"")</f>
      </c>
      <c r="K5" s="104">
        <f>IF(Schema!L5&gt;0,Schema!L5,"")</f>
      </c>
      <c r="L5" s="39">
        <f>IF(Schema!M5&gt;0,Schema!M5,"")</f>
      </c>
    </row>
    <row r="6" spans="1:12" ht="12.75" hidden="1">
      <c r="A6" s="18">
        <f>IF(Schema!A6&gt;0,Schema!A6,"")</f>
      </c>
      <c r="B6" s="20">
        <f>IF(Schema!C6&gt;0,Schema!C6,"")</f>
      </c>
      <c r="C6" s="21">
        <f>IF(Schema!D6&gt;0,Schema!D6,"")</f>
      </c>
      <c r="D6" s="20">
        <f>IF(Schema!E6&gt;0,Schema!E6,"")</f>
      </c>
      <c r="E6" s="21" t="str">
        <f>IF(Schema!F6&gt;0,Schema!F6,"")</f>
        <v>Teckomatorps SK</v>
      </c>
      <c r="F6" s="30">
        <f>IF(Schema!G6&gt;0,Schema!G6,"")</f>
      </c>
      <c r="G6" s="21" t="str">
        <f>IF(Schema!H6&gt;0,Schema!H6,"")</f>
        <v>Eskilsminne IF</v>
      </c>
      <c r="H6" s="30">
        <f>IF(Schema!I6&gt;0,Schema!I6,"")</f>
      </c>
      <c r="I6" s="20">
        <f>IF(Schema!J6&gt;0,Schema!J6,"")</f>
      </c>
      <c r="J6" s="20">
        <f>IF(Schema!K6&gt;0,Schema!K6,"")</f>
      </c>
      <c r="K6" s="104">
        <f>IF(Schema!L6&gt;0,Schema!L6,"")</f>
      </c>
      <c r="L6" s="39">
        <f>IF(Schema!M6&gt;0,Schema!M6,"")</f>
      </c>
    </row>
    <row r="7" spans="1:12" ht="12.75" hidden="1">
      <c r="A7" s="18">
        <f>IF(Schema!A7&gt;0,Schema!A7,"")</f>
      </c>
      <c r="B7" s="20">
        <f>IF(Schema!C7&gt;0,Schema!C7,"")</f>
      </c>
      <c r="C7" s="21">
        <f>IF(Schema!D7&gt;0,Schema!D7,"")</f>
      </c>
      <c r="D7" s="20">
        <f>IF(Schema!E7&gt;0,Schema!E7,"")</f>
      </c>
      <c r="E7" s="21">
        <f>IF(Schema!F7&gt;0,Schema!F7,"")</f>
      </c>
      <c r="F7" s="20">
        <f>IF(Schema!G7&gt;0,Schema!G7,"")</f>
      </c>
      <c r="G7" s="20">
        <f>IF(Schema!H7&gt;0,Schema!H7,"")</f>
      </c>
      <c r="H7" s="20">
        <f>IF(Schema!I7&gt;0,Schema!I7,"")</f>
      </c>
      <c r="I7" s="20">
        <f>IF(Schema!J7&gt;0,Schema!J7,"")</f>
      </c>
      <c r="J7" s="20">
        <f>IF(Schema!K7&gt;0,Schema!K7,"")</f>
      </c>
      <c r="K7" s="104">
        <f>IF(Schema!L7&gt;0,Schema!L7,"")</f>
      </c>
      <c r="L7" s="39">
        <f>IF(Schema!M7&gt;0,Schema!M7,"")</f>
      </c>
    </row>
    <row r="8" spans="1:30" ht="12.75" hidden="1">
      <c r="A8" s="18">
        <f>IF(Schema!A8&gt;0,Schema!A8,"")</f>
      </c>
      <c r="B8" s="20">
        <f>IF(Schema!C8&gt;0,Schema!C8,"")</f>
      </c>
      <c r="C8" s="21">
        <f>IF(Schema!D8&gt;0,Schema!D8,"")</f>
      </c>
      <c r="D8" s="20">
        <f>IF(Schema!E8&gt;0,Schema!E8,"")</f>
      </c>
      <c r="E8" s="21">
        <f>IF(Schema!F8&gt;0,Schema!F8,"")</f>
      </c>
      <c r="F8" s="20">
        <f>IF(Schema!G8&gt;0,Schema!G8,"")</f>
      </c>
      <c r="G8" s="20">
        <f>IF(Schema!H8&gt;0,Schema!H8,"")</f>
      </c>
      <c r="H8" s="20">
        <f>IF(Schema!I8&gt;0,Schema!I8,"")</f>
      </c>
      <c r="I8" s="20">
        <f>IF(Schema!J8&gt;0,Schema!J8,"")</f>
      </c>
      <c r="J8" s="20">
        <f>IF(Schema!K8&gt;0,Schema!K8,"")</f>
      </c>
      <c r="K8" s="104">
        <f>IF(Schema!L8&gt;0,Schema!L8,"")</f>
      </c>
      <c r="L8" s="39" t="str">
        <f>IF(Schema!M8&gt;0,Schema!M8,"")</f>
        <v>Vinst</v>
      </c>
      <c r="M8" s="39" t="str">
        <f>IF(Schema!N8&gt;0,Schema!N8,"")</f>
        <v>Vinst</v>
      </c>
      <c r="N8" s="39" t="str">
        <f>IF(Schema!O8&gt;0,Schema!O8,"")</f>
        <v>Vinst</v>
      </c>
      <c r="O8" s="39" t="str">
        <f>IF(Schema!P8&gt;0,Schema!P8,"")</f>
        <v>Vinst</v>
      </c>
      <c r="P8" s="39" t="str">
        <f>IF(Schema!Q8&gt;0,Schema!Q8,"")</f>
        <v>Vinst</v>
      </c>
      <c r="Q8" s="39" t="str">
        <f>IF(Schema!T8&gt;0,Schema!T8,"")</f>
        <v>Vinst</v>
      </c>
      <c r="R8" s="39" t="str">
        <f>IF(Schema!U8&gt;0,Schema!U8,"")</f>
        <v>Vinst</v>
      </c>
      <c r="S8" s="39" t="str">
        <f>IF(Schema!V8&gt;0,Schema!V8,"")</f>
        <v>Vinst</v>
      </c>
      <c r="T8" s="39" t="str">
        <f>IF(Schema!W8&gt;0,Schema!W8,"")</f>
        <v>Vinst</v>
      </c>
      <c r="U8" s="39" t="str">
        <f>IF(Schema!X8&gt;0,Schema!X8,"")</f>
        <v>Vinst</v>
      </c>
      <c r="V8" s="39" t="str">
        <f>IF(Schema!Y8&gt;0,Schema!Y8,"")</f>
        <v>Förlust</v>
      </c>
      <c r="W8" s="39" t="str">
        <f>IF(Schema!Z8&gt;0,Schema!Z8,"")</f>
        <v>Förlust</v>
      </c>
      <c r="X8" s="39" t="str">
        <f>IF(Schema!AA8&gt;0,Schema!AA8,"")</f>
        <v>Förlust</v>
      </c>
      <c r="Y8" s="39" t="str">
        <f>IF(Schema!AB8&gt;0,Schema!AB8,"")</f>
        <v>Förlust</v>
      </c>
      <c r="Z8" s="39" t="str">
        <f>IF(Schema!AC8&gt;0,Schema!AC8,"")</f>
        <v>Förlust</v>
      </c>
      <c r="AA8" s="39" t="str">
        <f>IF(Schema!AF8&gt;0,Schema!AF8,"")</f>
        <v>Förlust</v>
      </c>
      <c r="AB8" s="39" t="str">
        <f>IF(Schema!AG8&gt;0,Schema!AG8,"")</f>
        <v>Förlust</v>
      </c>
      <c r="AC8" s="39" t="str">
        <f>IF(Schema!AH8&gt;0,Schema!AH8,"")</f>
        <v>Förlust</v>
      </c>
      <c r="AD8" s="39" t="str">
        <f>IF(Schema!AI8&gt;0,Schema!AI8,"")</f>
        <v>Förlust</v>
      </c>
    </row>
    <row r="9" spans="1:41" s="19" customFormat="1" ht="12.75" hidden="1">
      <c r="A9" s="18" t="str">
        <f>IF(Schema!A9&gt;0,Schema!A9,"")</f>
        <v>Match</v>
      </c>
      <c r="B9" s="19" t="str">
        <f>IF(Schema!C9&gt;0,Schema!C9,"")</f>
        <v>Starttid</v>
      </c>
      <c r="C9" s="26">
        <f>IF(Schema!D9&gt;0,Schema!D9,"")</f>
      </c>
      <c r="D9" s="19" t="str">
        <f>IF(Schema!E9&gt;0,Schema!E9,"")</f>
        <v>Sluttid</v>
      </c>
      <c r="E9" s="19">
        <f>IF(Schema!F9&gt;0,Schema!F9,"")</f>
      </c>
      <c r="F9" s="19">
        <f>IF(Schema!G9&gt;0,Schema!G9,"")</f>
      </c>
      <c r="G9" s="19">
        <f>IF(Schema!H9&gt;0,Schema!H9,"")</f>
      </c>
      <c r="H9" s="31" t="str">
        <f>IF(Schema!I9&gt;0,Schema!I9,"")</f>
        <v>Resultat</v>
      </c>
      <c r="I9" s="31" t="e">
        <f>IF(#REF!&gt;0,#REF!,"")</f>
        <v>#REF!</v>
      </c>
      <c r="J9" s="31" t="e">
        <f>IF(#REF!&gt;0,#REF!,"")</f>
        <v>#REF!</v>
      </c>
      <c r="K9" s="31" t="str">
        <f>IF(Schema!L9&gt;0,Schema!L9,"")</f>
        <v>Spelad</v>
      </c>
      <c r="L9" s="31" t="str">
        <f>IF(Schema!M9&gt;0,Schema!M9,"")</f>
        <v>Svalövs BK 2</v>
      </c>
      <c r="M9" s="31" t="str">
        <f>IF(Schema!N9&gt;0,Schema!N9,"")</f>
        <v>Kågeröds BoIF</v>
      </c>
      <c r="N9" s="31" t="str">
        <f>IF(Schema!O9&gt;0,Schema!O9,"")</f>
        <v>Ekeby GIF</v>
      </c>
      <c r="O9" s="31" t="str">
        <f>IF(Schema!P9&gt;0,Schema!P9,"")</f>
        <v>Marieholms IS</v>
      </c>
      <c r="P9" s="31" t="str">
        <f>IF(Schema!Q9&gt;0,Schema!Q9,"")</f>
        <v>Teckomatorps SK</v>
      </c>
      <c r="Q9" s="31" t="str">
        <f>IF(Schema!T9&gt;0,Schema!T9,"")</f>
        <v>Svalövs BK 1</v>
      </c>
      <c r="R9" s="31" t="str">
        <f>IF(Schema!U9&gt;0,Schema!U9,"")</f>
        <v>Billeberga GIF</v>
      </c>
      <c r="S9" s="31" t="str">
        <f>IF(Schema!V9&gt;0,Schema!V9,"")</f>
        <v>Gantofta IF</v>
      </c>
      <c r="T9" s="31" t="str">
        <f>IF(Schema!W9&gt;0,Schema!W9,"")</f>
        <v>IK Wormo</v>
      </c>
      <c r="U9" s="31" t="str">
        <f>IF(Schema!X9&gt;0,Schema!X9,"")</f>
        <v>Eskilsminne IF</v>
      </c>
      <c r="V9" s="31" t="str">
        <f>IF(Schema!Y9&gt;0,Schema!Y9,"")</f>
        <v>Svalövs BK 2</v>
      </c>
      <c r="W9" s="31" t="str">
        <f>IF(Schema!Z9&gt;0,Schema!Z9,"")</f>
        <v>Kågeröds BoIF</v>
      </c>
      <c r="X9" s="31" t="str">
        <f>IF(Schema!AA9&gt;0,Schema!AA9,"")</f>
        <v>Ekeby GIF</v>
      </c>
      <c r="Y9" s="31" t="str">
        <f>IF(Schema!AB9&gt;0,Schema!AB9,"")</f>
        <v>Marieholms IS</v>
      </c>
      <c r="Z9" s="31" t="str">
        <f>IF(Schema!AC9&gt;0,Schema!AC9,"")</f>
        <v>Teckomatorps SK</v>
      </c>
      <c r="AA9" s="31" t="str">
        <f>IF(Schema!AF9&gt;0,Schema!AF9,"")</f>
        <v>Svalövs BK 1</v>
      </c>
      <c r="AB9" s="31" t="str">
        <f>IF(Schema!AG9&gt;0,Schema!AG9,"")</f>
        <v>Billeberga GIF</v>
      </c>
      <c r="AC9" s="31" t="str">
        <f>IF(Schema!AH9&gt;0,Schema!AH9,"")</f>
        <v>Gantofta IF</v>
      </c>
      <c r="AD9" s="31" t="str">
        <f>IF(Schema!AI9&gt;0,Schema!AI9,"")</f>
        <v>IK Wormo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55" ht="12.75" hidden="1">
      <c r="A10" s="40">
        <f>IF((OR(Schema!F11="vakant",Schema!H11="vakant")),Schema!A12,Schema!A11)</f>
        <v>1</v>
      </c>
      <c r="B10" s="42">
        <f>IF(A10&gt;0,(VLOOKUP(A10,Tider!$A$3:$C$26,2,FALSE)),"")</f>
        <v>0.3333333333333333</v>
      </c>
      <c r="C10" s="21" t="str">
        <f>+IF(Schema!D11&gt;0,Schema!D11,"")</f>
        <v>-</v>
      </c>
      <c r="D10" s="42">
        <f>+VLOOKUP(A10,Tider!$A$3:$C$26,3,FALSE)</f>
        <v>0.3416666666666667</v>
      </c>
      <c r="E10" s="20" t="str">
        <f>IF(OR(Schema!F11="vakant",Schema!H11="vakant"),Schema!F12,Schema!F11)</f>
        <v>Svalövs BK 2</v>
      </c>
      <c r="F10" s="21" t="str">
        <f>+IF(Schema!G11&gt;0,Schema!G11,"")</f>
        <v>-</v>
      </c>
      <c r="G10" s="20" t="str">
        <f>IF(OR(Schema!H11="vakant",Schema!F11="vakant"),Schema!H12,Schema!H11)</f>
        <v>Kågeröds BoIF</v>
      </c>
      <c r="H10" s="21">
        <f>+IF(Schema!I11&gt;0,Schema!I11,"")</f>
      </c>
      <c r="I10" s="21" t="str">
        <f>+IF(Schema!J11&gt;0,Schema!J11,"")</f>
        <v>-</v>
      </c>
      <c r="J10" s="21">
        <f>+IF(Schema!K11&gt;0,Schema!K11,"")</f>
      </c>
      <c r="K10" s="21">
        <f>+IF(Schema!L11&gt;0,Schema!L11,"")</f>
      </c>
      <c r="L10" s="39">
        <f>IF(Schema!M11&gt;0,Schema!M11,"")</f>
      </c>
      <c r="M10" s="39">
        <f>IF(Schema!N11&gt;0,Schema!N11,"")</f>
      </c>
      <c r="N10" s="39">
        <f>IF(Schema!O11&gt;0,Schema!O11,"")</f>
      </c>
      <c r="O10" s="39">
        <f>IF(Schema!P11&gt;0,Schema!P11,"")</f>
      </c>
      <c r="P10" s="39">
        <f>IF(Schema!Q11&gt;0,Schema!Q11,"")</f>
      </c>
      <c r="Q10" s="39">
        <f>IF(Schema!T11&gt;0,Schema!T11,"")</f>
      </c>
      <c r="R10" s="39">
        <f>IF(Schema!U11&gt;0,Schema!U11,"")</f>
      </c>
      <c r="S10" s="39">
        <f>IF(Schema!V11&gt;0,Schema!V11,"")</f>
      </c>
      <c r="T10" s="39">
        <f>IF(Schema!W11&gt;0,Schema!W11,"")</f>
      </c>
      <c r="U10" s="39">
        <f>IF(Schema!X11&gt;0,Schema!X11,"")</f>
      </c>
      <c r="V10" s="39">
        <f>IF(Schema!Y11&gt;0,Schema!Y11,"")</f>
      </c>
      <c r="W10" s="39">
        <f>IF(Schema!Z11&gt;0,Schema!Z11,"")</f>
      </c>
      <c r="X10" s="39">
        <f>IF(Schema!AA11&gt;0,Schema!AA11,"")</f>
      </c>
      <c r="Y10" s="39">
        <f>IF(Schema!AB11&gt;0,Schema!AB11,"")</f>
      </c>
      <c r="Z10" s="39">
        <f>IF(Schema!AC11&gt;0,Schema!AC11,"")</f>
      </c>
      <c r="AA10" s="39">
        <f>IF(Schema!AF11&gt;0,Schema!AF11,"")</f>
      </c>
      <c r="AB10" s="39">
        <f>IF(Schema!AG11&gt;0,Schema!AG11,"")</f>
      </c>
      <c r="AC10" s="39">
        <f>IF(Schema!AH11&gt;0,Schema!AH11,"")</f>
      </c>
      <c r="AD10" s="39">
        <f>IF(Schema!AI11&gt;0,Schema!AI11,"")</f>
      </c>
      <c r="AE10" s="39">
        <f>+IF(A10=A9,A11,A10)</f>
        <v>1</v>
      </c>
      <c r="AF10" s="39">
        <f aca="true" t="shared" si="0" ref="AF10:AX10">+IF(AE10=AE9,AE11,AE10)</f>
        <v>1</v>
      </c>
      <c r="AG10" s="39">
        <f t="shared" si="0"/>
        <v>1</v>
      </c>
      <c r="AH10" s="39">
        <f t="shared" si="0"/>
        <v>1</v>
      </c>
      <c r="AI10" s="39">
        <f t="shared" si="0"/>
        <v>1</v>
      </c>
      <c r="AJ10" s="39">
        <f t="shared" si="0"/>
        <v>1</v>
      </c>
      <c r="AK10" s="39">
        <f t="shared" si="0"/>
        <v>1</v>
      </c>
      <c r="AL10" s="39">
        <f t="shared" si="0"/>
        <v>1</v>
      </c>
      <c r="AM10" s="39">
        <f t="shared" si="0"/>
        <v>1</v>
      </c>
      <c r="AN10" s="39">
        <f t="shared" si="0"/>
        <v>1</v>
      </c>
      <c r="AO10" s="39">
        <f t="shared" si="0"/>
        <v>1</v>
      </c>
      <c r="AP10" s="39">
        <f t="shared" si="0"/>
        <v>1</v>
      </c>
      <c r="AQ10" s="39">
        <f t="shared" si="0"/>
        <v>1</v>
      </c>
      <c r="AR10" s="39">
        <f t="shared" si="0"/>
        <v>1</v>
      </c>
      <c r="AS10" s="39">
        <f t="shared" si="0"/>
        <v>1</v>
      </c>
      <c r="AT10" s="39">
        <f t="shared" si="0"/>
        <v>1</v>
      </c>
      <c r="AU10" s="39">
        <f t="shared" si="0"/>
        <v>1</v>
      </c>
      <c r="AV10" s="39">
        <f t="shared" si="0"/>
        <v>1</v>
      </c>
      <c r="AW10" s="39">
        <f t="shared" si="0"/>
        <v>1</v>
      </c>
      <c r="AX10" s="39">
        <f t="shared" si="0"/>
        <v>1</v>
      </c>
      <c r="AY10" s="39">
        <f>+IF(AX10=AX9,AX11,AX10)</f>
        <v>1</v>
      </c>
      <c r="AZ10" s="39">
        <f>+IF(AY10=AY9,AY11,AY10)</f>
        <v>1</v>
      </c>
      <c r="BA10" s="39">
        <f>+IF(AZ10=AZ9,AZ11,AZ10)</f>
        <v>1</v>
      </c>
      <c r="BB10" s="39">
        <f>+IF(BA10=BA9,BA11,BA10)</f>
        <v>1</v>
      </c>
      <c r="BC10" s="39">
        <f>+IF(BB10=BB9,BB11,BB10)</f>
        <v>1</v>
      </c>
    </row>
    <row r="11" spans="1:55" ht="12.75" hidden="1">
      <c r="A11" s="40">
        <f>IF((OR(Schema!F12="vakant",Schema!H12="vakant")),Schema!A13,Schema!A12)</f>
        <v>2</v>
      </c>
      <c r="B11" s="42">
        <f>IF(A11&gt;0,(VLOOKUP(A11,Tider!$A$3:$C$26,2,FALSE)),"")</f>
        <v>0.3423611111111111</v>
      </c>
      <c r="C11" s="21" t="str">
        <f>+IF(Schema!D12&gt;0,Schema!D12,"")</f>
        <v>-</v>
      </c>
      <c r="D11" s="42">
        <f>+VLOOKUP(A11,Tider!$A$3:$C$26,3,FALSE)</f>
        <v>0.3506944444444445</v>
      </c>
      <c r="E11" s="20" t="str">
        <f>IF(OR(Schema!F12="vakant",Schema!H12="vakant"),Schema!F13,Schema!F12)</f>
        <v>Ekeby GIF</v>
      </c>
      <c r="F11" s="21" t="str">
        <f>+IF(Schema!G12&gt;0,Schema!G12,"")</f>
        <v>-</v>
      </c>
      <c r="G11" s="20" t="str">
        <f>IF(OR(Schema!H12="vakant",Schema!F12="vakant"),Schema!H13,Schema!H12)</f>
        <v>Marieholms IS</v>
      </c>
      <c r="H11" s="21">
        <f>+IF(Schema!I12&gt;0,Schema!I12,"")</f>
      </c>
      <c r="I11" s="21" t="str">
        <f>+IF(Schema!J12&gt;0,Schema!J12,"")</f>
        <v>-</v>
      </c>
      <c r="J11" s="21">
        <f>+IF(Schema!K12&gt;0,Schema!K12,"")</f>
      </c>
      <c r="K11" s="21">
        <f>+IF(Schema!L12&gt;0,Schema!L12,"")</f>
      </c>
      <c r="L11" s="39">
        <f>IF(Schema!M12&gt;0,Schema!M12,"")</f>
      </c>
      <c r="M11" s="39">
        <f>IF(Schema!N12&gt;0,Schema!N12,"")</f>
      </c>
      <c r="N11" s="39">
        <f>IF(Schema!O12&gt;0,Schema!O12,"")</f>
      </c>
      <c r="O11" s="39">
        <f>IF(Schema!P12&gt;0,Schema!P12,"")</f>
      </c>
      <c r="P11" s="39">
        <f>IF(Schema!Q12&gt;0,Schema!Q12,"")</f>
      </c>
      <c r="Q11" s="39">
        <f>IF(Schema!T12&gt;0,Schema!T12,"")</f>
      </c>
      <c r="R11" s="39">
        <f>IF(Schema!U12&gt;0,Schema!U12,"")</f>
      </c>
      <c r="S11" s="39">
        <f>IF(Schema!V12&gt;0,Schema!V12,"")</f>
      </c>
      <c r="T11" s="39">
        <f>IF(Schema!W12&gt;0,Schema!W12,"")</f>
      </c>
      <c r="U11" s="39">
        <f>IF(Schema!X12&gt;0,Schema!X12,"")</f>
      </c>
      <c r="V11" s="39">
        <f>IF(Schema!Y12&gt;0,Schema!Y12,"")</f>
      </c>
      <c r="W11" s="39">
        <f>IF(Schema!Z12&gt;0,Schema!Z12,"")</f>
      </c>
      <c r="X11" s="39">
        <f>IF(Schema!AA12&gt;0,Schema!AA12,"")</f>
      </c>
      <c r="Y11" s="39">
        <f>IF(Schema!AB12&gt;0,Schema!AB12,"")</f>
      </c>
      <c r="Z11" s="39">
        <f>IF(Schema!AC12&gt;0,Schema!AC12,"")</f>
      </c>
      <c r="AA11" s="39">
        <f>IF(Schema!AF12&gt;0,Schema!AF12,"")</f>
      </c>
      <c r="AB11" s="39">
        <f>IF(Schema!AG12&gt;0,Schema!AG12,"")</f>
      </c>
      <c r="AC11" s="39">
        <f>IF(Schema!AH12&gt;0,Schema!AH12,"")</f>
      </c>
      <c r="AD11" s="39">
        <f>IF(Schema!AI12&gt;0,Schema!AI12,"")</f>
      </c>
      <c r="AE11" s="39">
        <f aca="true" t="shared" si="1" ref="AE11:AE45">+IF(A11=A10,A12,A11)</f>
        <v>2</v>
      </c>
      <c r="AF11" s="39">
        <f aca="true" t="shared" si="2" ref="AF11:AF45">+IF(AE11=AE10,AE12,AE11)</f>
        <v>2</v>
      </c>
      <c r="AG11" s="39">
        <f aca="true" t="shared" si="3" ref="AG11:AG45">+IF(AF11=AF10,AF12,AF11)</f>
        <v>2</v>
      </c>
      <c r="AH11" s="39">
        <f aca="true" t="shared" si="4" ref="AH11:AH45">+IF(AG11=AG10,AG12,AG11)</f>
        <v>2</v>
      </c>
      <c r="AI11" s="39">
        <f aca="true" t="shared" si="5" ref="AI11:AI45">+IF(AH11=AH10,AH12,AH11)</f>
        <v>2</v>
      </c>
      <c r="AJ11" s="39">
        <f aca="true" t="shared" si="6" ref="AJ11:AJ45">+IF(AI11=AI10,AI12,AI11)</f>
        <v>2</v>
      </c>
      <c r="AK11" s="39">
        <f aca="true" t="shared" si="7" ref="AK11:AK45">+IF(AJ11=AJ10,AJ12,AJ11)</f>
        <v>2</v>
      </c>
      <c r="AL11" s="39">
        <f aca="true" t="shared" si="8" ref="AL11:AL45">+IF(AK11=AK10,AK12,AK11)</f>
        <v>2</v>
      </c>
      <c r="AM11" s="39">
        <f aca="true" t="shared" si="9" ref="AM11:AM45">+IF(AL11=AL10,AL12,AL11)</f>
        <v>2</v>
      </c>
      <c r="AN11" s="39">
        <f aca="true" t="shared" si="10" ref="AN11:AN45">+IF(AM11=AM10,AM12,AM11)</f>
        <v>2</v>
      </c>
      <c r="AO11" s="39">
        <f aca="true" t="shared" si="11" ref="AO11:AO45">+IF(AN11=AN10,AN12,AN11)</f>
        <v>2</v>
      </c>
      <c r="AP11" s="39">
        <f aca="true" t="shared" si="12" ref="AP11:AP45">+IF(AO11=AO10,AO12,AO11)</f>
        <v>2</v>
      </c>
      <c r="AQ11" s="39">
        <f aca="true" t="shared" si="13" ref="AQ11:AQ45">+IF(AP11=AP10,AP12,AP11)</f>
        <v>2</v>
      </c>
      <c r="AR11" s="39">
        <f aca="true" t="shared" si="14" ref="AR11:AR45">+IF(AQ11=AQ10,AQ12,AQ11)</f>
        <v>2</v>
      </c>
      <c r="AS11" s="39">
        <f aca="true" t="shared" si="15" ref="AS11:AS45">+IF(AR11=AR10,AR12,AR11)</f>
        <v>2</v>
      </c>
      <c r="AT11" s="39">
        <f aca="true" t="shared" si="16" ref="AT11:AT45">+IF(AS11=AS10,AS12,AS11)</f>
        <v>2</v>
      </c>
      <c r="AU11" s="39">
        <f aca="true" t="shared" si="17" ref="AU11:AU45">+IF(AT11=AT10,AT12,AT11)</f>
        <v>2</v>
      </c>
      <c r="AV11" s="39">
        <f aca="true" t="shared" si="18" ref="AV11:AV45">+IF(AU11=AU10,AU12,AU11)</f>
        <v>2</v>
      </c>
      <c r="AW11" s="39">
        <f aca="true" t="shared" si="19" ref="AW11:AW45">+IF(AV11=AV10,AV12,AV11)</f>
        <v>2</v>
      </c>
      <c r="AX11" s="39">
        <f aca="true" t="shared" si="20" ref="AX11:AX45">+IF(AW11=AW10,AW12,AW11)</f>
        <v>2</v>
      </c>
      <c r="AY11" s="39">
        <f aca="true" t="shared" si="21" ref="AY11:AY45">+IF(AX11=AX10,AX12,AX11)</f>
        <v>2</v>
      </c>
      <c r="AZ11" s="39">
        <f aca="true" t="shared" si="22" ref="AZ11:AZ45">+IF(AY11=AY10,AY12,AY11)</f>
        <v>2</v>
      </c>
      <c r="BA11" s="39">
        <f aca="true" t="shared" si="23" ref="BA11:BA45">+IF(AZ11=AZ10,AZ12,AZ11)</f>
        <v>2</v>
      </c>
      <c r="BB11" s="39">
        <f aca="true" t="shared" si="24" ref="BB11:BB45">+IF(BA11=BA10,BA12,BA11)</f>
        <v>2</v>
      </c>
      <c r="BC11" s="39">
        <f aca="true" t="shared" si="25" ref="BC11:BC45">+IF(BB11=BB10,BB12,BB11)</f>
        <v>2</v>
      </c>
    </row>
    <row r="12" spans="1:55" ht="12.75" hidden="1">
      <c r="A12" s="40">
        <f>IF((OR(Schema!F13="vakant",Schema!H13="vakant")),Schema!A14,Schema!A13)</f>
        <v>3</v>
      </c>
      <c r="B12" s="42">
        <f>IF(A12&gt;0,(VLOOKUP(A12,Tider!$A$3:$C$26,2,FALSE)),"")</f>
        <v>0.3513888888888889</v>
      </c>
      <c r="C12" s="21" t="str">
        <f>+IF(Schema!D13&gt;0,Schema!D13,"")</f>
        <v>-</v>
      </c>
      <c r="D12" s="42">
        <f>+VLOOKUP(A12,Tider!$A$3:$C$26,3,FALSE)</f>
        <v>0.3597222222222223</v>
      </c>
      <c r="E12" s="20" t="str">
        <f>IF(OR(Schema!F13="vakant",Schema!H13="vakant"),Schema!F14,Schema!F13)</f>
        <v>Svalövs BK 1</v>
      </c>
      <c r="F12" s="21" t="str">
        <f>+IF(Schema!G13&gt;0,Schema!G13,"")</f>
        <v>-</v>
      </c>
      <c r="G12" s="20" t="str">
        <f>IF(OR(Schema!H13="vakant",Schema!F13="vakant"),Schema!H14,Schema!H13)</f>
        <v>Billeberga GIF</v>
      </c>
      <c r="H12" s="21">
        <f>+IF(Schema!I13&gt;0,Schema!I13,"")</f>
      </c>
      <c r="I12" s="21" t="str">
        <f>+IF(Schema!J13&gt;0,Schema!J13,"")</f>
        <v>-</v>
      </c>
      <c r="J12" s="21">
        <f>+IF(Schema!K13&gt;0,Schema!K13,"")</f>
      </c>
      <c r="K12" s="21">
        <f>+IF(Schema!L13&gt;0,Schema!L13,"")</f>
      </c>
      <c r="L12" s="39">
        <f>IF(Schema!M13&gt;0,Schema!M13,"")</f>
      </c>
      <c r="M12" s="39">
        <f>IF(Schema!N13&gt;0,Schema!N13,"")</f>
      </c>
      <c r="N12" s="39">
        <f>IF(Schema!O13&gt;0,Schema!O13,"")</f>
      </c>
      <c r="O12" s="39">
        <f>IF(Schema!P13&gt;0,Schema!P13,"")</f>
      </c>
      <c r="P12" s="39">
        <f>IF(Schema!Q13&gt;0,Schema!Q13,"")</f>
      </c>
      <c r="Q12" s="39">
        <f>IF(Schema!T13&gt;0,Schema!T13,"")</f>
      </c>
      <c r="R12" s="39">
        <f>IF(Schema!U13&gt;0,Schema!U13,"")</f>
      </c>
      <c r="S12" s="39">
        <f>IF(Schema!V13&gt;0,Schema!V13,"")</f>
      </c>
      <c r="T12" s="39">
        <f>IF(Schema!W13&gt;0,Schema!W13,"")</f>
      </c>
      <c r="U12" s="39">
        <f>IF(Schema!X13&gt;0,Schema!X13,"")</f>
      </c>
      <c r="V12" s="39">
        <f>IF(Schema!Y13&gt;0,Schema!Y13,"")</f>
      </c>
      <c r="W12" s="39">
        <f>IF(Schema!Z13&gt;0,Schema!Z13,"")</f>
      </c>
      <c r="X12" s="39">
        <f>IF(Schema!AA13&gt;0,Schema!AA13,"")</f>
      </c>
      <c r="Y12" s="39">
        <f>IF(Schema!AB13&gt;0,Schema!AB13,"")</f>
      </c>
      <c r="Z12" s="39">
        <f>IF(Schema!AC13&gt;0,Schema!AC13,"")</f>
      </c>
      <c r="AA12" s="39">
        <f>IF(Schema!AF13&gt;0,Schema!AF13,"")</f>
      </c>
      <c r="AB12" s="39">
        <f>IF(Schema!AG13&gt;0,Schema!AG13,"")</f>
      </c>
      <c r="AC12" s="39">
        <f>IF(Schema!AH13&gt;0,Schema!AH13,"")</f>
      </c>
      <c r="AD12" s="39">
        <f>IF(Schema!AI13&gt;0,Schema!AI13,"")</f>
      </c>
      <c r="AE12" s="39">
        <f t="shared" si="1"/>
        <v>3</v>
      </c>
      <c r="AF12" s="39">
        <f t="shared" si="2"/>
        <v>3</v>
      </c>
      <c r="AG12" s="39">
        <f t="shared" si="3"/>
        <v>3</v>
      </c>
      <c r="AH12" s="39">
        <f t="shared" si="4"/>
        <v>3</v>
      </c>
      <c r="AI12" s="39">
        <f t="shared" si="5"/>
        <v>3</v>
      </c>
      <c r="AJ12" s="39">
        <f t="shared" si="6"/>
        <v>3</v>
      </c>
      <c r="AK12" s="39">
        <f t="shared" si="7"/>
        <v>3</v>
      </c>
      <c r="AL12" s="39">
        <f t="shared" si="8"/>
        <v>3</v>
      </c>
      <c r="AM12" s="39">
        <f t="shared" si="9"/>
        <v>3</v>
      </c>
      <c r="AN12" s="39">
        <f t="shared" si="10"/>
        <v>3</v>
      </c>
      <c r="AO12" s="39">
        <f t="shared" si="11"/>
        <v>3</v>
      </c>
      <c r="AP12" s="39">
        <f t="shared" si="12"/>
        <v>3</v>
      </c>
      <c r="AQ12" s="39">
        <f t="shared" si="13"/>
        <v>3</v>
      </c>
      <c r="AR12" s="39">
        <f t="shared" si="14"/>
        <v>3</v>
      </c>
      <c r="AS12" s="39">
        <f t="shared" si="15"/>
        <v>3</v>
      </c>
      <c r="AT12" s="39">
        <f t="shared" si="16"/>
        <v>3</v>
      </c>
      <c r="AU12" s="39">
        <f t="shared" si="17"/>
        <v>3</v>
      </c>
      <c r="AV12" s="39">
        <f t="shared" si="18"/>
        <v>3</v>
      </c>
      <c r="AW12" s="39">
        <f t="shared" si="19"/>
        <v>3</v>
      </c>
      <c r="AX12" s="39">
        <f t="shared" si="20"/>
        <v>3</v>
      </c>
      <c r="AY12" s="39">
        <f t="shared" si="21"/>
        <v>3</v>
      </c>
      <c r="AZ12" s="39">
        <f t="shared" si="22"/>
        <v>3</v>
      </c>
      <c r="BA12" s="39">
        <f t="shared" si="23"/>
        <v>3</v>
      </c>
      <c r="BB12" s="39">
        <f t="shared" si="24"/>
        <v>3</v>
      </c>
      <c r="BC12" s="39">
        <f t="shared" si="25"/>
        <v>3</v>
      </c>
    </row>
    <row r="13" spans="1:55" ht="12.75" hidden="1">
      <c r="A13" s="40">
        <f>IF((OR(Schema!F14="vakant",Schema!H14="vakant")),Schema!A15,Schema!A14)</f>
        <v>4</v>
      </c>
      <c r="B13" s="42">
        <f>IF(A13&gt;0,(VLOOKUP(A13,Tider!$A$3:$C$26,2,FALSE)),"")</f>
        <v>0.3604166666666667</v>
      </c>
      <c r="C13" s="21" t="str">
        <f>+IF(Schema!D14&gt;0,Schema!D14,"")</f>
        <v>-</v>
      </c>
      <c r="D13" s="42">
        <f>+VLOOKUP(A13,Tider!$A$3:$C$26,3,FALSE)</f>
        <v>0.3687500000000001</v>
      </c>
      <c r="E13" s="20" t="str">
        <f>IF(OR(Schema!F14="vakant",Schema!H14="vakant"),Schema!F15,Schema!F14)</f>
        <v>Gantofta IF</v>
      </c>
      <c r="F13" s="21" t="str">
        <f>+IF(Schema!G14&gt;0,Schema!G14,"")</f>
        <v>-</v>
      </c>
      <c r="G13" s="20" t="str">
        <f>IF(OR(Schema!H14="vakant",Schema!F14="vakant"),Schema!H15,Schema!H14)</f>
        <v>IK Wormo</v>
      </c>
      <c r="H13" s="21">
        <f>+IF(Schema!I14&gt;0,Schema!I14,"")</f>
      </c>
      <c r="I13" s="21" t="str">
        <f>+IF(Schema!J14&gt;0,Schema!J14,"")</f>
        <v>-</v>
      </c>
      <c r="J13" s="21">
        <f>+IF(Schema!K14&gt;0,Schema!K14,"")</f>
      </c>
      <c r="K13" s="21">
        <f>+IF(Schema!L14&gt;0,Schema!L14,"")</f>
      </c>
      <c r="L13" s="39">
        <f>IF(Schema!M14&gt;0,Schema!M14,"")</f>
      </c>
      <c r="M13" s="39">
        <f>IF(Schema!N14&gt;0,Schema!N14,"")</f>
      </c>
      <c r="N13" s="39">
        <f>IF(Schema!O14&gt;0,Schema!O14,"")</f>
      </c>
      <c r="O13" s="39">
        <f>IF(Schema!P14&gt;0,Schema!P14,"")</f>
      </c>
      <c r="P13" s="39">
        <f>IF(Schema!Q14&gt;0,Schema!Q14,"")</f>
      </c>
      <c r="Q13" s="39">
        <f>IF(Schema!T14&gt;0,Schema!T14,"")</f>
      </c>
      <c r="R13" s="39">
        <f>IF(Schema!U14&gt;0,Schema!U14,"")</f>
      </c>
      <c r="S13" s="39">
        <f>IF(Schema!V14&gt;0,Schema!V14,"")</f>
      </c>
      <c r="T13" s="39">
        <f>IF(Schema!W14&gt;0,Schema!W14,"")</f>
      </c>
      <c r="U13" s="39">
        <f>IF(Schema!X14&gt;0,Schema!X14,"")</f>
      </c>
      <c r="V13" s="39">
        <f>IF(Schema!Y14&gt;0,Schema!Y14,"")</f>
      </c>
      <c r="W13" s="39">
        <f>IF(Schema!Z14&gt;0,Schema!Z14,"")</f>
      </c>
      <c r="X13" s="39">
        <f>IF(Schema!AA14&gt;0,Schema!AA14,"")</f>
      </c>
      <c r="Y13" s="39">
        <f>IF(Schema!AB14&gt;0,Schema!AB14,"")</f>
      </c>
      <c r="Z13" s="39">
        <f>IF(Schema!AC14&gt;0,Schema!AC14,"")</f>
      </c>
      <c r="AA13" s="39">
        <f>IF(Schema!AF14&gt;0,Schema!AF14,"")</f>
      </c>
      <c r="AB13" s="39">
        <f>IF(Schema!AG14&gt;0,Schema!AG14,"")</f>
      </c>
      <c r="AC13" s="39">
        <f>IF(Schema!AH14&gt;0,Schema!AH14,"")</f>
      </c>
      <c r="AD13" s="39">
        <f>IF(Schema!AI14&gt;0,Schema!AI14,"")</f>
      </c>
      <c r="AE13" s="39">
        <f t="shared" si="1"/>
        <v>4</v>
      </c>
      <c r="AF13" s="39">
        <f t="shared" si="2"/>
        <v>4</v>
      </c>
      <c r="AG13" s="39">
        <f t="shared" si="3"/>
        <v>4</v>
      </c>
      <c r="AH13" s="39">
        <f t="shared" si="4"/>
        <v>4</v>
      </c>
      <c r="AI13" s="39">
        <f t="shared" si="5"/>
        <v>4</v>
      </c>
      <c r="AJ13" s="39">
        <f t="shared" si="6"/>
        <v>4</v>
      </c>
      <c r="AK13" s="39">
        <f t="shared" si="7"/>
        <v>4</v>
      </c>
      <c r="AL13" s="39">
        <f t="shared" si="8"/>
        <v>4</v>
      </c>
      <c r="AM13" s="39">
        <f t="shared" si="9"/>
        <v>4</v>
      </c>
      <c r="AN13" s="39">
        <f t="shared" si="10"/>
        <v>4</v>
      </c>
      <c r="AO13" s="39">
        <f t="shared" si="11"/>
        <v>4</v>
      </c>
      <c r="AP13" s="39">
        <f t="shared" si="12"/>
        <v>4</v>
      </c>
      <c r="AQ13" s="39">
        <f t="shared" si="13"/>
        <v>4</v>
      </c>
      <c r="AR13" s="39">
        <f t="shared" si="14"/>
        <v>4</v>
      </c>
      <c r="AS13" s="39">
        <f t="shared" si="15"/>
        <v>4</v>
      </c>
      <c r="AT13" s="39">
        <f t="shared" si="16"/>
        <v>4</v>
      </c>
      <c r="AU13" s="39">
        <f t="shared" si="17"/>
        <v>4</v>
      </c>
      <c r="AV13" s="39">
        <f t="shared" si="18"/>
        <v>4</v>
      </c>
      <c r="AW13" s="39">
        <f t="shared" si="19"/>
        <v>4</v>
      </c>
      <c r="AX13" s="39">
        <f t="shared" si="20"/>
        <v>4</v>
      </c>
      <c r="AY13" s="39">
        <f t="shared" si="21"/>
        <v>4</v>
      </c>
      <c r="AZ13" s="39">
        <f t="shared" si="22"/>
        <v>4</v>
      </c>
      <c r="BA13" s="39">
        <f t="shared" si="23"/>
        <v>4</v>
      </c>
      <c r="BB13" s="39">
        <f t="shared" si="24"/>
        <v>4</v>
      </c>
      <c r="BC13" s="39">
        <f t="shared" si="25"/>
        <v>4</v>
      </c>
    </row>
    <row r="14" spans="1:55" ht="12.75" hidden="1">
      <c r="A14" s="40">
        <f>IF((OR(Schema!F15="vakant",Schema!H15="vakant")),Schema!A16,Schema!A15)</f>
        <v>0</v>
      </c>
      <c r="B14" s="42">
        <f>IF(A14&gt;0,(VLOOKUP(A14,Tider!$A$3:$C$26,2,FALSE)),"")</f>
      </c>
      <c r="C14" s="21">
        <f>+IF(Schema!D15&gt;0,Schema!D15,"")</f>
      </c>
      <c r="D14" s="42" t="e">
        <f>+VLOOKUP(A14,Tider!$A$3:$C$26,3,FALSE)</f>
        <v>#N/A</v>
      </c>
      <c r="E14" s="20">
        <f>IF(OR(Schema!F15="vakant",Schema!H15="vakant"),Schema!F16,Schema!F15)</f>
        <v>0</v>
      </c>
      <c r="F14" s="21">
        <f>+IF(Schema!G15&gt;0,Schema!G15,"")</f>
      </c>
      <c r="G14" s="20">
        <f>IF(OR(Schema!H15="vakant",Schema!F15="vakant"),Schema!H16,Schema!H15)</f>
        <v>0</v>
      </c>
      <c r="H14" s="21">
        <f>+IF(Schema!I15&gt;0,Schema!I15,"")</f>
      </c>
      <c r="I14" s="21">
        <f>+IF(Schema!J15&gt;0,Schema!J15,"")</f>
      </c>
      <c r="J14" s="21">
        <f>+IF(Schema!K15&gt;0,Schema!K15,"")</f>
      </c>
      <c r="K14" s="21">
        <f>+IF(Schema!L15&gt;0,Schema!L15,"")</f>
      </c>
      <c r="L14" s="39">
        <f>IF(Schema!M15&gt;0,Schema!M15,"")</f>
      </c>
      <c r="M14" s="39">
        <f>IF(Schema!N15&gt;0,Schema!N15,"")</f>
      </c>
      <c r="N14" s="39">
        <f>IF(Schema!O15&gt;0,Schema!O15,"")</f>
      </c>
      <c r="O14" s="39">
        <f>IF(Schema!P15&gt;0,Schema!P15,"")</f>
      </c>
      <c r="P14" s="39">
        <f>IF(Schema!Q15&gt;0,Schema!Q15,"")</f>
      </c>
      <c r="Q14" s="39">
        <f>IF(Schema!T15&gt;0,Schema!T15,"")</f>
      </c>
      <c r="R14" s="39">
        <f>IF(Schema!U15&gt;0,Schema!U15,"")</f>
      </c>
      <c r="S14" s="39">
        <f>IF(Schema!V15&gt;0,Schema!V15,"")</f>
      </c>
      <c r="T14" s="39">
        <f>IF(Schema!W15&gt;0,Schema!W15,"")</f>
      </c>
      <c r="U14" s="39">
        <f>IF(Schema!X15&gt;0,Schema!X15,"")</f>
      </c>
      <c r="V14" s="39">
        <f>IF(Schema!Y15&gt;0,Schema!Y15,"")</f>
      </c>
      <c r="W14" s="39">
        <f>IF(Schema!Z15&gt;0,Schema!Z15,"")</f>
      </c>
      <c r="X14" s="39">
        <f>IF(Schema!AA15&gt;0,Schema!AA15,"")</f>
      </c>
      <c r="Y14" s="39">
        <f>IF(Schema!AB15&gt;0,Schema!AB15,"")</f>
      </c>
      <c r="Z14" s="39">
        <f>IF(Schema!AC15&gt;0,Schema!AC15,"")</f>
      </c>
      <c r="AA14" s="39">
        <f>IF(Schema!AF15&gt;0,Schema!AF15,"")</f>
      </c>
      <c r="AB14" s="39">
        <f>IF(Schema!AG15&gt;0,Schema!AG15,"")</f>
      </c>
      <c r="AC14" s="39">
        <f>IF(Schema!AH15&gt;0,Schema!AH15,"")</f>
      </c>
      <c r="AD14" s="39">
        <f>IF(Schema!AI15&gt;0,Schema!AI15,"")</f>
      </c>
      <c r="AE14" s="39">
        <f t="shared" si="1"/>
        <v>0</v>
      </c>
      <c r="AF14" s="39">
        <f t="shared" si="2"/>
        <v>0</v>
      </c>
      <c r="AG14" s="39">
        <f t="shared" si="3"/>
        <v>0</v>
      </c>
      <c r="AH14" s="39">
        <f t="shared" si="4"/>
        <v>0</v>
      </c>
      <c r="AI14" s="39">
        <f t="shared" si="5"/>
        <v>0</v>
      </c>
      <c r="AJ14" s="39">
        <f t="shared" si="6"/>
        <v>0</v>
      </c>
      <c r="AK14" s="39">
        <f t="shared" si="7"/>
        <v>0</v>
      </c>
      <c r="AL14" s="39">
        <f t="shared" si="8"/>
        <v>0</v>
      </c>
      <c r="AM14" s="39">
        <f t="shared" si="9"/>
        <v>0</v>
      </c>
      <c r="AN14" s="39">
        <f t="shared" si="10"/>
        <v>0</v>
      </c>
      <c r="AO14" s="39">
        <f t="shared" si="11"/>
        <v>0</v>
      </c>
      <c r="AP14" s="39">
        <f t="shared" si="12"/>
        <v>0</v>
      </c>
      <c r="AQ14" s="39">
        <f t="shared" si="13"/>
        <v>0</v>
      </c>
      <c r="AR14" s="39">
        <f t="shared" si="14"/>
        <v>0</v>
      </c>
      <c r="AS14" s="39">
        <f t="shared" si="15"/>
        <v>0</v>
      </c>
      <c r="AT14" s="39">
        <f t="shared" si="16"/>
        <v>0</v>
      </c>
      <c r="AU14" s="39">
        <f t="shared" si="17"/>
        <v>0</v>
      </c>
      <c r="AV14" s="39">
        <f t="shared" si="18"/>
        <v>0</v>
      </c>
      <c r="AW14" s="39">
        <f t="shared" si="19"/>
        <v>0</v>
      </c>
      <c r="AX14" s="39">
        <f t="shared" si="20"/>
        <v>0</v>
      </c>
      <c r="AY14" s="39">
        <f t="shared" si="21"/>
        <v>0</v>
      </c>
      <c r="AZ14" s="39">
        <f t="shared" si="22"/>
        <v>0</v>
      </c>
      <c r="BA14" s="39">
        <f t="shared" si="23"/>
        <v>0</v>
      </c>
      <c r="BB14" s="39">
        <f t="shared" si="24"/>
        <v>0</v>
      </c>
      <c r="BC14" s="39">
        <f t="shared" si="25"/>
        <v>0</v>
      </c>
    </row>
    <row r="15" spans="1:55" ht="12.75" hidden="1">
      <c r="A15" s="40">
        <f>IF((OR(Schema!F16="vakant",Schema!H16="vakant")),Schema!A17,Schema!A16)</f>
        <v>5</v>
      </c>
      <c r="B15" s="42">
        <f>IF(A15&gt;0,(VLOOKUP(A15,Tider!$A$3:$C$26,2,FALSE)),"")</f>
        <v>0.3694444444444445</v>
      </c>
      <c r="C15" s="21" t="str">
        <f>+IF(Schema!D16&gt;0,Schema!D16,"")</f>
        <v>-</v>
      </c>
      <c r="D15" s="42">
        <f>+VLOOKUP(A15,Tider!$A$3:$C$26,3,FALSE)</f>
        <v>0.3777777777777779</v>
      </c>
      <c r="E15" s="20" t="str">
        <f>IF(OR(Schema!F16="vakant",Schema!H16="vakant"),Schema!F17,Schema!F16)</f>
        <v>Teckomatorps SK</v>
      </c>
      <c r="F15" s="21" t="str">
        <f>+IF(Schema!G16&gt;0,Schema!G16,"")</f>
        <v>-</v>
      </c>
      <c r="G15" s="20" t="str">
        <f>IF(OR(Schema!H16="vakant",Schema!F16="vakant"),Schema!H17,Schema!H16)</f>
        <v>Svalövs BK 2</v>
      </c>
      <c r="H15" s="21">
        <f>+IF(Schema!I16&gt;0,Schema!I16,"")</f>
      </c>
      <c r="I15" s="21" t="str">
        <f>+IF(Schema!J16&gt;0,Schema!J16,"")</f>
        <v>-</v>
      </c>
      <c r="J15" s="21">
        <f>+IF(Schema!K16&gt;0,Schema!K16,"")</f>
      </c>
      <c r="K15" s="21">
        <f>+IF(Schema!L16&gt;0,Schema!L16,"")</f>
      </c>
      <c r="L15" s="39">
        <f>IF(Schema!M16&gt;0,Schema!M16,"")</f>
      </c>
      <c r="M15" s="39">
        <f>IF(Schema!N16&gt;0,Schema!N16,"")</f>
      </c>
      <c r="N15" s="39">
        <f>IF(Schema!O16&gt;0,Schema!O16,"")</f>
      </c>
      <c r="O15" s="39">
        <f>IF(Schema!P16&gt;0,Schema!P16,"")</f>
      </c>
      <c r="P15" s="39">
        <f>IF(Schema!Q16&gt;0,Schema!Q16,"")</f>
      </c>
      <c r="Q15" s="39">
        <f>IF(Schema!T16&gt;0,Schema!T16,"")</f>
      </c>
      <c r="R15" s="39">
        <f>IF(Schema!U16&gt;0,Schema!U16,"")</f>
      </c>
      <c r="S15" s="39">
        <f>IF(Schema!V16&gt;0,Schema!V16,"")</f>
      </c>
      <c r="T15" s="39">
        <f>IF(Schema!W16&gt;0,Schema!W16,"")</f>
      </c>
      <c r="U15" s="39">
        <f>IF(Schema!X16&gt;0,Schema!X16,"")</f>
      </c>
      <c r="V15" s="39">
        <f>IF(Schema!Y16&gt;0,Schema!Y16,"")</f>
      </c>
      <c r="W15" s="39">
        <f>IF(Schema!Z16&gt;0,Schema!Z16,"")</f>
      </c>
      <c r="X15" s="39">
        <f>IF(Schema!AA16&gt;0,Schema!AA16,"")</f>
      </c>
      <c r="Y15" s="39">
        <f>IF(Schema!AB16&gt;0,Schema!AB16,"")</f>
      </c>
      <c r="Z15" s="39">
        <f>IF(Schema!AC16&gt;0,Schema!AC16,"")</f>
      </c>
      <c r="AA15" s="39">
        <f>IF(Schema!AF16&gt;0,Schema!AF16,"")</f>
      </c>
      <c r="AB15" s="39">
        <f>IF(Schema!AG16&gt;0,Schema!AG16,"")</f>
      </c>
      <c r="AC15" s="39">
        <f>IF(Schema!AH16&gt;0,Schema!AH16,"")</f>
      </c>
      <c r="AD15" s="39">
        <f>IF(Schema!AI16&gt;0,Schema!AI16,"")</f>
      </c>
      <c r="AE15" s="39">
        <f t="shared" si="1"/>
        <v>5</v>
      </c>
      <c r="AF15" s="39">
        <f t="shared" si="2"/>
        <v>5</v>
      </c>
      <c r="AG15" s="39">
        <f t="shared" si="3"/>
        <v>5</v>
      </c>
      <c r="AH15" s="39">
        <f t="shared" si="4"/>
        <v>5</v>
      </c>
      <c r="AI15" s="39">
        <f t="shared" si="5"/>
        <v>5</v>
      </c>
      <c r="AJ15" s="39">
        <f t="shared" si="6"/>
        <v>5</v>
      </c>
      <c r="AK15" s="39">
        <f t="shared" si="7"/>
        <v>5</v>
      </c>
      <c r="AL15" s="39">
        <f t="shared" si="8"/>
        <v>5</v>
      </c>
      <c r="AM15" s="39">
        <f t="shared" si="9"/>
        <v>5</v>
      </c>
      <c r="AN15" s="39">
        <f t="shared" si="10"/>
        <v>5</v>
      </c>
      <c r="AO15" s="39">
        <f t="shared" si="11"/>
        <v>5</v>
      </c>
      <c r="AP15" s="39">
        <f t="shared" si="12"/>
        <v>5</v>
      </c>
      <c r="AQ15" s="39">
        <f t="shared" si="13"/>
        <v>5</v>
      </c>
      <c r="AR15" s="39">
        <f t="shared" si="14"/>
        <v>5</v>
      </c>
      <c r="AS15" s="39">
        <f t="shared" si="15"/>
        <v>5</v>
      </c>
      <c r="AT15" s="39">
        <f t="shared" si="16"/>
        <v>5</v>
      </c>
      <c r="AU15" s="39">
        <f t="shared" si="17"/>
        <v>5</v>
      </c>
      <c r="AV15" s="39">
        <f t="shared" si="18"/>
        <v>5</v>
      </c>
      <c r="AW15" s="39">
        <f t="shared" si="19"/>
        <v>5</v>
      </c>
      <c r="AX15" s="39">
        <f t="shared" si="20"/>
        <v>5</v>
      </c>
      <c r="AY15" s="39">
        <f t="shared" si="21"/>
        <v>5</v>
      </c>
      <c r="AZ15" s="39">
        <f t="shared" si="22"/>
        <v>5</v>
      </c>
      <c r="BA15" s="39">
        <f t="shared" si="23"/>
        <v>5</v>
      </c>
      <c r="BB15" s="39">
        <f t="shared" si="24"/>
        <v>5</v>
      </c>
      <c r="BC15" s="39">
        <f t="shared" si="25"/>
        <v>5</v>
      </c>
    </row>
    <row r="16" spans="1:55" ht="12.75" hidden="1">
      <c r="A16" s="40">
        <f>IF((OR(Schema!F17="vakant",Schema!H17="vakant")),Schema!A18,Schema!A17)</f>
        <v>6</v>
      </c>
      <c r="B16" s="42">
        <f>IF(A16&gt;0,(VLOOKUP(A16,Tider!$A$3:$C$26,2,FALSE)),"")</f>
        <v>0.3784722222222223</v>
      </c>
      <c r="C16" s="21" t="str">
        <f>+IF(Schema!D17&gt;0,Schema!D17,"")</f>
        <v>-</v>
      </c>
      <c r="D16" s="42">
        <f>+VLOOKUP(A16,Tider!$A$3:$C$26,3,FALSE)</f>
        <v>0.3868055555555557</v>
      </c>
      <c r="E16" s="20" t="str">
        <f>IF(OR(Schema!F17="vakant",Schema!H17="vakant"),Schema!F18,Schema!F17)</f>
        <v>Kågeröds BoIF</v>
      </c>
      <c r="F16" s="21" t="str">
        <f>+IF(Schema!G17&gt;0,Schema!G17,"")</f>
        <v>-</v>
      </c>
      <c r="G16" s="20" t="str">
        <f>IF(OR(Schema!H17="vakant",Schema!F17="vakant"),Schema!H18,Schema!H17)</f>
        <v>Ekeby GIF</v>
      </c>
      <c r="H16" s="21">
        <f>+IF(Schema!I17&gt;0,Schema!I17,"")</f>
      </c>
      <c r="I16" s="21" t="str">
        <f>+IF(Schema!J17&gt;0,Schema!J17,"")</f>
        <v>-</v>
      </c>
      <c r="J16" s="21">
        <f>+IF(Schema!K17&gt;0,Schema!K17,"")</f>
      </c>
      <c r="K16" s="21">
        <f>+IF(Schema!L17&gt;0,Schema!L17,"")</f>
      </c>
      <c r="L16" s="39">
        <f>IF(Schema!M17&gt;0,Schema!M17,"")</f>
      </c>
      <c r="M16" s="39">
        <f>IF(Schema!N17&gt;0,Schema!N17,"")</f>
      </c>
      <c r="N16" s="39">
        <f>IF(Schema!O17&gt;0,Schema!O17,"")</f>
      </c>
      <c r="O16" s="39">
        <f>IF(Schema!P17&gt;0,Schema!P17,"")</f>
      </c>
      <c r="P16" s="39">
        <f>IF(Schema!Q17&gt;0,Schema!Q17,"")</f>
      </c>
      <c r="Q16" s="39">
        <f>IF(Schema!T17&gt;0,Schema!T17,"")</f>
      </c>
      <c r="R16" s="39">
        <f>IF(Schema!U17&gt;0,Schema!U17,"")</f>
      </c>
      <c r="S16" s="39">
        <f>IF(Schema!V17&gt;0,Schema!V17,"")</f>
      </c>
      <c r="T16" s="39">
        <f>IF(Schema!W17&gt;0,Schema!W17,"")</f>
      </c>
      <c r="U16" s="39">
        <f>IF(Schema!X17&gt;0,Schema!X17,"")</f>
      </c>
      <c r="V16" s="39">
        <f>IF(Schema!Y17&gt;0,Schema!Y17,"")</f>
      </c>
      <c r="W16" s="39">
        <f>IF(Schema!Z17&gt;0,Schema!Z17,"")</f>
      </c>
      <c r="X16" s="39">
        <f>IF(Schema!AA17&gt;0,Schema!AA17,"")</f>
      </c>
      <c r="Y16" s="39">
        <f>IF(Schema!AB17&gt;0,Schema!AB17,"")</f>
      </c>
      <c r="Z16" s="39">
        <f>IF(Schema!AC17&gt;0,Schema!AC17,"")</f>
      </c>
      <c r="AA16" s="39">
        <f>IF(Schema!AF17&gt;0,Schema!AF17,"")</f>
      </c>
      <c r="AB16" s="39">
        <f>IF(Schema!AG17&gt;0,Schema!AG17,"")</f>
      </c>
      <c r="AC16" s="39">
        <f>IF(Schema!AH17&gt;0,Schema!AH17,"")</f>
      </c>
      <c r="AD16" s="39">
        <f>IF(Schema!AI17&gt;0,Schema!AI17,"")</f>
      </c>
      <c r="AE16" s="39">
        <f t="shared" si="1"/>
        <v>6</v>
      </c>
      <c r="AF16" s="39">
        <f t="shared" si="2"/>
        <v>6</v>
      </c>
      <c r="AG16" s="39">
        <f t="shared" si="3"/>
        <v>6</v>
      </c>
      <c r="AH16" s="39">
        <f t="shared" si="4"/>
        <v>6</v>
      </c>
      <c r="AI16" s="39">
        <f t="shared" si="5"/>
        <v>6</v>
      </c>
      <c r="AJ16" s="39">
        <f t="shared" si="6"/>
        <v>6</v>
      </c>
      <c r="AK16" s="39">
        <f t="shared" si="7"/>
        <v>6</v>
      </c>
      <c r="AL16" s="39">
        <f t="shared" si="8"/>
        <v>6</v>
      </c>
      <c r="AM16" s="39">
        <f t="shared" si="9"/>
        <v>6</v>
      </c>
      <c r="AN16" s="39">
        <f t="shared" si="10"/>
        <v>6</v>
      </c>
      <c r="AO16" s="39">
        <f t="shared" si="11"/>
        <v>6</v>
      </c>
      <c r="AP16" s="39">
        <f t="shared" si="12"/>
        <v>6</v>
      </c>
      <c r="AQ16" s="39">
        <f t="shared" si="13"/>
        <v>6</v>
      </c>
      <c r="AR16" s="39">
        <f t="shared" si="14"/>
        <v>6</v>
      </c>
      <c r="AS16" s="39">
        <f t="shared" si="15"/>
        <v>6</v>
      </c>
      <c r="AT16" s="39">
        <f t="shared" si="16"/>
        <v>6</v>
      </c>
      <c r="AU16" s="39">
        <f t="shared" si="17"/>
        <v>6</v>
      </c>
      <c r="AV16" s="39">
        <f t="shared" si="18"/>
        <v>6</v>
      </c>
      <c r="AW16" s="39">
        <f t="shared" si="19"/>
        <v>6</v>
      </c>
      <c r="AX16" s="39">
        <f t="shared" si="20"/>
        <v>6</v>
      </c>
      <c r="AY16" s="39">
        <f t="shared" si="21"/>
        <v>6</v>
      </c>
      <c r="AZ16" s="39">
        <f t="shared" si="22"/>
        <v>6</v>
      </c>
      <c r="BA16" s="39">
        <f t="shared" si="23"/>
        <v>6</v>
      </c>
      <c r="BB16" s="39">
        <f t="shared" si="24"/>
        <v>6</v>
      </c>
      <c r="BC16" s="39">
        <f t="shared" si="25"/>
        <v>6</v>
      </c>
    </row>
    <row r="17" spans="1:55" ht="12.75" hidden="1">
      <c r="A17" s="40">
        <f>IF((OR(Schema!F18="vakant",Schema!H18="vakant")),Schema!A19,Schema!A18)</f>
        <v>7</v>
      </c>
      <c r="B17" s="42">
        <f>IF(A17&gt;0,(VLOOKUP(A17,Tider!$A$3:$C$26,2,FALSE)),"")</f>
        <v>0.3875000000000001</v>
      </c>
      <c r="C17" s="21" t="str">
        <f>+IF(Schema!D18&gt;0,Schema!D18,"")</f>
        <v>-</v>
      </c>
      <c r="D17" s="42">
        <f>+VLOOKUP(A17,Tider!$A$3:$C$26,3,FALSE)</f>
        <v>0.3958333333333335</v>
      </c>
      <c r="E17" s="20" t="str">
        <f>IF(OR(Schema!F18="vakant",Schema!H18="vakant"),Schema!F19,Schema!F18)</f>
        <v>Eskilsminne IF</v>
      </c>
      <c r="F17" s="21" t="str">
        <f>+IF(Schema!G18&gt;0,Schema!G18,"")</f>
        <v>-</v>
      </c>
      <c r="G17" s="20" t="str">
        <f>IF(OR(Schema!H18="vakant",Schema!F18="vakant"),Schema!H19,Schema!H18)</f>
        <v>Svalövs BK 1</v>
      </c>
      <c r="H17" s="21">
        <f>+IF(Schema!I18&gt;0,Schema!I18,"")</f>
      </c>
      <c r="I17" s="21" t="str">
        <f>+IF(Schema!J18&gt;0,Schema!J18,"")</f>
        <v>-</v>
      </c>
      <c r="J17" s="21">
        <f>+IF(Schema!K18&gt;0,Schema!K18,"")</f>
      </c>
      <c r="K17" s="21">
        <f>+IF(Schema!L18&gt;0,Schema!L18,"")</f>
      </c>
      <c r="L17" s="39">
        <f>IF(Schema!M18&gt;0,Schema!M18,"")</f>
      </c>
      <c r="M17" s="39">
        <f>IF(Schema!N18&gt;0,Schema!N18,"")</f>
      </c>
      <c r="N17" s="39">
        <f>IF(Schema!O18&gt;0,Schema!O18,"")</f>
      </c>
      <c r="O17" s="39">
        <f>IF(Schema!P18&gt;0,Schema!P18,"")</f>
      </c>
      <c r="P17" s="39">
        <f>IF(Schema!Q18&gt;0,Schema!Q18,"")</f>
      </c>
      <c r="Q17" s="39">
        <f>IF(Schema!T18&gt;0,Schema!T18,"")</f>
      </c>
      <c r="R17" s="39">
        <f>IF(Schema!U18&gt;0,Schema!U18,"")</f>
      </c>
      <c r="S17" s="39">
        <f>IF(Schema!V18&gt;0,Schema!V18,"")</f>
      </c>
      <c r="T17" s="39">
        <f>IF(Schema!W18&gt;0,Schema!W18,"")</f>
      </c>
      <c r="U17" s="39">
        <f>IF(Schema!X18&gt;0,Schema!X18,"")</f>
      </c>
      <c r="V17" s="39">
        <f>IF(Schema!Y18&gt;0,Schema!Y18,"")</f>
      </c>
      <c r="W17" s="39">
        <f>IF(Schema!Z18&gt;0,Schema!Z18,"")</f>
      </c>
      <c r="X17" s="39">
        <f>IF(Schema!AA18&gt;0,Schema!AA18,"")</f>
      </c>
      <c r="Y17" s="39">
        <f>IF(Schema!AB18&gt;0,Schema!AB18,"")</f>
      </c>
      <c r="Z17" s="39">
        <f>IF(Schema!AC18&gt;0,Schema!AC18,"")</f>
      </c>
      <c r="AA17" s="39">
        <f>IF(Schema!AF18&gt;0,Schema!AF18,"")</f>
      </c>
      <c r="AB17" s="39">
        <f>IF(Schema!AG18&gt;0,Schema!AG18,"")</f>
      </c>
      <c r="AC17" s="39">
        <f>IF(Schema!AH18&gt;0,Schema!AH18,"")</f>
      </c>
      <c r="AD17" s="39">
        <f>IF(Schema!AI18&gt;0,Schema!AI18,"")</f>
      </c>
      <c r="AE17" s="39">
        <f t="shared" si="1"/>
        <v>7</v>
      </c>
      <c r="AF17" s="39">
        <f t="shared" si="2"/>
        <v>7</v>
      </c>
      <c r="AG17" s="39">
        <f t="shared" si="3"/>
        <v>7</v>
      </c>
      <c r="AH17" s="39">
        <f t="shared" si="4"/>
        <v>7</v>
      </c>
      <c r="AI17" s="39">
        <f t="shared" si="5"/>
        <v>7</v>
      </c>
      <c r="AJ17" s="39">
        <f t="shared" si="6"/>
        <v>7</v>
      </c>
      <c r="AK17" s="39">
        <f t="shared" si="7"/>
        <v>7</v>
      </c>
      <c r="AL17" s="39">
        <f t="shared" si="8"/>
        <v>7</v>
      </c>
      <c r="AM17" s="39">
        <f t="shared" si="9"/>
        <v>7</v>
      </c>
      <c r="AN17" s="39">
        <f t="shared" si="10"/>
        <v>7</v>
      </c>
      <c r="AO17" s="39">
        <f t="shared" si="11"/>
        <v>7</v>
      </c>
      <c r="AP17" s="39">
        <f t="shared" si="12"/>
        <v>7</v>
      </c>
      <c r="AQ17" s="39">
        <f t="shared" si="13"/>
        <v>7</v>
      </c>
      <c r="AR17" s="39">
        <f t="shared" si="14"/>
        <v>7</v>
      </c>
      <c r="AS17" s="39">
        <f t="shared" si="15"/>
        <v>7</v>
      </c>
      <c r="AT17" s="39">
        <f t="shared" si="16"/>
        <v>7</v>
      </c>
      <c r="AU17" s="39">
        <f t="shared" si="17"/>
        <v>7</v>
      </c>
      <c r="AV17" s="39">
        <f t="shared" si="18"/>
        <v>7</v>
      </c>
      <c r="AW17" s="39">
        <f t="shared" si="19"/>
        <v>7</v>
      </c>
      <c r="AX17" s="39">
        <f t="shared" si="20"/>
        <v>7</v>
      </c>
      <c r="AY17" s="39">
        <f t="shared" si="21"/>
        <v>7</v>
      </c>
      <c r="AZ17" s="39">
        <f t="shared" si="22"/>
        <v>7</v>
      </c>
      <c r="BA17" s="39">
        <f t="shared" si="23"/>
        <v>7</v>
      </c>
      <c r="BB17" s="39">
        <f t="shared" si="24"/>
        <v>7</v>
      </c>
      <c r="BC17" s="39">
        <f t="shared" si="25"/>
        <v>7</v>
      </c>
    </row>
    <row r="18" spans="1:55" ht="12.75" hidden="1">
      <c r="A18" s="40">
        <f>IF((OR(Schema!F19="vakant",Schema!H19="vakant")),Schema!A20,Schema!A19)</f>
        <v>8</v>
      </c>
      <c r="B18" s="42">
        <f>IF(A18&gt;0,(VLOOKUP(A18,Tider!$A$3:$C$26,2,FALSE)),"")</f>
        <v>0.3965277777777779</v>
      </c>
      <c r="C18" s="21" t="str">
        <f>+IF(Schema!D19&gt;0,Schema!D19,"")</f>
        <v>-</v>
      </c>
      <c r="D18" s="42">
        <f>+VLOOKUP(A18,Tider!$A$3:$C$26,3,FALSE)</f>
        <v>0.4048611111111113</v>
      </c>
      <c r="E18" s="20" t="str">
        <f>IF(OR(Schema!F19="vakant",Schema!H19="vakant"),Schema!F20,Schema!F19)</f>
        <v>Billeberga GIF</v>
      </c>
      <c r="F18" s="21" t="str">
        <f>+IF(Schema!G19&gt;0,Schema!G19,"")</f>
        <v>-</v>
      </c>
      <c r="G18" s="20" t="str">
        <f>IF(OR(Schema!H19="vakant",Schema!F19="vakant"),Schema!H20,Schema!H19)</f>
        <v>Gantofta IF</v>
      </c>
      <c r="H18" s="21">
        <f>+IF(Schema!I19&gt;0,Schema!I19,"")</f>
      </c>
      <c r="I18" s="21" t="str">
        <f>+IF(Schema!J19&gt;0,Schema!J19,"")</f>
        <v>-</v>
      </c>
      <c r="J18" s="21">
        <f>+IF(Schema!K19&gt;0,Schema!K19,"")</f>
      </c>
      <c r="K18" s="21">
        <f>+IF(Schema!L19&gt;0,Schema!L19,"")</f>
      </c>
      <c r="L18" s="39">
        <f>IF(Schema!M19&gt;0,Schema!M19,"")</f>
      </c>
      <c r="M18" s="39">
        <f>IF(Schema!N19&gt;0,Schema!N19,"")</f>
      </c>
      <c r="N18" s="39">
        <f>IF(Schema!O19&gt;0,Schema!O19,"")</f>
      </c>
      <c r="O18" s="39">
        <f>IF(Schema!P19&gt;0,Schema!P19,"")</f>
      </c>
      <c r="P18" s="39">
        <f>IF(Schema!Q19&gt;0,Schema!Q19,"")</f>
      </c>
      <c r="Q18" s="39">
        <f>IF(Schema!T19&gt;0,Schema!T19,"")</f>
      </c>
      <c r="R18" s="39">
        <f>IF(Schema!U19&gt;0,Schema!U19,"")</f>
      </c>
      <c r="S18" s="39">
        <f>IF(Schema!V19&gt;0,Schema!V19,"")</f>
      </c>
      <c r="T18" s="39">
        <f>IF(Schema!W19&gt;0,Schema!W19,"")</f>
      </c>
      <c r="U18" s="39">
        <f>IF(Schema!X19&gt;0,Schema!X19,"")</f>
      </c>
      <c r="V18" s="39">
        <f>IF(Schema!Y19&gt;0,Schema!Y19,"")</f>
      </c>
      <c r="W18" s="39">
        <f>IF(Schema!Z19&gt;0,Schema!Z19,"")</f>
      </c>
      <c r="X18" s="39">
        <f>IF(Schema!AA19&gt;0,Schema!AA19,"")</f>
      </c>
      <c r="Y18" s="39">
        <f>IF(Schema!AB19&gt;0,Schema!AB19,"")</f>
      </c>
      <c r="Z18" s="39">
        <f>IF(Schema!AC19&gt;0,Schema!AC19,"")</f>
      </c>
      <c r="AA18" s="39">
        <f>IF(Schema!AF19&gt;0,Schema!AF19,"")</f>
      </c>
      <c r="AB18" s="39">
        <f>IF(Schema!AG19&gt;0,Schema!AG19,"")</f>
      </c>
      <c r="AC18" s="39">
        <f>IF(Schema!AH19&gt;0,Schema!AH19,"")</f>
      </c>
      <c r="AD18" s="39">
        <f>IF(Schema!AI19&gt;0,Schema!AI19,"")</f>
      </c>
      <c r="AE18" s="39">
        <f t="shared" si="1"/>
        <v>8</v>
      </c>
      <c r="AF18" s="39">
        <f t="shared" si="2"/>
        <v>8</v>
      </c>
      <c r="AG18" s="39">
        <f t="shared" si="3"/>
        <v>8</v>
      </c>
      <c r="AH18" s="39">
        <f t="shared" si="4"/>
        <v>8</v>
      </c>
      <c r="AI18" s="39">
        <f t="shared" si="5"/>
        <v>8</v>
      </c>
      <c r="AJ18" s="39">
        <f t="shared" si="6"/>
        <v>8</v>
      </c>
      <c r="AK18" s="39">
        <f t="shared" si="7"/>
        <v>8</v>
      </c>
      <c r="AL18" s="39">
        <f t="shared" si="8"/>
        <v>8</v>
      </c>
      <c r="AM18" s="39">
        <f t="shared" si="9"/>
        <v>8</v>
      </c>
      <c r="AN18" s="39">
        <f t="shared" si="10"/>
        <v>8</v>
      </c>
      <c r="AO18" s="39">
        <f t="shared" si="11"/>
        <v>8</v>
      </c>
      <c r="AP18" s="39">
        <f t="shared" si="12"/>
        <v>8</v>
      </c>
      <c r="AQ18" s="39">
        <f t="shared" si="13"/>
        <v>8</v>
      </c>
      <c r="AR18" s="39">
        <f t="shared" si="14"/>
        <v>8</v>
      </c>
      <c r="AS18" s="39">
        <f t="shared" si="15"/>
        <v>8</v>
      </c>
      <c r="AT18" s="39">
        <f t="shared" si="16"/>
        <v>8</v>
      </c>
      <c r="AU18" s="39">
        <f t="shared" si="17"/>
        <v>8</v>
      </c>
      <c r="AV18" s="39">
        <f t="shared" si="18"/>
        <v>8</v>
      </c>
      <c r="AW18" s="39">
        <f t="shared" si="19"/>
        <v>8</v>
      </c>
      <c r="AX18" s="39">
        <f t="shared" si="20"/>
        <v>8</v>
      </c>
      <c r="AY18" s="39">
        <f t="shared" si="21"/>
        <v>8</v>
      </c>
      <c r="AZ18" s="39">
        <f t="shared" si="22"/>
        <v>8</v>
      </c>
      <c r="BA18" s="39">
        <f t="shared" si="23"/>
        <v>8</v>
      </c>
      <c r="BB18" s="39">
        <f t="shared" si="24"/>
        <v>8</v>
      </c>
      <c r="BC18" s="39">
        <f t="shared" si="25"/>
        <v>8</v>
      </c>
    </row>
    <row r="19" spans="1:55" ht="12.75" hidden="1">
      <c r="A19" s="40">
        <f>IF((OR(Schema!F20="vakant",Schema!H20="vakant")),Schema!A21,Schema!A20)</f>
        <v>0</v>
      </c>
      <c r="B19" s="42">
        <f>IF(A19&gt;0,(VLOOKUP(A19,Tider!$A$3:$C$26,2,FALSE)),"")</f>
      </c>
      <c r="C19" s="21">
        <f>+IF(Schema!D20&gt;0,Schema!D20,"")</f>
      </c>
      <c r="D19" s="42" t="e">
        <f>+VLOOKUP(A19,Tider!$A$3:$C$26,3,FALSE)</f>
        <v>#N/A</v>
      </c>
      <c r="E19" s="20">
        <f>IF(OR(Schema!F20="vakant",Schema!H20="vakant"),Schema!F21,Schema!F20)</f>
        <v>0</v>
      </c>
      <c r="F19" s="21">
        <f>+IF(Schema!G20&gt;0,Schema!G20,"")</f>
      </c>
      <c r="G19" s="20">
        <f>IF(OR(Schema!H20="vakant",Schema!F20="vakant"),Schema!H21,Schema!H20)</f>
        <v>0</v>
      </c>
      <c r="H19" s="21">
        <f>+IF(Schema!I20&gt;0,Schema!I20,"")</f>
      </c>
      <c r="I19" s="21">
        <f>+IF(Schema!J20&gt;0,Schema!J20,"")</f>
      </c>
      <c r="J19" s="21">
        <f>+IF(Schema!K20&gt;0,Schema!K20,"")</f>
      </c>
      <c r="K19" s="21">
        <f>+IF(Schema!L20&gt;0,Schema!L20,"")</f>
      </c>
      <c r="L19" s="39">
        <f>IF(Schema!M20&gt;0,Schema!M20,"")</f>
      </c>
      <c r="M19" s="39">
        <f>IF(Schema!N20&gt;0,Schema!N20,"")</f>
      </c>
      <c r="N19" s="39">
        <f>IF(Schema!O20&gt;0,Schema!O20,"")</f>
      </c>
      <c r="O19" s="39">
        <f>IF(Schema!P20&gt;0,Schema!P20,"")</f>
      </c>
      <c r="P19" s="39">
        <f>IF(Schema!Q20&gt;0,Schema!Q20,"")</f>
      </c>
      <c r="Q19" s="39">
        <f>IF(Schema!T20&gt;0,Schema!T20,"")</f>
      </c>
      <c r="R19" s="39">
        <f>IF(Schema!U20&gt;0,Schema!U20,"")</f>
      </c>
      <c r="S19" s="39">
        <f>IF(Schema!V20&gt;0,Schema!V20,"")</f>
      </c>
      <c r="T19" s="39">
        <f>IF(Schema!W20&gt;0,Schema!W20,"")</f>
      </c>
      <c r="U19" s="39">
        <f>IF(Schema!X20&gt;0,Schema!X20,"")</f>
      </c>
      <c r="V19" s="39">
        <f>IF(Schema!Y20&gt;0,Schema!Y20,"")</f>
      </c>
      <c r="W19" s="39">
        <f>IF(Schema!Z20&gt;0,Schema!Z20,"")</f>
      </c>
      <c r="X19" s="39">
        <f>IF(Schema!AA20&gt;0,Schema!AA20,"")</f>
      </c>
      <c r="Y19" s="39">
        <f>IF(Schema!AB20&gt;0,Schema!AB20,"")</f>
      </c>
      <c r="Z19" s="39">
        <f>IF(Schema!AC20&gt;0,Schema!AC20,"")</f>
      </c>
      <c r="AA19" s="39">
        <f>IF(Schema!AF20&gt;0,Schema!AF20,"")</f>
      </c>
      <c r="AB19" s="39">
        <f>IF(Schema!AG20&gt;0,Schema!AG20,"")</f>
      </c>
      <c r="AC19" s="39">
        <f>IF(Schema!AH20&gt;0,Schema!AH20,"")</f>
      </c>
      <c r="AD19" s="39">
        <f>IF(Schema!AI20&gt;0,Schema!AI20,"")</f>
      </c>
      <c r="AE19" s="39">
        <f t="shared" si="1"/>
        <v>0</v>
      </c>
      <c r="AF19" s="39">
        <f t="shared" si="2"/>
        <v>0</v>
      </c>
      <c r="AG19" s="39">
        <f t="shared" si="3"/>
        <v>0</v>
      </c>
      <c r="AH19" s="39">
        <f t="shared" si="4"/>
        <v>0</v>
      </c>
      <c r="AI19" s="39">
        <f t="shared" si="5"/>
        <v>0</v>
      </c>
      <c r="AJ19" s="39">
        <f t="shared" si="6"/>
        <v>0</v>
      </c>
      <c r="AK19" s="39">
        <f t="shared" si="7"/>
        <v>0</v>
      </c>
      <c r="AL19" s="39">
        <f t="shared" si="8"/>
        <v>0</v>
      </c>
      <c r="AM19" s="39">
        <f t="shared" si="9"/>
        <v>0</v>
      </c>
      <c r="AN19" s="39">
        <f t="shared" si="10"/>
        <v>0</v>
      </c>
      <c r="AO19" s="39">
        <f t="shared" si="11"/>
        <v>0</v>
      </c>
      <c r="AP19" s="39">
        <f t="shared" si="12"/>
        <v>0</v>
      </c>
      <c r="AQ19" s="39">
        <f t="shared" si="13"/>
        <v>0</v>
      </c>
      <c r="AR19" s="39">
        <f t="shared" si="14"/>
        <v>0</v>
      </c>
      <c r="AS19" s="39">
        <f t="shared" si="15"/>
        <v>0</v>
      </c>
      <c r="AT19" s="39">
        <f t="shared" si="16"/>
        <v>0</v>
      </c>
      <c r="AU19" s="39">
        <f t="shared" si="17"/>
        <v>0</v>
      </c>
      <c r="AV19" s="39">
        <f t="shared" si="18"/>
        <v>0</v>
      </c>
      <c r="AW19" s="39">
        <f t="shared" si="19"/>
        <v>0</v>
      </c>
      <c r="AX19" s="39">
        <f t="shared" si="20"/>
        <v>0</v>
      </c>
      <c r="AY19" s="39">
        <f t="shared" si="21"/>
        <v>0</v>
      </c>
      <c r="AZ19" s="39">
        <f t="shared" si="22"/>
        <v>0</v>
      </c>
      <c r="BA19" s="39">
        <f t="shared" si="23"/>
        <v>0</v>
      </c>
      <c r="BB19" s="39">
        <f t="shared" si="24"/>
        <v>0</v>
      </c>
      <c r="BC19" s="39">
        <f t="shared" si="25"/>
        <v>0</v>
      </c>
    </row>
    <row r="20" spans="1:55" ht="12.75" hidden="1">
      <c r="A20" s="40">
        <f>IF((OR(Schema!F21="vakant",Schema!H21="vakant")),Schema!A22,Schema!A21)</f>
        <v>9</v>
      </c>
      <c r="B20" s="42">
        <f>IF(A20&gt;0,(VLOOKUP(A20,Tider!$A$3:$C$26,2,FALSE)),"")</f>
        <v>0.4055555555555557</v>
      </c>
      <c r="C20" s="21" t="str">
        <f>+IF(Schema!D21&gt;0,Schema!D21,"")</f>
        <v>-</v>
      </c>
      <c r="D20" s="42">
        <f>+VLOOKUP(A20,Tider!$A$3:$C$26,3,FALSE)</f>
        <v>0.4138888888888891</v>
      </c>
      <c r="E20" s="20" t="str">
        <f>IF(OR(Schema!F21="vakant",Schema!H21="vakant"),Schema!F22,Schema!F21)</f>
        <v>Marieholms IS</v>
      </c>
      <c r="F20" s="21" t="str">
        <f>+IF(Schema!G21&gt;0,Schema!G21,"")</f>
        <v>-</v>
      </c>
      <c r="G20" s="20" t="str">
        <f>IF(OR(Schema!H21="vakant",Schema!F21="vakant"),Schema!H22,Schema!H21)</f>
        <v>Teckomatorps SK</v>
      </c>
      <c r="H20" s="21">
        <f>+IF(Schema!I21&gt;0,Schema!I21,"")</f>
      </c>
      <c r="I20" s="21" t="str">
        <f>+IF(Schema!J21&gt;0,Schema!J21,"")</f>
        <v>-</v>
      </c>
      <c r="J20" s="21">
        <f>+IF(Schema!K21&gt;0,Schema!K21,"")</f>
      </c>
      <c r="K20" s="21">
        <f>+IF(Schema!L21&gt;0,Schema!L21,"")</f>
      </c>
      <c r="L20" s="39">
        <f>IF(Schema!M21&gt;0,Schema!M21,"")</f>
      </c>
      <c r="M20" s="39">
        <f>IF(Schema!N21&gt;0,Schema!N21,"")</f>
      </c>
      <c r="N20" s="39">
        <f>IF(Schema!O21&gt;0,Schema!O21,"")</f>
      </c>
      <c r="O20" s="39">
        <f>IF(Schema!P21&gt;0,Schema!P21,"")</f>
      </c>
      <c r="P20" s="39">
        <f>IF(Schema!Q21&gt;0,Schema!Q21,"")</f>
      </c>
      <c r="Q20" s="39">
        <f>IF(Schema!T21&gt;0,Schema!T21,"")</f>
      </c>
      <c r="R20" s="39">
        <f>IF(Schema!U21&gt;0,Schema!U21,"")</f>
      </c>
      <c r="S20" s="39">
        <f>IF(Schema!V21&gt;0,Schema!V21,"")</f>
      </c>
      <c r="T20" s="39">
        <f>IF(Schema!W21&gt;0,Schema!W21,"")</f>
      </c>
      <c r="U20" s="39">
        <f>IF(Schema!X21&gt;0,Schema!X21,"")</f>
      </c>
      <c r="V20" s="39">
        <f>IF(Schema!Y21&gt;0,Schema!Y21,"")</f>
      </c>
      <c r="W20" s="39">
        <f>IF(Schema!Z21&gt;0,Schema!Z21,"")</f>
      </c>
      <c r="X20" s="39">
        <f>IF(Schema!AA21&gt;0,Schema!AA21,"")</f>
      </c>
      <c r="Y20" s="39">
        <f>IF(Schema!AB21&gt;0,Schema!AB21,"")</f>
      </c>
      <c r="Z20" s="39">
        <f>IF(Schema!AC21&gt;0,Schema!AC21,"")</f>
      </c>
      <c r="AA20" s="39">
        <f>IF(Schema!AF21&gt;0,Schema!AF21,"")</f>
      </c>
      <c r="AB20" s="39">
        <f>IF(Schema!AG21&gt;0,Schema!AG21,"")</f>
      </c>
      <c r="AC20" s="39">
        <f>IF(Schema!AH21&gt;0,Schema!AH21,"")</f>
      </c>
      <c r="AD20" s="39">
        <f>IF(Schema!AI21&gt;0,Schema!AI21,"")</f>
      </c>
      <c r="AE20" s="39">
        <f t="shared" si="1"/>
        <v>9</v>
      </c>
      <c r="AF20" s="39">
        <f t="shared" si="2"/>
        <v>9</v>
      </c>
      <c r="AG20" s="39">
        <f t="shared" si="3"/>
        <v>9</v>
      </c>
      <c r="AH20" s="39">
        <f t="shared" si="4"/>
        <v>9</v>
      </c>
      <c r="AI20" s="39">
        <f t="shared" si="5"/>
        <v>9</v>
      </c>
      <c r="AJ20" s="39">
        <f t="shared" si="6"/>
        <v>9</v>
      </c>
      <c r="AK20" s="39">
        <f t="shared" si="7"/>
        <v>9</v>
      </c>
      <c r="AL20" s="39">
        <f t="shared" si="8"/>
        <v>9</v>
      </c>
      <c r="AM20" s="39">
        <f t="shared" si="9"/>
        <v>9</v>
      </c>
      <c r="AN20" s="39">
        <f t="shared" si="10"/>
        <v>9</v>
      </c>
      <c r="AO20" s="39">
        <f t="shared" si="11"/>
        <v>9</v>
      </c>
      <c r="AP20" s="39">
        <f t="shared" si="12"/>
        <v>9</v>
      </c>
      <c r="AQ20" s="39">
        <f t="shared" si="13"/>
        <v>9</v>
      </c>
      <c r="AR20" s="39">
        <f t="shared" si="14"/>
        <v>9</v>
      </c>
      <c r="AS20" s="39">
        <f t="shared" si="15"/>
        <v>9</v>
      </c>
      <c r="AT20" s="39">
        <f t="shared" si="16"/>
        <v>9</v>
      </c>
      <c r="AU20" s="39">
        <f t="shared" si="17"/>
        <v>9</v>
      </c>
      <c r="AV20" s="39">
        <f t="shared" si="18"/>
        <v>9</v>
      </c>
      <c r="AW20" s="39">
        <f t="shared" si="19"/>
        <v>9</v>
      </c>
      <c r="AX20" s="39">
        <f t="shared" si="20"/>
        <v>9</v>
      </c>
      <c r="AY20" s="39">
        <f t="shared" si="21"/>
        <v>9</v>
      </c>
      <c r="AZ20" s="39">
        <f t="shared" si="22"/>
        <v>9</v>
      </c>
      <c r="BA20" s="39">
        <f t="shared" si="23"/>
        <v>9</v>
      </c>
      <c r="BB20" s="39">
        <f t="shared" si="24"/>
        <v>9</v>
      </c>
      <c r="BC20" s="39">
        <f t="shared" si="25"/>
        <v>9</v>
      </c>
    </row>
    <row r="21" spans="1:55" ht="12.75" hidden="1">
      <c r="A21" s="40">
        <f>IF((OR(Schema!F22="vakant",Schema!H22="vakant")),Schema!A23,Schema!A22)</f>
        <v>10</v>
      </c>
      <c r="B21" s="42">
        <f>IF(A21&gt;0,(VLOOKUP(A21,Tider!$A$3:$C$26,2,FALSE)),"")</f>
        <v>0.4145833333333335</v>
      </c>
      <c r="C21" s="21" t="str">
        <f>+IF(Schema!D22&gt;0,Schema!D22,"")</f>
        <v>-</v>
      </c>
      <c r="D21" s="42">
        <f>+VLOOKUP(A21,Tider!$A$3:$C$26,3,FALSE)</f>
        <v>0.4229166666666669</v>
      </c>
      <c r="E21" s="20" t="str">
        <f>IF(OR(Schema!F22="vakant",Schema!H22="vakant"),Schema!F23,Schema!F22)</f>
        <v>Svalövs BK 2</v>
      </c>
      <c r="F21" s="21" t="str">
        <f>+IF(Schema!G22&gt;0,Schema!G22,"")</f>
        <v>-</v>
      </c>
      <c r="G21" s="20" t="str">
        <f>IF(OR(Schema!H22="vakant",Schema!F22="vakant"),Schema!H23,Schema!H22)</f>
        <v>Ekeby GIF</v>
      </c>
      <c r="H21" s="21">
        <f>+IF(Schema!I22&gt;0,Schema!I22,"")</f>
      </c>
      <c r="I21" s="21" t="str">
        <f>+IF(Schema!J22&gt;0,Schema!J22,"")</f>
        <v>-</v>
      </c>
      <c r="J21" s="21">
        <f>+IF(Schema!K22&gt;0,Schema!K22,"")</f>
      </c>
      <c r="K21" s="21">
        <f>+IF(Schema!L22&gt;0,Schema!L22,"")</f>
      </c>
      <c r="L21" s="39">
        <f>IF(Schema!M22&gt;0,Schema!M22,"")</f>
      </c>
      <c r="M21" s="39">
        <f>IF(Schema!N22&gt;0,Schema!N22,"")</f>
      </c>
      <c r="N21" s="39">
        <f>IF(Schema!O22&gt;0,Schema!O22,"")</f>
      </c>
      <c r="O21" s="39">
        <f>IF(Schema!P22&gt;0,Schema!P22,"")</f>
      </c>
      <c r="P21" s="39">
        <f>IF(Schema!Q22&gt;0,Schema!Q22,"")</f>
      </c>
      <c r="Q21" s="39">
        <f>IF(Schema!T22&gt;0,Schema!T22,"")</f>
      </c>
      <c r="R21" s="39">
        <f>IF(Schema!U22&gt;0,Schema!U22,"")</f>
      </c>
      <c r="S21" s="39">
        <f>IF(Schema!V22&gt;0,Schema!V22,"")</f>
      </c>
      <c r="T21" s="39">
        <f>IF(Schema!W22&gt;0,Schema!W22,"")</f>
      </c>
      <c r="U21" s="39">
        <f>IF(Schema!X22&gt;0,Schema!X22,"")</f>
      </c>
      <c r="V21" s="39">
        <f>IF(Schema!Y22&gt;0,Schema!Y22,"")</f>
      </c>
      <c r="W21" s="39">
        <f>IF(Schema!Z22&gt;0,Schema!Z22,"")</f>
      </c>
      <c r="X21" s="39">
        <f>IF(Schema!AA22&gt;0,Schema!AA22,"")</f>
      </c>
      <c r="Y21" s="39">
        <f>IF(Schema!AB22&gt;0,Schema!AB22,"")</f>
      </c>
      <c r="Z21" s="39">
        <f>IF(Schema!AC22&gt;0,Schema!AC22,"")</f>
      </c>
      <c r="AA21" s="39">
        <f>IF(Schema!AF22&gt;0,Schema!AF22,"")</f>
      </c>
      <c r="AB21" s="39">
        <f>IF(Schema!AG22&gt;0,Schema!AG22,"")</f>
      </c>
      <c r="AC21" s="39">
        <f>IF(Schema!AH22&gt;0,Schema!AH22,"")</f>
      </c>
      <c r="AD21" s="39">
        <f>IF(Schema!AI22&gt;0,Schema!AI22,"")</f>
      </c>
      <c r="AE21" s="39">
        <f t="shared" si="1"/>
        <v>10</v>
      </c>
      <c r="AF21" s="39">
        <f t="shared" si="2"/>
        <v>10</v>
      </c>
      <c r="AG21" s="39">
        <f t="shared" si="3"/>
        <v>10</v>
      </c>
      <c r="AH21" s="39">
        <f t="shared" si="4"/>
        <v>10</v>
      </c>
      <c r="AI21" s="39">
        <f t="shared" si="5"/>
        <v>10</v>
      </c>
      <c r="AJ21" s="39">
        <f t="shared" si="6"/>
        <v>10</v>
      </c>
      <c r="AK21" s="39">
        <f t="shared" si="7"/>
        <v>10</v>
      </c>
      <c r="AL21" s="39">
        <f t="shared" si="8"/>
        <v>10</v>
      </c>
      <c r="AM21" s="39">
        <f t="shared" si="9"/>
        <v>10</v>
      </c>
      <c r="AN21" s="39">
        <f t="shared" si="10"/>
        <v>10</v>
      </c>
      <c r="AO21" s="39">
        <f t="shared" si="11"/>
        <v>10</v>
      </c>
      <c r="AP21" s="39">
        <f t="shared" si="12"/>
        <v>10</v>
      </c>
      <c r="AQ21" s="39">
        <f t="shared" si="13"/>
        <v>10</v>
      </c>
      <c r="AR21" s="39">
        <f t="shared" si="14"/>
        <v>10</v>
      </c>
      <c r="AS21" s="39">
        <f t="shared" si="15"/>
        <v>10</v>
      </c>
      <c r="AT21" s="39">
        <f t="shared" si="16"/>
        <v>10</v>
      </c>
      <c r="AU21" s="39">
        <f t="shared" si="17"/>
        <v>10</v>
      </c>
      <c r="AV21" s="39">
        <f t="shared" si="18"/>
        <v>10</v>
      </c>
      <c r="AW21" s="39">
        <f t="shared" si="19"/>
        <v>10</v>
      </c>
      <c r="AX21" s="39">
        <f t="shared" si="20"/>
        <v>10</v>
      </c>
      <c r="AY21" s="39">
        <f t="shared" si="21"/>
        <v>10</v>
      </c>
      <c r="AZ21" s="39">
        <f t="shared" si="22"/>
        <v>10</v>
      </c>
      <c r="BA21" s="39">
        <f t="shared" si="23"/>
        <v>10</v>
      </c>
      <c r="BB21" s="39">
        <f t="shared" si="24"/>
        <v>10</v>
      </c>
      <c r="BC21" s="39">
        <f t="shared" si="25"/>
        <v>10</v>
      </c>
    </row>
    <row r="22" spans="1:55" ht="12.75" hidden="1">
      <c r="A22" s="40">
        <f>IF((OR(Schema!F23="vakant",Schema!H23="vakant")),Schema!A24,Schema!A23)</f>
        <v>11</v>
      </c>
      <c r="B22" s="42">
        <f>IF(A22&gt;0,(VLOOKUP(A22,Tider!$A$3:$C$26,2,FALSE)),"")</f>
        <v>0.4236111111111113</v>
      </c>
      <c r="C22" s="21" t="str">
        <f>+IF(Schema!D23&gt;0,Schema!D23,"")</f>
        <v>-</v>
      </c>
      <c r="D22" s="42">
        <f>+VLOOKUP(A22,Tider!$A$3:$C$26,3,FALSE)</f>
        <v>0.4319444444444447</v>
      </c>
      <c r="E22" s="20" t="str">
        <f>IF(OR(Schema!F23="vakant",Schema!H23="vakant"),Schema!F24,Schema!F23)</f>
        <v>IK Wormo</v>
      </c>
      <c r="F22" s="21" t="str">
        <f>+IF(Schema!G23&gt;0,Schema!G23,"")</f>
        <v>-</v>
      </c>
      <c r="G22" s="20" t="str">
        <f>IF(OR(Schema!H23="vakant",Schema!F23="vakant"),Schema!H24,Schema!H23)</f>
        <v>Eskilsminne IF</v>
      </c>
      <c r="H22" s="21">
        <f>+IF(Schema!I23&gt;0,Schema!I23,"")</f>
      </c>
      <c r="I22" s="21" t="str">
        <f>+IF(Schema!J23&gt;0,Schema!J23,"")</f>
        <v>-</v>
      </c>
      <c r="J22" s="21">
        <f>+IF(Schema!K23&gt;0,Schema!K23,"")</f>
      </c>
      <c r="K22" s="21">
        <f>+IF(Schema!L23&gt;0,Schema!L23,"")</f>
      </c>
      <c r="L22" s="39">
        <f>IF(Schema!M23&gt;0,Schema!M23,"")</f>
      </c>
      <c r="M22" s="39">
        <f>IF(Schema!N23&gt;0,Schema!N23,"")</f>
      </c>
      <c r="N22" s="39">
        <f>IF(Schema!O23&gt;0,Schema!O23,"")</f>
      </c>
      <c r="O22" s="39">
        <f>IF(Schema!P23&gt;0,Schema!P23,"")</f>
      </c>
      <c r="P22" s="39">
        <f>IF(Schema!Q23&gt;0,Schema!Q23,"")</f>
      </c>
      <c r="Q22" s="39">
        <f>IF(Schema!T23&gt;0,Schema!T23,"")</f>
      </c>
      <c r="R22" s="39">
        <f>IF(Schema!U23&gt;0,Schema!U23,"")</f>
      </c>
      <c r="S22" s="39">
        <f>IF(Schema!V23&gt;0,Schema!V23,"")</f>
      </c>
      <c r="T22" s="39">
        <f>IF(Schema!W23&gt;0,Schema!W23,"")</f>
      </c>
      <c r="U22" s="39">
        <f>IF(Schema!X23&gt;0,Schema!X23,"")</f>
      </c>
      <c r="V22" s="39">
        <f>IF(Schema!Y23&gt;0,Schema!Y23,"")</f>
      </c>
      <c r="W22" s="39">
        <f>IF(Schema!Z23&gt;0,Schema!Z23,"")</f>
      </c>
      <c r="X22" s="39">
        <f>IF(Schema!AA23&gt;0,Schema!AA23,"")</f>
      </c>
      <c r="Y22" s="39">
        <f>IF(Schema!AB23&gt;0,Schema!AB23,"")</f>
      </c>
      <c r="Z22" s="39">
        <f>IF(Schema!AC23&gt;0,Schema!AC23,"")</f>
      </c>
      <c r="AA22" s="39">
        <f>IF(Schema!AF23&gt;0,Schema!AF23,"")</f>
      </c>
      <c r="AB22" s="39">
        <f>IF(Schema!AG23&gt;0,Schema!AG23,"")</f>
      </c>
      <c r="AC22" s="39">
        <f>IF(Schema!AH23&gt;0,Schema!AH23,"")</f>
      </c>
      <c r="AD22" s="39">
        <f>IF(Schema!AI23&gt;0,Schema!AI23,"")</f>
      </c>
      <c r="AE22" s="39">
        <f t="shared" si="1"/>
        <v>11</v>
      </c>
      <c r="AF22" s="39">
        <f t="shared" si="2"/>
        <v>11</v>
      </c>
      <c r="AG22" s="39">
        <f t="shared" si="3"/>
        <v>11</v>
      </c>
      <c r="AH22" s="39">
        <f t="shared" si="4"/>
        <v>11</v>
      </c>
      <c r="AI22" s="39">
        <f t="shared" si="5"/>
        <v>11</v>
      </c>
      <c r="AJ22" s="39">
        <f t="shared" si="6"/>
        <v>11</v>
      </c>
      <c r="AK22" s="39">
        <f t="shared" si="7"/>
        <v>11</v>
      </c>
      <c r="AL22" s="39">
        <f t="shared" si="8"/>
        <v>11</v>
      </c>
      <c r="AM22" s="39">
        <f t="shared" si="9"/>
        <v>11</v>
      </c>
      <c r="AN22" s="39">
        <f t="shared" si="10"/>
        <v>11</v>
      </c>
      <c r="AO22" s="39">
        <f t="shared" si="11"/>
        <v>11</v>
      </c>
      <c r="AP22" s="39">
        <f t="shared" si="12"/>
        <v>11</v>
      </c>
      <c r="AQ22" s="39">
        <f t="shared" si="13"/>
        <v>11</v>
      </c>
      <c r="AR22" s="39">
        <f t="shared" si="14"/>
        <v>11</v>
      </c>
      <c r="AS22" s="39">
        <f t="shared" si="15"/>
        <v>11</v>
      </c>
      <c r="AT22" s="39">
        <f t="shared" si="16"/>
        <v>11</v>
      </c>
      <c r="AU22" s="39">
        <f t="shared" si="17"/>
        <v>11</v>
      </c>
      <c r="AV22" s="39">
        <f t="shared" si="18"/>
        <v>11</v>
      </c>
      <c r="AW22" s="39">
        <f t="shared" si="19"/>
        <v>11</v>
      </c>
      <c r="AX22" s="39">
        <f t="shared" si="20"/>
        <v>11</v>
      </c>
      <c r="AY22" s="39">
        <f t="shared" si="21"/>
        <v>11</v>
      </c>
      <c r="AZ22" s="39">
        <f t="shared" si="22"/>
        <v>11</v>
      </c>
      <c r="BA22" s="39">
        <f t="shared" si="23"/>
        <v>11</v>
      </c>
      <c r="BB22" s="39">
        <f t="shared" si="24"/>
        <v>11</v>
      </c>
      <c r="BC22" s="39">
        <f t="shared" si="25"/>
        <v>11</v>
      </c>
    </row>
    <row r="23" spans="1:55" ht="12.75" hidden="1">
      <c r="A23" s="40">
        <f>IF((OR(Schema!F24="vakant",Schema!H24="vakant")),Schema!A25,Schema!A24)</f>
        <v>12</v>
      </c>
      <c r="B23" s="42">
        <f>IF(A23&gt;0,(VLOOKUP(A23,Tider!$A$3:$C$26,2,FALSE)),"")</f>
        <v>0.43263888888888913</v>
      </c>
      <c r="C23" s="21" t="str">
        <f>+IF(Schema!D24&gt;0,Schema!D24,"")</f>
        <v>-</v>
      </c>
      <c r="D23" s="42">
        <f>+VLOOKUP(A23,Tider!$A$3:$C$26,3,FALSE)</f>
        <v>0.4409722222222225</v>
      </c>
      <c r="E23" s="20" t="str">
        <f>IF(OR(Schema!F24="vakant",Schema!H24="vakant"),Schema!F25,Schema!F24)</f>
        <v>Svalövs BK 1</v>
      </c>
      <c r="F23" s="21" t="str">
        <f>+IF(Schema!G24&gt;0,Schema!G24,"")</f>
        <v>-</v>
      </c>
      <c r="G23" s="20" t="str">
        <f>IF(OR(Schema!H24="vakant",Schema!F24="vakant"),Schema!H25,Schema!H24)</f>
        <v>Gantofta IF</v>
      </c>
      <c r="H23" s="21">
        <f>+IF(Schema!I24&gt;0,Schema!I24,"")</f>
      </c>
      <c r="I23" s="21" t="str">
        <f>+IF(Schema!J24&gt;0,Schema!J24,"")</f>
        <v>-</v>
      </c>
      <c r="J23" s="21">
        <f>+IF(Schema!K24&gt;0,Schema!K24,"")</f>
      </c>
      <c r="K23" s="21">
        <f>+IF(Schema!L24&gt;0,Schema!L24,"")</f>
      </c>
      <c r="L23" s="39">
        <f>IF(Schema!M24&gt;0,Schema!M24,"")</f>
      </c>
      <c r="M23" s="39">
        <f>IF(Schema!N24&gt;0,Schema!N24,"")</f>
      </c>
      <c r="N23" s="39">
        <f>IF(Schema!O24&gt;0,Schema!O24,"")</f>
      </c>
      <c r="O23" s="39">
        <f>IF(Schema!P24&gt;0,Schema!P24,"")</f>
      </c>
      <c r="P23" s="39">
        <f>IF(Schema!Q24&gt;0,Schema!Q24,"")</f>
      </c>
      <c r="Q23" s="39">
        <f>IF(Schema!T24&gt;0,Schema!T24,"")</f>
      </c>
      <c r="R23" s="39">
        <f>IF(Schema!U24&gt;0,Schema!U24,"")</f>
      </c>
      <c r="S23" s="39">
        <f>IF(Schema!V24&gt;0,Schema!V24,"")</f>
      </c>
      <c r="T23" s="39">
        <f>IF(Schema!W24&gt;0,Schema!W24,"")</f>
      </c>
      <c r="U23" s="39">
        <f>IF(Schema!X24&gt;0,Schema!X24,"")</f>
      </c>
      <c r="V23" s="39">
        <f>IF(Schema!Y24&gt;0,Schema!Y24,"")</f>
      </c>
      <c r="W23" s="39">
        <f>IF(Schema!Z24&gt;0,Schema!Z24,"")</f>
      </c>
      <c r="X23" s="39">
        <f>IF(Schema!AA24&gt;0,Schema!AA24,"")</f>
      </c>
      <c r="Y23" s="39">
        <f>IF(Schema!AB24&gt;0,Schema!AB24,"")</f>
      </c>
      <c r="Z23" s="39">
        <f>IF(Schema!AC24&gt;0,Schema!AC24,"")</f>
      </c>
      <c r="AA23" s="39">
        <f>IF(Schema!AF24&gt;0,Schema!AF24,"")</f>
      </c>
      <c r="AB23" s="39">
        <f>IF(Schema!AG24&gt;0,Schema!AG24,"")</f>
      </c>
      <c r="AC23" s="39">
        <f>IF(Schema!AH24&gt;0,Schema!AH24,"")</f>
      </c>
      <c r="AD23" s="39">
        <f>IF(Schema!AI24&gt;0,Schema!AI24,"")</f>
      </c>
      <c r="AE23" s="39">
        <f t="shared" si="1"/>
        <v>12</v>
      </c>
      <c r="AF23" s="39">
        <f t="shared" si="2"/>
        <v>12</v>
      </c>
      <c r="AG23" s="39">
        <f t="shared" si="3"/>
        <v>12</v>
      </c>
      <c r="AH23" s="39">
        <f t="shared" si="4"/>
        <v>12</v>
      </c>
      <c r="AI23" s="39">
        <f t="shared" si="5"/>
        <v>12</v>
      </c>
      <c r="AJ23" s="39">
        <f t="shared" si="6"/>
        <v>12</v>
      </c>
      <c r="AK23" s="39">
        <f t="shared" si="7"/>
        <v>12</v>
      </c>
      <c r="AL23" s="39">
        <f t="shared" si="8"/>
        <v>12</v>
      </c>
      <c r="AM23" s="39">
        <f t="shared" si="9"/>
        <v>12</v>
      </c>
      <c r="AN23" s="39">
        <f t="shared" si="10"/>
        <v>12</v>
      </c>
      <c r="AO23" s="39">
        <f t="shared" si="11"/>
        <v>12</v>
      </c>
      <c r="AP23" s="39">
        <f t="shared" si="12"/>
        <v>12</v>
      </c>
      <c r="AQ23" s="39">
        <f t="shared" si="13"/>
        <v>12</v>
      </c>
      <c r="AR23" s="39">
        <f t="shared" si="14"/>
        <v>12</v>
      </c>
      <c r="AS23" s="39">
        <f t="shared" si="15"/>
        <v>12</v>
      </c>
      <c r="AT23" s="39">
        <f t="shared" si="16"/>
        <v>12</v>
      </c>
      <c r="AU23" s="39">
        <f t="shared" si="17"/>
        <v>12</v>
      </c>
      <c r="AV23" s="39">
        <f t="shared" si="18"/>
        <v>12</v>
      </c>
      <c r="AW23" s="39">
        <f t="shared" si="19"/>
        <v>12</v>
      </c>
      <c r="AX23" s="39">
        <f t="shared" si="20"/>
        <v>12</v>
      </c>
      <c r="AY23" s="39">
        <f t="shared" si="21"/>
        <v>12</v>
      </c>
      <c r="AZ23" s="39">
        <f t="shared" si="22"/>
        <v>12</v>
      </c>
      <c r="BA23" s="39">
        <f t="shared" si="23"/>
        <v>12</v>
      </c>
      <c r="BB23" s="39">
        <f t="shared" si="24"/>
        <v>12</v>
      </c>
      <c r="BC23" s="39">
        <f t="shared" si="25"/>
        <v>12</v>
      </c>
    </row>
    <row r="24" spans="1:55" ht="12.75" hidden="1">
      <c r="A24" s="40">
        <f>IF((OR(Schema!F25="vakant",Schema!H25="vakant")),Schema!A26,Schema!A25)</f>
        <v>0</v>
      </c>
      <c r="B24" s="42">
        <f>IF(A24&gt;0,(VLOOKUP(A24,Tider!$A$3:$C$26,2,FALSE)),"")</f>
      </c>
      <c r="C24" s="21">
        <f>+IF(Schema!D25&gt;0,Schema!D25,"")</f>
      </c>
      <c r="D24" s="42" t="e">
        <f>+VLOOKUP(A24,Tider!$A$3:$C$26,3,FALSE)</f>
        <v>#N/A</v>
      </c>
      <c r="E24" s="20">
        <f>IF(OR(Schema!F25="vakant",Schema!H25="vakant"),Schema!F26,Schema!F25)</f>
        <v>0</v>
      </c>
      <c r="F24" s="21">
        <f>+IF(Schema!G25&gt;0,Schema!G25,"")</f>
      </c>
      <c r="G24" s="20">
        <f>IF(OR(Schema!H25="vakant",Schema!F25="vakant"),Schema!H26,Schema!H25)</f>
        <v>0</v>
      </c>
      <c r="H24" s="21">
        <f>+IF(Schema!I25&gt;0,Schema!I25,"")</f>
      </c>
      <c r="I24" s="21">
        <f>+IF(Schema!J25&gt;0,Schema!J25,"")</f>
      </c>
      <c r="J24" s="21">
        <f>+IF(Schema!K25&gt;0,Schema!K25,"")</f>
      </c>
      <c r="K24" s="21">
        <f>+IF(Schema!L25&gt;0,Schema!L25,"")</f>
      </c>
      <c r="L24" s="39">
        <f>IF(Schema!M25&gt;0,Schema!M25,"")</f>
      </c>
      <c r="M24" s="39">
        <f>IF(Schema!N25&gt;0,Schema!N25,"")</f>
      </c>
      <c r="N24" s="39">
        <f>IF(Schema!O25&gt;0,Schema!O25,"")</f>
      </c>
      <c r="O24" s="39">
        <f>IF(Schema!P25&gt;0,Schema!P25,"")</f>
      </c>
      <c r="P24" s="39">
        <f>IF(Schema!Q25&gt;0,Schema!Q25,"")</f>
      </c>
      <c r="Q24" s="39">
        <f>IF(Schema!T25&gt;0,Schema!T25,"")</f>
      </c>
      <c r="R24" s="39">
        <f>IF(Schema!U25&gt;0,Schema!U25,"")</f>
      </c>
      <c r="S24" s="39">
        <f>IF(Schema!V25&gt;0,Schema!V25,"")</f>
      </c>
      <c r="T24" s="39">
        <f>IF(Schema!W25&gt;0,Schema!W25,"")</f>
      </c>
      <c r="U24" s="39">
        <f>IF(Schema!X25&gt;0,Schema!X25,"")</f>
      </c>
      <c r="V24" s="39">
        <f>IF(Schema!Y25&gt;0,Schema!Y25,"")</f>
      </c>
      <c r="W24" s="39">
        <f>IF(Schema!Z25&gt;0,Schema!Z25,"")</f>
      </c>
      <c r="X24" s="39">
        <f>IF(Schema!AA25&gt;0,Schema!AA25,"")</f>
      </c>
      <c r="Y24" s="39">
        <f>IF(Schema!AB25&gt;0,Schema!AB25,"")</f>
      </c>
      <c r="Z24" s="39">
        <f>IF(Schema!AC25&gt;0,Schema!AC25,"")</f>
      </c>
      <c r="AA24" s="39">
        <f>IF(Schema!AF25&gt;0,Schema!AF25,"")</f>
      </c>
      <c r="AB24" s="39">
        <f>IF(Schema!AG25&gt;0,Schema!AG25,"")</f>
      </c>
      <c r="AC24" s="39">
        <f>IF(Schema!AH25&gt;0,Schema!AH25,"")</f>
      </c>
      <c r="AD24" s="39">
        <f>IF(Schema!AI25&gt;0,Schema!AI25,"")</f>
      </c>
      <c r="AE24" s="39">
        <f t="shared" si="1"/>
        <v>0</v>
      </c>
      <c r="AF24" s="39">
        <f t="shared" si="2"/>
        <v>0</v>
      </c>
      <c r="AG24" s="39">
        <f t="shared" si="3"/>
        <v>0</v>
      </c>
      <c r="AH24" s="39">
        <f t="shared" si="4"/>
        <v>0</v>
      </c>
      <c r="AI24" s="39">
        <f t="shared" si="5"/>
        <v>0</v>
      </c>
      <c r="AJ24" s="39">
        <f t="shared" si="6"/>
        <v>0</v>
      </c>
      <c r="AK24" s="39">
        <f t="shared" si="7"/>
        <v>0</v>
      </c>
      <c r="AL24" s="39">
        <f t="shared" si="8"/>
        <v>0</v>
      </c>
      <c r="AM24" s="39">
        <f t="shared" si="9"/>
        <v>0</v>
      </c>
      <c r="AN24" s="39">
        <f t="shared" si="10"/>
        <v>0</v>
      </c>
      <c r="AO24" s="39">
        <f t="shared" si="11"/>
        <v>0</v>
      </c>
      <c r="AP24" s="39">
        <f t="shared" si="12"/>
        <v>0</v>
      </c>
      <c r="AQ24" s="39">
        <f t="shared" si="13"/>
        <v>0</v>
      </c>
      <c r="AR24" s="39">
        <f t="shared" si="14"/>
        <v>0</v>
      </c>
      <c r="AS24" s="39">
        <f t="shared" si="15"/>
        <v>0</v>
      </c>
      <c r="AT24" s="39">
        <f t="shared" si="16"/>
        <v>0</v>
      </c>
      <c r="AU24" s="39">
        <f t="shared" si="17"/>
        <v>0</v>
      </c>
      <c r="AV24" s="39">
        <f t="shared" si="18"/>
        <v>0</v>
      </c>
      <c r="AW24" s="39">
        <f t="shared" si="19"/>
        <v>0</v>
      </c>
      <c r="AX24" s="39">
        <f t="shared" si="20"/>
        <v>0</v>
      </c>
      <c r="AY24" s="39">
        <f t="shared" si="21"/>
        <v>0</v>
      </c>
      <c r="AZ24" s="39">
        <f t="shared" si="22"/>
        <v>0</v>
      </c>
      <c r="BA24" s="39">
        <f t="shared" si="23"/>
        <v>0</v>
      </c>
      <c r="BB24" s="39">
        <f t="shared" si="24"/>
        <v>0</v>
      </c>
      <c r="BC24" s="39">
        <f t="shared" si="25"/>
        <v>0</v>
      </c>
    </row>
    <row r="25" spans="1:55" ht="12.75" hidden="1">
      <c r="A25" s="40">
        <f>IF((OR(Schema!F26="vakant",Schema!H26="vakant")),Schema!A27,Schema!A26)</f>
        <v>13</v>
      </c>
      <c r="B25" s="42">
        <f>IF(A25&gt;0,(VLOOKUP(A25,Tider!$A$3:$C$26,2,FALSE)),"")</f>
        <v>0.44166666666666693</v>
      </c>
      <c r="C25" s="21" t="str">
        <f>+IF(Schema!D26&gt;0,Schema!D26,"")</f>
        <v>-</v>
      </c>
      <c r="D25" s="42">
        <f>+VLOOKUP(A25,Tider!$A$3:$C$26,3,FALSE)</f>
        <v>0.4500000000000003</v>
      </c>
      <c r="E25" s="20" t="str">
        <f>IF(OR(Schema!F26="vakant",Schema!H26="vakant"),Schema!F27,Schema!F26)</f>
        <v>Teckomatorps SK</v>
      </c>
      <c r="F25" s="21" t="str">
        <f>+IF(Schema!G26&gt;0,Schema!G26,"")</f>
        <v>-</v>
      </c>
      <c r="G25" s="20" t="str">
        <f>IF(OR(Schema!H26="vakant",Schema!F26="vakant"),Schema!H27,Schema!H26)</f>
        <v>Kågeröds BoIF</v>
      </c>
      <c r="H25" s="21">
        <f>+IF(Schema!I26&gt;0,Schema!I26,"")</f>
      </c>
      <c r="I25" s="21" t="str">
        <f>+IF(Schema!J26&gt;0,Schema!J26,"")</f>
        <v>-</v>
      </c>
      <c r="J25" s="21">
        <f>+IF(Schema!K26&gt;0,Schema!K26,"")</f>
      </c>
      <c r="K25" s="21">
        <f>+IF(Schema!L26&gt;0,Schema!L26,"")</f>
      </c>
      <c r="L25" s="39">
        <f>IF(Schema!M26&gt;0,Schema!M26,"")</f>
      </c>
      <c r="M25" s="39">
        <f>IF(Schema!N26&gt;0,Schema!N26,"")</f>
      </c>
      <c r="N25" s="39">
        <f>IF(Schema!O26&gt;0,Schema!O26,"")</f>
      </c>
      <c r="O25" s="39">
        <f>IF(Schema!P26&gt;0,Schema!P26,"")</f>
      </c>
      <c r="P25" s="39">
        <f>IF(Schema!Q26&gt;0,Schema!Q26,"")</f>
      </c>
      <c r="Q25" s="39">
        <f>IF(Schema!T26&gt;0,Schema!T26,"")</f>
      </c>
      <c r="R25" s="39">
        <f>IF(Schema!U26&gt;0,Schema!U26,"")</f>
      </c>
      <c r="S25" s="39">
        <f>IF(Schema!V26&gt;0,Schema!V26,"")</f>
      </c>
      <c r="T25" s="39">
        <f>IF(Schema!W26&gt;0,Schema!W26,"")</f>
      </c>
      <c r="U25" s="39">
        <f>IF(Schema!X26&gt;0,Schema!X26,"")</f>
      </c>
      <c r="V25" s="39">
        <f>IF(Schema!Y26&gt;0,Schema!Y26,"")</f>
      </c>
      <c r="W25" s="39">
        <f>IF(Schema!Z26&gt;0,Schema!Z26,"")</f>
      </c>
      <c r="X25" s="39">
        <f>IF(Schema!AA26&gt;0,Schema!AA26,"")</f>
      </c>
      <c r="Y25" s="39">
        <f>IF(Schema!AB26&gt;0,Schema!AB26,"")</f>
      </c>
      <c r="Z25" s="39">
        <f>IF(Schema!AC26&gt;0,Schema!AC26,"")</f>
      </c>
      <c r="AA25" s="39">
        <f>IF(Schema!AF26&gt;0,Schema!AF26,"")</f>
      </c>
      <c r="AB25" s="39">
        <f>IF(Schema!AG26&gt;0,Schema!AG26,"")</f>
      </c>
      <c r="AC25" s="39">
        <f>IF(Schema!AH26&gt;0,Schema!AH26,"")</f>
      </c>
      <c r="AD25" s="39">
        <f>IF(Schema!AI26&gt;0,Schema!AI26,"")</f>
      </c>
      <c r="AE25" s="39">
        <f t="shared" si="1"/>
        <v>13</v>
      </c>
      <c r="AF25" s="39">
        <f t="shared" si="2"/>
        <v>13</v>
      </c>
      <c r="AG25" s="39">
        <f t="shared" si="3"/>
        <v>13</v>
      </c>
      <c r="AH25" s="39">
        <f t="shared" si="4"/>
        <v>13</v>
      </c>
      <c r="AI25" s="39">
        <f t="shared" si="5"/>
        <v>13</v>
      </c>
      <c r="AJ25" s="39">
        <f t="shared" si="6"/>
        <v>13</v>
      </c>
      <c r="AK25" s="39">
        <f t="shared" si="7"/>
        <v>13</v>
      </c>
      <c r="AL25" s="39">
        <f t="shared" si="8"/>
        <v>13</v>
      </c>
      <c r="AM25" s="39">
        <f t="shared" si="9"/>
        <v>13</v>
      </c>
      <c r="AN25" s="39">
        <f t="shared" si="10"/>
        <v>13</v>
      </c>
      <c r="AO25" s="39">
        <f t="shared" si="11"/>
        <v>13</v>
      </c>
      <c r="AP25" s="39">
        <f t="shared" si="12"/>
        <v>13</v>
      </c>
      <c r="AQ25" s="39">
        <f t="shared" si="13"/>
        <v>13</v>
      </c>
      <c r="AR25" s="39">
        <f t="shared" si="14"/>
        <v>13</v>
      </c>
      <c r="AS25" s="39">
        <f t="shared" si="15"/>
        <v>13</v>
      </c>
      <c r="AT25" s="39">
        <f t="shared" si="16"/>
        <v>13</v>
      </c>
      <c r="AU25" s="39">
        <f t="shared" si="17"/>
        <v>13</v>
      </c>
      <c r="AV25" s="39">
        <f t="shared" si="18"/>
        <v>13</v>
      </c>
      <c r="AW25" s="39">
        <f t="shared" si="19"/>
        <v>13</v>
      </c>
      <c r="AX25" s="39">
        <f t="shared" si="20"/>
        <v>13</v>
      </c>
      <c r="AY25" s="39">
        <f t="shared" si="21"/>
        <v>13</v>
      </c>
      <c r="AZ25" s="39">
        <f t="shared" si="22"/>
        <v>13</v>
      </c>
      <c r="BA25" s="39">
        <f t="shared" si="23"/>
        <v>13</v>
      </c>
      <c r="BB25" s="39">
        <f t="shared" si="24"/>
        <v>13</v>
      </c>
      <c r="BC25" s="39">
        <f t="shared" si="25"/>
        <v>13</v>
      </c>
    </row>
    <row r="26" spans="1:55" ht="12.75" hidden="1">
      <c r="A26" s="40">
        <f>IF((OR(Schema!F27="vakant",Schema!H27="vakant")),Schema!A28,Schema!A27)</f>
        <v>14</v>
      </c>
      <c r="B26" s="42">
        <f>IF(A26&gt;0,(VLOOKUP(A26,Tider!$A$3:$C$26,2,FALSE)),"")</f>
        <v>0.45069444444444473</v>
      </c>
      <c r="C26" s="21" t="str">
        <f>+IF(Schema!D27&gt;0,Schema!D27,"")</f>
        <v>-</v>
      </c>
      <c r="D26" s="42">
        <f>+VLOOKUP(A26,Tider!$A$3:$C$26,3,FALSE)</f>
        <v>0.4590277777777781</v>
      </c>
      <c r="E26" s="20" t="str">
        <f>IF(OR(Schema!F27="vakant",Schema!H27="vakant"),Schema!F28,Schema!F27)</f>
        <v>Marieholms IS</v>
      </c>
      <c r="F26" s="21" t="str">
        <f>+IF(Schema!G27&gt;0,Schema!G27,"")</f>
        <v>-</v>
      </c>
      <c r="G26" s="20" t="str">
        <f>IF(OR(Schema!H27="vakant",Schema!F27="vakant"),Schema!H28,Schema!H27)</f>
        <v>Svalövs BK 2</v>
      </c>
      <c r="H26" s="21">
        <f>+IF(Schema!I27&gt;0,Schema!I27,"")</f>
      </c>
      <c r="I26" s="21" t="str">
        <f>+IF(Schema!J27&gt;0,Schema!J27,"")</f>
        <v>-</v>
      </c>
      <c r="J26" s="21">
        <f>+IF(Schema!K27&gt;0,Schema!K27,"")</f>
      </c>
      <c r="K26" s="21">
        <f>+IF(Schema!L27&gt;0,Schema!L27,"")</f>
      </c>
      <c r="L26" s="39">
        <f>IF(Schema!M27&gt;0,Schema!M27,"")</f>
      </c>
      <c r="M26" s="39">
        <f>IF(Schema!N27&gt;0,Schema!N27,"")</f>
      </c>
      <c r="N26" s="39">
        <f>IF(Schema!O27&gt;0,Schema!O27,"")</f>
      </c>
      <c r="O26" s="39">
        <f>IF(Schema!P27&gt;0,Schema!P27,"")</f>
      </c>
      <c r="P26" s="39">
        <f>IF(Schema!Q27&gt;0,Schema!Q27,"")</f>
      </c>
      <c r="Q26" s="39">
        <f>IF(Schema!T27&gt;0,Schema!T27,"")</f>
      </c>
      <c r="R26" s="39">
        <f>IF(Schema!U27&gt;0,Schema!U27,"")</f>
      </c>
      <c r="S26" s="39">
        <f>IF(Schema!V27&gt;0,Schema!V27,"")</f>
      </c>
      <c r="T26" s="39">
        <f>IF(Schema!W27&gt;0,Schema!W27,"")</f>
      </c>
      <c r="U26" s="39">
        <f>IF(Schema!X27&gt;0,Schema!X27,"")</f>
      </c>
      <c r="V26" s="39">
        <f>IF(Schema!Y27&gt;0,Schema!Y27,"")</f>
      </c>
      <c r="W26" s="39">
        <f>IF(Schema!Z27&gt;0,Schema!Z27,"")</f>
      </c>
      <c r="X26" s="39">
        <f>IF(Schema!AA27&gt;0,Schema!AA27,"")</f>
      </c>
      <c r="Y26" s="39">
        <f>IF(Schema!AB27&gt;0,Schema!AB27,"")</f>
      </c>
      <c r="Z26" s="39">
        <f>IF(Schema!AC27&gt;0,Schema!AC27,"")</f>
      </c>
      <c r="AA26" s="39">
        <f>IF(Schema!AF27&gt;0,Schema!AF27,"")</f>
      </c>
      <c r="AB26" s="39">
        <f>IF(Schema!AG27&gt;0,Schema!AG27,"")</f>
      </c>
      <c r="AC26" s="39">
        <f>IF(Schema!AH27&gt;0,Schema!AH27,"")</f>
      </c>
      <c r="AD26" s="39">
        <f>IF(Schema!AI27&gt;0,Schema!AI27,"")</f>
      </c>
      <c r="AE26" s="39">
        <f t="shared" si="1"/>
        <v>14</v>
      </c>
      <c r="AF26" s="39">
        <f t="shared" si="2"/>
        <v>14</v>
      </c>
      <c r="AG26" s="39">
        <f t="shared" si="3"/>
        <v>14</v>
      </c>
      <c r="AH26" s="39">
        <f t="shared" si="4"/>
        <v>14</v>
      </c>
      <c r="AI26" s="39">
        <f t="shared" si="5"/>
        <v>14</v>
      </c>
      <c r="AJ26" s="39">
        <f t="shared" si="6"/>
        <v>14</v>
      </c>
      <c r="AK26" s="39">
        <f t="shared" si="7"/>
        <v>14</v>
      </c>
      <c r="AL26" s="39">
        <f t="shared" si="8"/>
        <v>14</v>
      </c>
      <c r="AM26" s="39">
        <f t="shared" si="9"/>
        <v>14</v>
      </c>
      <c r="AN26" s="39">
        <f t="shared" si="10"/>
        <v>14</v>
      </c>
      <c r="AO26" s="39">
        <f t="shared" si="11"/>
        <v>14</v>
      </c>
      <c r="AP26" s="39">
        <f t="shared" si="12"/>
        <v>14</v>
      </c>
      <c r="AQ26" s="39">
        <f t="shared" si="13"/>
        <v>14</v>
      </c>
      <c r="AR26" s="39">
        <f t="shared" si="14"/>
        <v>14</v>
      </c>
      <c r="AS26" s="39">
        <f t="shared" si="15"/>
        <v>14</v>
      </c>
      <c r="AT26" s="39">
        <f t="shared" si="16"/>
        <v>14</v>
      </c>
      <c r="AU26" s="39">
        <f t="shared" si="17"/>
        <v>14</v>
      </c>
      <c r="AV26" s="39">
        <f t="shared" si="18"/>
        <v>14</v>
      </c>
      <c r="AW26" s="39">
        <f t="shared" si="19"/>
        <v>14</v>
      </c>
      <c r="AX26" s="39">
        <f t="shared" si="20"/>
        <v>14</v>
      </c>
      <c r="AY26" s="39">
        <f t="shared" si="21"/>
        <v>14</v>
      </c>
      <c r="AZ26" s="39">
        <f t="shared" si="22"/>
        <v>14</v>
      </c>
      <c r="BA26" s="39">
        <f t="shared" si="23"/>
        <v>14</v>
      </c>
      <c r="BB26" s="39">
        <f t="shared" si="24"/>
        <v>14</v>
      </c>
      <c r="BC26" s="39">
        <f t="shared" si="25"/>
        <v>14</v>
      </c>
    </row>
    <row r="27" spans="1:55" ht="12.75" hidden="1">
      <c r="A27" s="40">
        <f>IF((OR(Schema!F28="vakant",Schema!H28="vakant")),Schema!A29,Schema!A28)</f>
        <v>15</v>
      </c>
      <c r="B27" s="42">
        <f>IF(A27&gt;0,(VLOOKUP(A27,Tider!$A$3:$C$26,2,FALSE)),"")</f>
        <v>0.45972222222222253</v>
      </c>
      <c r="C27" s="21" t="str">
        <f>+IF(Schema!D28&gt;0,Schema!D28,"")</f>
        <v>-</v>
      </c>
      <c r="D27" s="42">
        <f>+VLOOKUP(A27,Tider!$A$3:$C$26,3,FALSE)</f>
        <v>0.4680555555555559</v>
      </c>
      <c r="E27" s="20" t="str">
        <f>IF(OR(Schema!F28="vakant",Schema!H28="vakant"),Schema!F29,Schema!F28)</f>
        <v>Eskilsminne IF</v>
      </c>
      <c r="F27" s="21" t="str">
        <f>+IF(Schema!G28&gt;0,Schema!G28,"")</f>
        <v>-</v>
      </c>
      <c r="G27" s="20" t="str">
        <f>IF(OR(Schema!H28="vakant",Schema!F28="vakant"),Schema!H29,Schema!H28)</f>
        <v>Billeberga GIF</v>
      </c>
      <c r="H27" s="21">
        <f>+IF(Schema!I28&gt;0,Schema!I28,"")</f>
      </c>
      <c r="I27" s="21" t="str">
        <f>+IF(Schema!J28&gt;0,Schema!J28,"")</f>
        <v>-</v>
      </c>
      <c r="J27" s="21">
        <f>+IF(Schema!K28&gt;0,Schema!K28,"")</f>
      </c>
      <c r="K27" s="21">
        <f>+IF(Schema!L28&gt;0,Schema!L28,"")</f>
      </c>
      <c r="L27" s="39">
        <f>IF(Schema!M28&gt;0,Schema!M28,"")</f>
      </c>
      <c r="M27" s="39">
        <f>IF(Schema!N28&gt;0,Schema!N28,"")</f>
      </c>
      <c r="N27" s="39">
        <f>IF(Schema!O28&gt;0,Schema!O28,"")</f>
      </c>
      <c r="O27" s="39">
        <f>IF(Schema!P28&gt;0,Schema!P28,"")</f>
      </c>
      <c r="P27" s="39">
        <f>IF(Schema!Q28&gt;0,Schema!Q28,"")</f>
      </c>
      <c r="Q27" s="39">
        <f>IF(Schema!T28&gt;0,Schema!T28,"")</f>
      </c>
      <c r="R27" s="39">
        <f>IF(Schema!U28&gt;0,Schema!U28,"")</f>
      </c>
      <c r="S27" s="39">
        <f>IF(Schema!V28&gt;0,Schema!V28,"")</f>
      </c>
      <c r="T27" s="39">
        <f>IF(Schema!W28&gt;0,Schema!W28,"")</f>
      </c>
      <c r="U27" s="39">
        <f>IF(Schema!X28&gt;0,Schema!X28,"")</f>
      </c>
      <c r="V27" s="39">
        <f>IF(Schema!Y28&gt;0,Schema!Y28,"")</f>
      </c>
      <c r="W27" s="39">
        <f>IF(Schema!Z28&gt;0,Schema!Z28,"")</f>
      </c>
      <c r="X27" s="39">
        <f>IF(Schema!AA28&gt;0,Schema!AA28,"")</f>
      </c>
      <c r="Y27" s="39">
        <f>IF(Schema!AB28&gt;0,Schema!AB28,"")</f>
      </c>
      <c r="Z27" s="39">
        <f>IF(Schema!AC28&gt;0,Schema!AC28,"")</f>
      </c>
      <c r="AA27" s="39">
        <f>IF(Schema!AF28&gt;0,Schema!AF28,"")</f>
      </c>
      <c r="AB27" s="39">
        <f>IF(Schema!AG28&gt;0,Schema!AG28,"")</f>
      </c>
      <c r="AC27" s="39">
        <f>IF(Schema!AH28&gt;0,Schema!AH28,"")</f>
      </c>
      <c r="AD27" s="39">
        <f>IF(Schema!AI28&gt;0,Schema!AI28,"")</f>
      </c>
      <c r="AE27" s="39">
        <f t="shared" si="1"/>
        <v>15</v>
      </c>
      <c r="AF27" s="39">
        <f t="shared" si="2"/>
        <v>15</v>
      </c>
      <c r="AG27" s="39">
        <f t="shared" si="3"/>
        <v>15</v>
      </c>
      <c r="AH27" s="39">
        <f t="shared" si="4"/>
        <v>15</v>
      </c>
      <c r="AI27" s="39">
        <f t="shared" si="5"/>
        <v>15</v>
      </c>
      <c r="AJ27" s="39">
        <f t="shared" si="6"/>
        <v>15</v>
      </c>
      <c r="AK27" s="39">
        <f t="shared" si="7"/>
        <v>15</v>
      </c>
      <c r="AL27" s="39">
        <f t="shared" si="8"/>
        <v>15</v>
      </c>
      <c r="AM27" s="39">
        <f t="shared" si="9"/>
        <v>15</v>
      </c>
      <c r="AN27" s="39">
        <f t="shared" si="10"/>
        <v>15</v>
      </c>
      <c r="AO27" s="39">
        <f t="shared" si="11"/>
        <v>15</v>
      </c>
      <c r="AP27" s="39">
        <f t="shared" si="12"/>
        <v>15</v>
      </c>
      <c r="AQ27" s="39">
        <f t="shared" si="13"/>
        <v>15</v>
      </c>
      <c r="AR27" s="39">
        <f t="shared" si="14"/>
        <v>15</v>
      </c>
      <c r="AS27" s="39">
        <f t="shared" si="15"/>
        <v>15</v>
      </c>
      <c r="AT27" s="39">
        <f t="shared" si="16"/>
        <v>15</v>
      </c>
      <c r="AU27" s="39">
        <f t="shared" si="17"/>
        <v>15</v>
      </c>
      <c r="AV27" s="39">
        <f t="shared" si="18"/>
        <v>15</v>
      </c>
      <c r="AW27" s="39">
        <f t="shared" si="19"/>
        <v>15</v>
      </c>
      <c r="AX27" s="39">
        <f t="shared" si="20"/>
        <v>15</v>
      </c>
      <c r="AY27" s="39">
        <f t="shared" si="21"/>
        <v>15</v>
      </c>
      <c r="AZ27" s="39">
        <f t="shared" si="22"/>
        <v>15</v>
      </c>
      <c r="BA27" s="39">
        <f t="shared" si="23"/>
        <v>15</v>
      </c>
      <c r="BB27" s="39">
        <f t="shared" si="24"/>
        <v>15</v>
      </c>
      <c r="BC27" s="39">
        <f t="shared" si="25"/>
        <v>15</v>
      </c>
    </row>
    <row r="28" spans="1:55" ht="12.75" hidden="1">
      <c r="A28" s="40">
        <f>IF((OR(Schema!F29="vakant",Schema!H29="vakant")),Schema!A30,Schema!A29)</f>
        <v>16</v>
      </c>
      <c r="B28" s="42">
        <f>IF(A28&gt;0,(VLOOKUP(A28,Tider!$A$3:$C$26,2,FALSE)),"")</f>
        <v>0.46875000000000033</v>
      </c>
      <c r="C28" s="21" t="str">
        <f>+IF(Schema!D29&gt;0,Schema!D29,"")</f>
        <v>-</v>
      </c>
      <c r="D28" s="42">
        <f>+VLOOKUP(A28,Tider!$A$3:$C$26,3,FALSE)</f>
        <v>0.4770833333333337</v>
      </c>
      <c r="E28" s="20" t="str">
        <f>IF(OR(Schema!F29="vakant",Schema!H29="vakant"),Schema!F30,Schema!F29)</f>
        <v>IK Wormo</v>
      </c>
      <c r="F28" s="21" t="str">
        <f>+IF(Schema!G29&gt;0,Schema!G29,"")</f>
        <v>-</v>
      </c>
      <c r="G28" s="20" t="str">
        <f>IF(OR(Schema!H29="vakant",Schema!F29="vakant"),Schema!H30,Schema!H29)</f>
        <v>Svalövs BK 1</v>
      </c>
      <c r="H28" s="21">
        <f>+IF(Schema!I29&gt;0,Schema!I29,"")</f>
      </c>
      <c r="I28" s="21" t="str">
        <f>+IF(Schema!J29&gt;0,Schema!J29,"")</f>
        <v>-</v>
      </c>
      <c r="J28" s="21">
        <f>+IF(Schema!K29&gt;0,Schema!K29,"")</f>
      </c>
      <c r="K28" s="21">
        <f>+IF(Schema!L29&gt;0,Schema!L29,"")</f>
      </c>
      <c r="L28" s="39">
        <f>IF(Schema!M29&gt;0,Schema!M29,"")</f>
      </c>
      <c r="M28" s="39">
        <f>IF(Schema!N29&gt;0,Schema!N29,"")</f>
      </c>
      <c r="N28" s="39">
        <f>IF(Schema!O29&gt;0,Schema!O29,"")</f>
      </c>
      <c r="O28" s="39">
        <f>IF(Schema!P29&gt;0,Schema!P29,"")</f>
      </c>
      <c r="P28" s="39">
        <f>IF(Schema!Q29&gt;0,Schema!Q29,"")</f>
      </c>
      <c r="Q28" s="39">
        <f>IF(Schema!T29&gt;0,Schema!T29,"")</f>
      </c>
      <c r="R28" s="39">
        <f>IF(Schema!U29&gt;0,Schema!U29,"")</f>
      </c>
      <c r="S28" s="39">
        <f>IF(Schema!V29&gt;0,Schema!V29,"")</f>
      </c>
      <c r="T28" s="39">
        <f>IF(Schema!W29&gt;0,Schema!W29,"")</f>
      </c>
      <c r="U28" s="39">
        <f>IF(Schema!X29&gt;0,Schema!X29,"")</f>
      </c>
      <c r="V28" s="39">
        <f>IF(Schema!Y29&gt;0,Schema!Y29,"")</f>
      </c>
      <c r="W28" s="39">
        <f>IF(Schema!Z29&gt;0,Schema!Z29,"")</f>
      </c>
      <c r="X28" s="39">
        <f>IF(Schema!AA29&gt;0,Schema!AA29,"")</f>
      </c>
      <c r="Y28" s="39">
        <f>IF(Schema!AB29&gt;0,Schema!AB29,"")</f>
      </c>
      <c r="Z28" s="39">
        <f>IF(Schema!AC29&gt;0,Schema!AC29,"")</f>
      </c>
      <c r="AA28" s="39">
        <f>IF(Schema!AF29&gt;0,Schema!AF29,"")</f>
      </c>
      <c r="AB28" s="39">
        <f>IF(Schema!AG29&gt;0,Schema!AG29,"")</f>
      </c>
      <c r="AC28" s="39">
        <f>IF(Schema!AH29&gt;0,Schema!AH29,"")</f>
      </c>
      <c r="AD28" s="39">
        <f>IF(Schema!AI29&gt;0,Schema!AI29,"")</f>
      </c>
      <c r="AE28" s="39">
        <f t="shared" si="1"/>
        <v>16</v>
      </c>
      <c r="AF28" s="39">
        <f t="shared" si="2"/>
        <v>16</v>
      </c>
      <c r="AG28" s="39">
        <f t="shared" si="3"/>
        <v>16</v>
      </c>
      <c r="AH28" s="39">
        <f t="shared" si="4"/>
        <v>16</v>
      </c>
      <c r="AI28" s="39">
        <f t="shared" si="5"/>
        <v>16</v>
      </c>
      <c r="AJ28" s="39">
        <f t="shared" si="6"/>
        <v>16</v>
      </c>
      <c r="AK28" s="39">
        <f t="shared" si="7"/>
        <v>16</v>
      </c>
      <c r="AL28" s="39">
        <f t="shared" si="8"/>
        <v>16</v>
      </c>
      <c r="AM28" s="39">
        <f t="shared" si="9"/>
        <v>16</v>
      </c>
      <c r="AN28" s="39">
        <f t="shared" si="10"/>
        <v>16</v>
      </c>
      <c r="AO28" s="39">
        <f t="shared" si="11"/>
        <v>16</v>
      </c>
      <c r="AP28" s="39">
        <f t="shared" si="12"/>
        <v>16</v>
      </c>
      <c r="AQ28" s="39">
        <f t="shared" si="13"/>
        <v>16</v>
      </c>
      <c r="AR28" s="39">
        <f t="shared" si="14"/>
        <v>16</v>
      </c>
      <c r="AS28" s="39">
        <f t="shared" si="15"/>
        <v>16</v>
      </c>
      <c r="AT28" s="39">
        <f t="shared" si="16"/>
        <v>16</v>
      </c>
      <c r="AU28" s="39">
        <f t="shared" si="17"/>
        <v>16</v>
      </c>
      <c r="AV28" s="39">
        <f t="shared" si="18"/>
        <v>16</v>
      </c>
      <c r="AW28" s="39">
        <f t="shared" si="19"/>
        <v>16</v>
      </c>
      <c r="AX28" s="39">
        <f t="shared" si="20"/>
        <v>16</v>
      </c>
      <c r="AY28" s="39">
        <f t="shared" si="21"/>
        <v>16</v>
      </c>
      <c r="AZ28" s="39">
        <f t="shared" si="22"/>
        <v>16</v>
      </c>
      <c r="BA28" s="39">
        <f t="shared" si="23"/>
        <v>16</v>
      </c>
      <c r="BB28" s="39">
        <f t="shared" si="24"/>
        <v>16</v>
      </c>
      <c r="BC28" s="39">
        <f t="shared" si="25"/>
        <v>16</v>
      </c>
    </row>
    <row r="29" spans="1:55" ht="12.75" hidden="1">
      <c r="A29" s="40">
        <f>IF((OR(Schema!F30="vakant",Schema!H30="vakant")),Schema!A31,Schema!A30)</f>
        <v>0</v>
      </c>
      <c r="B29" s="42">
        <f>IF(A29&gt;0,(VLOOKUP(A29,Tider!$A$3:$C$26,2,FALSE)),"")</f>
      </c>
      <c r="C29" s="21">
        <f>+IF(Schema!D30&gt;0,Schema!D30,"")</f>
      </c>
      <c r="D29" s="42" t="e">
        <f>+VLOOKUP(A29,Tider!$A$3:$C$26,3,FALSE)</f>
        <v>#N/A</v>
      </c>
      <c r="E29" s="20">
        <f>IF(OR(Schema!F30="vakant",Schema!H30="vakant"),Schema!F31,Schema!F30)</f>
        <v>0</v>
      </c>
      <c r="F29" s="21">
        <f>+IF(Schema!G30&gt;0,Schema!G30,"")</f>
      </c>
      <c r="G29" s="20">
        <f>IF(OR(Schema!H30="vakant",Schema!F30="vakant"),Schema!H31,Schema!H30)</f>
        <v>0</v>
      </c>
      <c r="H29" s="21">
        <f>+IF(Schema!I30&gt;0,Schema!I30,"")</f>
      </c>
      <c r="I29" s="21">
        <f>+IF(Schema!J30&gt;0,Schema!J30,"")</f>
      </c>
      <c r="J29" s="21">
        <f>+IF(Schema!K30&gt;0,Schema!K30,"")</f>
      </c>
      <c r="K29" s="21">
        <f>+IF(Schema!L30&gt;0,Schema!L30,"")</f>
      </c>
      <c r="L29" s="39">
        <f>IF(Schema!M30&gt;0,Schema!M30,"")</f>
      </c>
      <c r="M29" s="39">
        <f>IF(Schema!N30&gt;0,Schema!N30,"")</f>
      </c>
      <c r="N29" s="39">
        <f>IF(Schema!O30&gt;0,Schema!O30,"")</f>
      </c>
      <c r="O29" s="39">
        <f>IF(Schema!P30&gt;0,Schema!P30,"")</f>
      </c>
      <c r="P29" s="39">
        <f>IF(Schema!Q30&gt;0,Schema!Q30,"")</f>
      </c>
      <c r="Q29" s="39">
        <f>IF(Schema!T30&gt;0,Schema!T30,"")</f>
      </c>
      <c r="R29" s="39">
        <f>IF(Schema!U30&gt;0,Schema!U30,"")</f>
      </c>
      <c r="S29" s="39">
        <f>IF(Schema!V30&gt;0,Schema!V30,"")</f>
      </c>
      <c r="T29" s="39">
        <f>IF(Schema!W30&gt;0,Schema!W30,"")</f>
      </c>
      <c r="U29" s="39">
        <f>IF(Schema!X30&gt;0,Schema!X30,"")</f>
      </c>
      <c r="V29" s="39">
        <f>IF(Schema!Y30&gt;0,Schema!Y30,"")</f>
      </c>
      <c r="W29" s="39">
        <f>IF(Schema!Z30&gt;0,Schema!Z30,"")</f>
      </c>
      <c r="X29" s="39">
        <f>IF(Schema!AA30&gt;0,Schema!AA30,"")</f>
      </c>
      <c r="Y29" s="39">
        <f>IF(Schema!AB30&gt;0,Schema!AB30,"")</f>
      </c>
      <c r="Z29" s="39">
        <f>IF(Schema!AC30&gt;0,Schema!AC30,"")</f>
      </c>
      <c r="AA29" s="39">
        <f>IF(Schema!AF30&gt;0,Schema!AF30,"")</f>
      </c>
      <c r="AB29" s="39">
        <f>IF(Schema!AG30&gt;0,Schema!AG30,"")</f>
      </c>
      <c r="AC29" s="39">
        <f>IF(Schema!AH30&gt;0,Schema!AH30,"")</f>
      </c>
      <c r="AD29" s="39">
        <f>IF(Schema!AI30&gt;0,Schema!AI30,"")</f>
      </c>
      <c r="AE29" s="39">
        <f t="shared" si="1"/>
        <v>0</v>
      </c>
      <c r="AF29" s="39">
        <f t="shared" si="2"/>
        <v>0</v>
      </c>
      <c r="AG29" s="39">
        <f t="shared" si="3"/>
        <v>0</v>
      </c>
      <c r="AH29" s="39">
        <f t="shared" si="4"/>
        <v>0</v>
      </c>
      <c r="AI29" s="39">
        <f t="shared" si="5"/>
        <v>0</v>
      </c>
      <c r="AJ29" s="39">
        <f t="shared" si="6"/>
        <v>0</v>
      </c>
      <c r="AK29" s="39">
        <f t="shared" si="7"/>
        <v>0</v>
      </c>
      <c r="AL29" s="39">
        <f t="shared" si="8"/>
        <v>0</v>
      </c>
      <c r="AM29" s="39">
        <f t="shared" si="9"/>
        <v>0</v>
      </c>
      <c r="AN29" s="39">
        <f t="shared" si="10"/>
        <v>0</v>
      </c>
      <c r="AO29" s="39">
        <f t="shared" si="11"/>
        <v>0</v>
      </c>
      <c r="AP29" s="39">
        <f t="shared" si="12"/>
        <v>0</v>
      </c>
      <c r="AQ29" s="39">
        <f t="shared" si="13"/>
        <v>0</v>
      </c>
      <c r="AR29" s="39">
        <f t="shared" si="14"/>
        <v>0</v>
      </c>
      <c r="AS29" s="39">
        <f t="shared" si="15"/>
        <v>0</v>
      </c>
      <c r="AT29" s="39">
        <f t="shared" si="16"/>
        <v>0</v>
      </c>
      <c r="AU29" s="39">
        <f t="shared" si="17"/>
        <v>0</v>
      </c>
      <c r="AV29" s="39">
        <f t="shared" si="18"/>
        <v>0</v>
      </c>
      <c r="AW29" s="39">
        <f t="shared" si="19"/>
        <v>0</v>
      </c>
      <c r="AX29" s="39">
        <f t="shared" si="20"/>
        <v>0</v>
      </c>
      <c r="AY29" s="39">
        <f t="shared" si="21"/>
        <v>0</v>
      </c>
      <c r="AZ29" s="39">
        <f t="shared" si="22"/>
        <v>0</v>
      </c>
      <c r="BA29" s="39">
        <f t="shared" si="23"/>
        <v>0</v>
      </c>
      <c r="BB29" s="39">
        <f t="shared" si="24"/>
        <v>0</v>
      </c>
      <c r="BC29" s="39">
        <f t="shared" si="25"/>
        <v>0</v>
      </c>
    </row>
    <row r="30" spans="1:55" ht="12.75" hidden="1">
      <c r="A30" s="40">
        <f>IF((OR(Schema!F31="vakant",Schema!H31="vakant")),Schema!A32,Schema!A31)</f>
        <v>17</v>
      </c>
      <c r="B30" s="42">
        <f>IF(A30&gt;0,(VLOOKUP(A30,Tider!$A$3:$C$26,2,FALSE)),"")</f>
        <v>0.47777777777777813</v>
      </c>
      <c r="C30" s="21" t="str">
        <f>+IF(Schema!D31&gt;0,Schema!D31,"")</f>
        <v>-</v>
      </c>
      <c r="D30" s="42">
        <f>+VLOOKUP(A30,Tider!$A$3:$C$26,3,FALSE)</f>
        <v>0.4861111111111115</v>
      </c>
      <c r="E30" s="20" t="str">
        <f>IF(OR(Schema!F31="vakant",Schema!H31="vakant"),Schema!F32,Schema!F31)</f>
        <v>Ekeby GIF</v>
      </c>
      <c r="F30" s="21" t="str">
        <f>+IF(Schema!G31&gt;0,Schema!G31,"")</f>
        <v>-</v>
      </c>
      <c r="G30" s="20" t="str">
        <f>IF(OR(Schema!H31="vakant",Schema!F31="vakant"),Schema!H32,Schema!H31)</f>
        <v>Teckomatorps SK</v>
      </c>
      <c r="H30" s="21">
        <f>+IF(Schema!I31&gt;0,Schema!I31,"")</f>
      </c>
      <c r="I30" s="21" t="str">
        <f>+IF(Schema!J31&gt;0,Schema!J31,"")</f>
        <v>-</v>
      </c>
      <c r="J30" s="21">
        <f>+IF(Schema!K31&gt;0,Schema!K31,"")</f>
      </c>
      <c r="K30" s="21">
        <f>+IF(Schema!L31&gt;0,Schema!L31,"")</f>
      </c>
      <c r="L30" s="39">
        <f>IF(Schema!M31&gt;0,Schema!M31,"")</f>
      </c>
      <c r="M30" s="39">
        <f>IF(Schema!N31&gt;0,Schema!N31,"")</f>
      </c>
      <c r="N30" s="39">
        <f>IF(Schema!O31&gt;0,Schema!O31,"")</f>
      </c>
      <c r="O30" s="39">
        <f>IF(Schema!P31&gt;0,Schema!P31,"")</f>
      </c>
      <c r="P30" s="39">
        <f>IF(Schema!Q31&gt;0,Schema!Q31,"")</f>
      </c>
      <c r="Q30" s="39">
        <f>IF(Schema!T31&gt;0,Schema!T31,"")</f>
      </c>
      <c r="R30" s="39">
        <f>IF(Schema!U31&gt;0,Schema!U31,"")</f>
      </c>
      <c r="S30" s="39">
        <f>IF(Schema!V31&gt;0,Schema!V31,"")</f>
      </c>
      <c r="T30" s="39">
        <f>IF(Schema!W31&gt;0,Schema!W31,"")</f>
      </c>
      <c r="U30" s="39">
        <f>IF(Schema!X31&gt;0,Schema!X31,"")</f>
      </c>
      <c r="V30" s="39">
        <f>IF(Schema!Y31&gt;0,Schema!Y31,"")</f>
      </c>
      <c r="W30" s="39">
        <f>IF(Schema!Z31&gt;0,Schema!Z31,"")</f>
      </c>
      <c r="X30" s="39">
        <f>IF(Schema!AA31&gt;0,Schema!AA31,"")</f>
      </c>
      <c r="Y30" s="39">
        <f>IF(Schema!AB31&gt;0,Schema!AB31,"")</f>
      </c>
      <c r="Z30" s="39">
        <f>IF(Schema!AC31&gt;0,Schema!AC31,"")</f>
      </c>
      <c r="AA30" s="39">
        <f>IF(Schema!AF31&gt;0,Schema!AF31,"")</f>
      </c>
      <c r="AB30" s="39">
        <f>IF(Schema!AG31&gt;0,Schema!AG31,"")</f>
      </c>
      <c r="AC30" s="39">
        <f>IF(Schema!AH31&gt;0,Schema!AH31,"")</f>
      </c>
      <c r="AD30" s="39">
        <f>IF(Schema!AI31&gt;0,Schema!AI31,"")</f>
      </c>
      <c r="AE30" s="39">
        <f t="shared" si="1"/>
        <v>17</v>
      </c>
      <c r="AF30" s="39">
        <f t="shared" si="2"/>
        <v>17</v>
      </c>
      <c r="AG30" s="39">
        <f t="shared" si="3"/>
        <v>17</v>
      </c>
      <c r="AH30" s="39">
        <f t="shared" si="4"/>
        <v>17</v>
      </c>
      <c r="AI30" s="39">
        <f t="shared" si="5"/>
        <v>17</v>
      </c>
      <c r="AJ30" s="39">
        <f t="shared" si="6"/>
        <v>17</v>
      </c>
      <c r="AK30" s="39">
        <f t="shared" si="7"/>
        <v>17</v>
      </c>
      <c r="AL30" s="39">
        <f t="shared" si="8"/>
        <v>17</v>
      </c>
      <c r="AM30" s="39">
        <f t="shared" si="9"/>
        <v>17</v>
      </c>
      <c r="AN30" s="39">
        <f t="shared" si="10"/>
        <v>17</v>
      </c>
      <c r="AO30" s="39">
        <f t="shared" si="11"/>
        <v>17</v>
      </c>
      <c r="AP30" s="39">
        <f t="shared" si="12"/>
        <v>17</v>
      </c>
      <c r="AQ30" s="39">
        <f t="shared" si="13"/>
        <v>17</v>
      </c>
      <c r="AR30" s="39">
        <f t="shared" si="14"/>
        <v>17</v>
      </c>
      <c r="AS30" s="39">
        <f t="shared" si="15"/>
        <v>17</v>
      </c>
      <c r="AT30" s="39">
        <f t="shared" si="16"/>
        <v>17</v>
      </c>
      <c r="AU30" s="39">
        <f t="shared" si="17"/>
        <v>17</v>
      </c>
      <c r="AV30" s="39">
        <f t="shared" si="18"/>
        <v>17</v>
      </c>
      <c r="AW30" s="39">
        <f t="shared" si="19"/>
        <v>17</v>
      </c>
      <c r="AX30" s="39">
        <f t="shared" si="20"/>
        <v>17</v>
      </c>
      <c r="AY30" s="39">
        <f t="shared" si="21"/>
        <v>17</v>
      </c>
      <c r="AZ30" s="39">
        <f t="shared" si="22"/>
        <v>17</v>
      </c>
      <c r="BA30" s="39">
        <f t="shared" si="23"/>
        <v>17</v>
      </c>
      <c r="BB30" s="39">
        <f t="shared" si="24"/>
        <v>17</v>
      </c>
      <c r="BC30" s="39">
        <f t="shared" si="25"/>
        <v>17</v>
      </c>
    </row>
    <row r="31" spans="1:55" ht="12.75" hidden="1">
      <c r="A31" s="40">
        <f>IF((OR(Schema!F32="vakant",Schema!H32="vakant")),Schema!A33,Schema!A32)</f>
        <v>18</v>
      </c>
      <c r="B31" s="42">
        <f>IF(A31&gt;0,(VLOOKUP(A31,Tider!$A$3:$C$26,2,FALSE)),"")</f>
        <v>0.48680555555555594</v>
      </c>
      <c r="C31" s="21" t="str">
        <f>+IF(Schema!D32&gt;0,Schema!D32,"")</f>
        <v>-</v>
      </c>
      <c r="D31" s="42">
        <f>+VLOOKUP(A31,Tider!$A$3:$C$26,3,FALSE)</f>
        <v>0.4951388888888893</v>
      </c>
      <c r="E31" s="20" t="str">
        <f>IF(OR(Schema!F32="vakant",Schema!H32="vakant"),Schema!F33,Schema!F32)</f>
        <v>Kågeröds BoIF</v>
      </c>
      <c r="F31" s="21" t="str">
        <f>+IF(Schema!G32&gt;0,Schema!G32,"")</f>
        <v>-</v>
      </c>
      <c r="G31" s="20" t="str">
        <f>IF(OR(Schema!H32="vakant",Schema!F32="vakant"),Schema!H33,Schema!H32)</f>
        <v>Marieholms IS</v>
      </c>
      <c r="H31" s="21">
        <f>+IF(Schema!I32&gt;0,Schema!I32,"")</f>
      </c>
      <c r="I31" s="21" t="str">
        <f>+IF(Schema!J32&gt;0,Schema!J32,"")</f>
        <v>-</v>
      </c>
      <c r="J31" s="21">
        <f>+IF(Schema!K32&gt;0,Schema!K32,"")</f>
      </c>
      <c r="K31" s="21">
        <f>+IF(Schema!L32&gt;0,Schema!L32,"")</f>
      </c>
      <c r="L31" s="39">
        <f>IF(Schema!M32&gt;0,Schema!M32,"")</f>
      </c>
      <c r="M31" s="39">
        <f>IF(Schema!N32&gt;0,Schema!N32,"")</f>
      </c>
      <c r="N31" s="39">
        <f>IF(Schema!O32&gt;0,Schema!O32,"")</f>
      </c>
      <c r="O31" s="39">
        <f>IF(Schema!P32&gt;0,Schema!P32,"")</f>
      </c>
      <c r="P31" s="39">
        <f>IF(Schema!Q32&gt;0,Schema!Q32,"")</f>
      </c>
      <c r="Q31" s="39">
        <f>IF(Schema!T32&gt;0,Schema!T32,"")</f>
      </c>
      <c r="R31" s="39">
        <f>IF(Schema!U32&gt;0,Schema!U32,"")</f>
      </c>
      <c r="S31" s="39">
        <f>IF(Schema!V32&gt;0,Schema!V32,"")</f>
      </c>
      <c r="T31" s="39">
        <f>IF(Schema!W32&gt;0,Schema!W32,"")</f>
      </c>
      <c r="U31" s="39">
        <f>IF(Schema!X32&gt;0,Schema!X32,"")</f>
      </c>
      <c r="V31" s="39">
        <f>IF(Schema!Y32&gt;0,Schema!Y32,"")</f>
      </c>
      <c r="W31" s="39">
        <f>IF(Schema!Z32&gt;0,Schema!Z32,"")</f>
      </c>
      <c r="X31" s="39">
        <f>IF(Schema!AA32&gt;0,Schema!AA32,"")</f>
      </c>
      <c r="Y31" s="39">
        <f>IF(Schema!AB32&gt;0,Schema!AB32,"")</f>
      </c>
      <c r="Z31" s="39">
        <f>IF(Schema!AC32&gt;0,Schema!AC32,"")</f>
      </c>
      <c r="AA31" s="39">
        <f>IF(Schema!AF32&gt;0,Schema!AF32,"")</f>
      </c>
      <c r="AB31" s="39">
        <f>IF(Schema!AG32&gt;0,Schema!AG32,"")</f>
      </c>
      <c r="AC31" s="39">
        <f>IF(Schema!AH32&gt;0,Schema!AH32,"")</f>
      </c>
      <c r="AD31" s="39">
        <f>IF(Schema!AI32&gt;0,Schema!AI32,"")</f>
      </c>
      <c r="AE31" s="39">
        <f aca="true" t="shared" si="26" ref="AE31:AE36">+IF(A31=A30,A32,A31)</f>
        <v>18</v>
      </c>
      <c r="AF31" s="39">
        <f aca="true" t="shared" si="27" ref="AF31:BC31">+IF(AE31=AE30,AE32,AE31)</f>
        <v>18</v>
      </c>
      <c r="AG31" s="39">
        <f t="shared" si="27"/>
        <v>18</v>
      </c>
      <c r="AH31" s="39">
        <f t="shared" si="27"/>
        <v>18</v>
      </c>
      <c r="AI31" s="39">
        <f t="shared" si="27"/>
        <v>18</v>
      </c>
      <c r="AJ31" s="39">
        <f t="shared" si="27"/>
        <v>18</v>
      </c>
      <c r="AK31" s="39">
        <f t="shared" si="27"/>
        <v>18</v>
      </c>
      <c r="AL31" s="39">
        <f t="shared" si="27"/>
        <v>18</v>
      </c>
      <c r="AM31" s="39">
        <f t="shared" si="27"/>
        <v>18</v>
      </c>
      <c r="AN31" s="39">
        <f t="shared" si="27"/>
        <v>18</v>
      </c>
      <c r="AO31" s="39">
        <f t="shared" si="27"/>
        <v>18</v>
      </c>
      <c r="AP31" s="39">
        <f t="shared" si="27"/>
        <v>18</v>
      </c>
      <c r="AQ31" s="39">
        <f t="shared" si="27"/>
        <v>18</v>
      </c>
      <c r="AR31" s="39">
        <f t="shared" si="27"/>
        <v>18</v>
      </c>
      <c r="AS31" s="39">
        <f t="shared" si="27"/>
        <v>18</v>
      </c>
      <c r="AT31" s="39">
        <f t="shared" si="27"/>
        <v>18</v>
      </c>
      <c r="AU31" s="39">
        <f t="shared" si="27"/>
        <v>18</v>
      </c>
      <c r="AV31" s="39">
        <f t="shared" si="27"/>
        <v>18</v>
      </c>
      <c r="AW31" s="39">
        <f t="shared" si="27"/>
        <v>18</v>
      </c>
      <c r="AX31" s="39">
        <f t="shared" si="27"/>
        <v>18</v>
      </c>
      <c r="AY31" s="39">
        <f t="shared" si="27"/>
        <v>18</v>
      </c>
      <c r="AZ31" s="39">
        <f t="shared" si="27"/>
        <v>18</v>
      </c>
      <c r="BA31" s="39">
        <f t="shared" si="27"/>
        <v>18</v>
      </c>
      <c r="BB31" s="39">
        <f t="shared" si="27"/>
        <v>18</v>
      </c>
      <c r="BC31" s="39">
        <f t="shared" si="27"/>
        <v>18</v>
      </c>
    </row>
    <row r="32" spans="1:55" ht="12.75" hidden="1">
      <c r="A32" s="40">
        <f>IF((OR(Schema!F33="vakant",Schema!H33="vakant")),Schema!A34,Schema!A33)</f>
        <v>19</v>
      </c>
      <c r="B32" s="42">
        <f>IF(A32&gt;0,(VLOOKUP(A32,Tider!$A$3:$C$26,2,FALSE)),"")</f>
        <v>0.49583333333333374</v>
      </c>
      <c r="C32" s="21" t="str">
        <f>+IF(Schema!D33&gt;0,Schema!D33,"")</f>
        <v>-</v>
      </c>
      <c r="D32" s="42">
        <f>+VLOOKUP(A32,Tider!$A$3:$C$26,3,FALSE)</f>
        <v>0.5041666666666671</v>
      </c>
      <c r="E32" s="20" t="str">
        <f>IF(OR(Schema!F33="vakant",Schema!H33="vakant"),Schema!F34,Schema!F33)</f>
        <v>Gantofta IF</v>
      </c>
      <c r="F32" s="21" t="str">
        <f>+IF(Schema!G33&gt;0,Schema!G33,"")</f>
        <v>-</v>
      </c>
      <c r="G32" s="20" t="str">
        <f>IF(OR(Schema!H33="vakant",Schema!F33="vakant"),Schema!H34,Schema!H33)</f>
        <v>Eskilsminne IF</v>
      </c>
      <c r="H32" s="21">
        <f>+IF(Schema!I33&gt;0,Schema!I33,"")</f>
      </c>
      <c r="I32" s="21" t="str">
        <f>+IF(Schema!J33&gt;0,Schema!J33,"")</f>
        <v>-</v>
      </c>
      <c r="J32" s="21">
        <f>+IF(Schema!K33&gt;0,Schema!K33,"")</f>
      </c>
      <c r="K32" s="21">
        <f>+IF(Schema!L33&gt;0,Schema!L33,"")</f>
      </c>
      <c r="L32" s="39">
        <f>IF(Schema!M33&gt;0,Schema!M33,"")</f>
      </c>
      <c r="M32" s="39">
        <f>IF(Schema!N33&gt;0,Schema!N33,"")</f>
      </c>
      <c r="N32" s="39">
        <f>IF(Schema!O33&gt;0,Schema!O33,"")</f>
      </c>
      <c r="O32" s="39">
        <f>IF(Schema!P33&gt;0,Schema!P33,"")</f>
      </c>
      <c r="P32" s="39">
        <f>IF(Schema!Q33&gt;0,Schema!Q33,"")</f>
      </c>
      <c r="Q32" s="39">
        <f>IF(Schema!T33&gt;0,Schema!T33,"")</f>
      </c>
      <c r="R32" s="39">
        <f>IF(Schema!U33&gt;0,Schema!U33,"")</f>
      </c>
      <c r="S32" s="39">
        <f>IF(Schema!V33&gt;0,Schema!V33,"")</f>
      </c>
      <c r="T32" s="39">
        <f>IF(Schema!W33&gt;0,Schema!W33,"")</f>
      </c>
      <c r="U32" s="39">
        <f>IF(Schema!X33&gt;0,Schema!X33,"")</f>
      </c>
      <c r="V32" s="39">
        <f>IF(Schema!Y33&gt;0,Schema!Y33,"")</f>
      </c>
      <c r="W32" s="39">
        <f>IF(Schema!Z33&gt;0,Schema!Z33,"")</f>
      </c>
      <c r="X32" s="39">
        <f>IF(Schema!AA33&gt;0,Schema!AA33,"")</f>
      </c>
      <c r="Y32" s="39">
        <f>IF(Schema!AB33&gt;0,Schema!AB33,"")</f>
      </c>
      <c r="Z32" s="39">
        <f>IF(Schema!AC33&gt;0,Schema!AC33,"")</f>
      </c>
      <c r="AA32" s="39">
        <f>IF(Schema!AF33&gt;0,Schema!AF33,"")</f>
      </c>
      <c r="AB32" s="39">
        <f>IF(Schema!AG33&gt;0,Schema!AG33,"")</f>
      </c>
      <c r="AC32" s="39">
        <f>IF(Schema!AH33&gt;0,Schema!AH33,"")</f>
      </c>
      <c r="AD32" s="39">
        <f>IF(Schema!AI33&gt;0,Schema!AI33,"")</f>
      </c>
      <c r="AE32" s="39">
        <f t="shared" si="26"/>
        <v>19</v>
      </c>
      <c r="AF32" s="39">
        <f aca="true" t="shared" si="28" ref="AF32:BC32">+IF(AE32=AE31,AE33,AE32)</f>
        <v>19</v>
      </c>
      <c r="AG32" s="39">
        <f t="shared" si="28"/>
        <v>19</v>
      </c>
      <c r="AH32" s="39">
        <f t="shared" si="28"/>
        <v>19</v>
      </c>
      <c r="AI32" s="39">
        <f t="shared" si="28"/>
        <v>19</v>
      </c>
      <c r="AJ32" s="39">
        <f t="shared" si="28"/>
        <v>19</v>
      </c>
      <c r="AK32" s="39">
        <f t="shared" si="28"/>
        <v>19</v>
      </c>
      <c r="AL32" s="39">
        <f t="shared" si="28"/>
        <v>19</v>
      </c>
      <c r="AM32" s="39">
        <f t="shared" si="28"/>
        <v>19</v>
      </c>
      <c r="AN32" s="39">
        <f t="shared" si="28"/>
        <v>19</v>
      </c>
      <c r="AO32" s="39">
        <f t="shared" si="28"/>
        <v>19</v>
      </c>
      <c r="AP32" s="39">
        <f t="shared" si="28"/>
        <v>19</v>
      </c>
      <c r="AQ32" s="39">
        <f t="shared" si="28"/>
        <v>19</v>
      </c>
      <c r="AR32" s="39">
        <f t="shared" si="28"/>
        <v>19</v>
      </c>
      <c r="AS32" s="39">
        <f t="shared" si="28"/>
        <v>19</v>
      </c>
      <c r="AT32" s="39">
        <f t="shared" si="28"/>
        <v>19</v>
      </c>
      <c r="AU32" s="39">
        <f t="shared" si="28"/>
        <v>19</v>
      </c>
      <c r="AV32" s="39">
        <f t="shared" si="28"/>
        <v>19</v>
      </c>
      <c r="AW32" s="39">
        <f t="shared" si="28"/>
        <v>19</v>
      </c>
      <c r="AX32" s="39">
        <f t="shared" si="28"/>
        <v>19</v>
      </c>
      <c r="AY32" s="39">
        <f t="shared" si="28"/>
        <v>19</v>
      </c>
      <c r="AZ32" s="39">
        <f t="shared" si="28"/>
        <v>19</v>
      </c>
      <c r="BA32" s="39">
        <f t="shared" si="28"/>
        <v>19</v>
      </c>
      <c r="BB32" s="39">
        <f t="shared" si="28"/>
        <v>19</v>
      </c>
      <c r="BC32" s="39">
        <f t="shared" si="28"/>
        <v>19</v>
      </c>
    </row>
    <row r="33" spans="1:55" ht="12.75" hidden="1">
      <c r="A33" s="40">
        <f>IF((OR(Schema!F34="vakant",Schema!H34="vakant")),Schema!A35,Schema!A34)</f>
        <v>20</v>
      </c>
      <c r="B33" s="42">
        <f>IF(A33&gt;0,(VLOOKUP(A33,Tider!$A$3:$C$26,2,FALSE)),"")</f>
        <v>0.5048611111111115</v>
      </c>
      <c r="C33" s="21" t="str">
        <f>+IF(Schema!D34&gt;0,Schema!D34,"")</f>
        <v>-</v>
      </c>
      <c r="D33" s="42">
        <f>+VLOOKUP(A33,Tider!$A$3:$C$26,3,FALSE)</f>
        <v>0.5131944444444448</v>
      </c>
      <c r="E33" s="20" t="str">
        <f>IF(OR(Schema!F34="vakant",Schema!H34="vakant"),Schema!F35,Schema!F34)</f>
        <v>Billeberga GIF</v>
      </c>
      <c r="F33" s="21" t="str">
        <f>+IF(Schema!G34&gt;0,Schema!G34,"")</f>
        <v>-</v>
      </c>
      <c r="G33" s="20" t="str">
        <f>IF(OR(Schema!H34="vakant",Schema!F34="vakant"),Schema!H35,Schema!H34)</f>
        <v>IK Wormo</v>
      </c>
      <c r="H33" s="21">
        <f>+IF(Schema!I34&gt;0,Schema!I34,"")</f>
      </c>
      <c r="I33" s="21" t="str">
        <f>+IF(Schema!J34&gt;0,Schema!J34,"")</f>
        <v>-</v>
      </c>
      <c r="J33" s="21">
        <f>+IF(Schema!K34&gt;0,Schema!K34,"")</f>
      </c>
      <c r="K33" s="21">
        <f>+IF(Schema!L34&gt;0,Schema!L34,"")</f>
      </c>
      <c r="L33" s="39">
        <f>IF(Schema!M34&gt;0,Schema!M34,"")</f>
      </c>
      <c r="M33" s="39">
        <f>IF(Schema!N34&gt;0,Schema!N34,"")</f>
      </c>
      <c r="N33" s="39">
        <f>IF(Schema!O34&gt;0,Schema!O34,"")</f>
      </c>
      <c r="O33" s="39">
        <f>IF(Schema!P34&gt;0,Schema!P34,"")</f>
      </c>
      <c r="P33" s="39">
        <f>IF(Schema!Q34&gt;0,Schema!Q34,"")</f>
      </c>
      <c r="Q33" s="39">
        <f>IF(Schema!T34&gt;0,Schema!T34,"")</f>
      </c>
      <c r="R33" s="39">
        <f>IF(Schema!U34&gt;0,Schema!U34,"")</f>
      </c>
      <c r="S33" s="39">
        <f>IF(Schema!V34&gt;0,Schema!V34,"")</f>
      </c>
      <c r="T33" s="39">
        <f>IF(Schema!W34&gt;0,Schema!W34,"")</f>
      </c>
      <c r="U33" s="39">
        <f>IF(Schema!X34&gt;0,Schema!X34,"")</f>
      </c>
      <c r="V33" s="39">
        <f>IF(Schema!Y34&gt;0,Schema!Y34,"")</f>
      </c>
      <c r="W33" s="39">
        <f>IF(Schema!Z34&gt;0,Schema!Z34,"")</f>
      </c>
      <c r="X33" s="39">
        <f>IF(Schema!AA34&gt;0,Schema!AA34,"")</f>
      </c>
      <c r="Y33" s="39">
        <f>IF(Schema!AB34&gt;0,Schema!AB34,"")</f>
      </c>
      <c r="Z33" s="39">
        <f>IF(Schema!AC34&gt;0,Schema!AC34,"")</f>
      </c>
      <c r="AA33" s="39">
        <f>IF(Schema!AF34&gt;0,Schema!AF34,"")</f>
      </c>
      <c r="AB33" s="39">
        <f>IF(Schema!AG34&gt;0,Schema!AG34,"")</f>
      </c>
      <c r="AC33" s="39">
        <f>IF(Schema!AH34&gt;0,Schema!AH34,"")</f>
      </c>
      <c r="AD33" s="39">
        <f>IF(Schema!AI34&gt;0,Schema!AI34,"")</f>
      </c>
      <c r="AE33" s="39">
        <f t="shared" si="26"/>
        <v>20</v>
      </c>
      <c r="AF33" s="39">
        <f aca="true" t="shared" si="29" ref="AF33:BC33">+IF(AE33=AE32,AE34,AE33)</f>
        <v>20</v>
      </c>
      <c r="AG33" s="39">
        <f t="shared" si="29"/>
        <v>20</v>
      </c>
      <c r="AH33" s="39">
        <f t="shared" si="29"/>
        <v>20</v>
      </c>
      <c r="AI33" s="39">
        <f t="shared" si="29"/>
        <v>20</v>
      </c>
      <c r="AJ33" s="39">
        <f t="shared" si="29"/>
        <v>20</v>
      </c>
      <c r="AK33" s="39">
        <f t="shared" si="29"/>
        <v>20</v>
      </c>
      <c r="AL33" s="39">
        <f t="shared" si="29"/>
        <v>20</v>
      </c>
      <c r="AM33" s="39">
        <f t="shared" si="29"/>
        <v>20</v>
      </c>
      <c r="AN33" s="39">
        <f t="shared" si="29"/>
        <v>20</v>
      </c>
      <c r="AO33" s="39">
        <f t="shared" si="29"/>
        <v>20</v>
      </c>
      <c r="AP33" s="39">
        <f t="shared" si="29"/>
        <v>20</v>
      </c>
      <c r="AQ33" s="39">
        <f t="shared" si="29"/>
        <v>20</v>
      </c>
      <c r="AR33" s="39">
        <f t="shared" si="29"/>
        <v>20</v>
      </c>
      <c r="AS33" s="39">
        <f t="shared" si="29"/>
        <v>20</v>
      </c>
      <c r="AT33" s="39">
        <f t="shared" si="29"/>
        <v>20</v>
      </c>
      <c r="AU33" s="39">
        <f t="shared" si="29"/>
        <v>20</v>
      </c>
      <c r="AV33" s="39">
        <f t="shared" si="29"/>
        <v>20</v>
      </c>
      <c r="AW33" s="39">
        <f t="shared" si="29"/>
        <v>20</v>
      </c>
      <c r="AX33" s="39">
        <f t="shared" si="29"/>
        <v>20</v>
      </c>
      <c r="AY33" s="39">
        <f t="shared" si="29"/>
        <v>20</v>
      </c>
      <c r="AZ33" s="39">
        <f t="shared" si="29"/>
        <v>20</v>
      </c>
      <c r="BA33" s="39">
        <f t="shared" si="29"/>
        <v>20</v>
      </c>
      <c r="BB33" s="39">
        <f t="shared" si="29"/>
        <v>20</v>
      </c>
      <c r="BC33" s="39">
        <f t="shared" si="29"/>
        <v>20</v>
      </c>
    </row>
    <row r="34" spans="1:55" ht="12.75" hidden="1">
      <c r="A34" s="40">
        <f>IF((OR(Schema!F35="vakant",Schema!H35="vakant")),Schema!A36,Schema!A35)</f>
        <v>0</v>
      </c>
      <c r="B34" s="42">
        <f>IF(A34&gt;0,(VLOOKUP(A34,Tider!$A$3:$C$26,2,FALSE)),"")</f>
      </c>
      <c r="C34" s="21">
        <f>+IF(Schema!D35&gt;0,Schema!D35,"")</f>
      </c>
      <c r="D34" s="42" t="e">
        <f>+VLOOKUP(A34,Tider!$A$3:$C$26,3,FALSE)</f>
        <v>#N/A</v>
      </c>
      <c r="E34" s="20">
        <f>IF(OR(Schema!F35="vakant",Schema!H35="vakant"),Schema!F36,Schema!F35)</f>
        <v>0</v>
      </c>
      <c r="F34" s="21">
        <f>+IF(Schema!G35&gt;0,Schema!G35,"")</f>
      </c>
      <c r="G34" s="20">
        <f>IF(OR(Schema!H35="vakant",Schema!F35="vakant"),Schema!H36,Schema!H35)</f>
        <v>0</v>
      </c>
      <c r="H34" s="21">
        <f>+IF(Schema!I35&gt;0,Schema!I35,"")</f>
      </c>
      <c r="I34" s="21">
        <f>+IF(Schema!J35&gt;0,Schema!J35,"")</f>
      </c>
      <c r="J34" s="21">
        <f>+IF(Schema!K35&gt;0,Schema!K35,"")</f>
      </c>
      <c r="K34" s="21">
        <f>+IF(Schema!L35&gt;0,Schema!L35,"")</f>
      </c>
      <c r="L34" s="39">
        <f>IF(Schema!M35&gt;0,Schema!M35,"")</f>
      </c>
      <c r="M34" s="39">
        <f>IF(Schema!N35&gt;0,Schema!N35,"")</f>
      </c>
      <c r="N34" s="39">
        <f>IF(Schema!O35&gt;0,Schema!O35,"")</f>
      </c>
      <c r="O34" s="39">
        <f>IF(Schema!P35&gt;0,Schema!P35,"")</f>
      </c>
      <c r="P34" s="39">
        <f>IF(Schema!Q35&gt;0,Schema!Q35,"")</f>
      </c>
      <c r="Q34" s="39">
        <f>IF(Schema!T35&gt;0,Schema!T35,"")</f>
      </c>
      <c r="R34" s="39">
        <f>IF(Schema!U35&gt;0,Schema!U35,"")</f>
      </c>
      <c r="S34" s="39">
        <f>IF(Schema!V35&gt;0,Schema!V35,"")</f>
      </c>
      <c r="T34" s="39">
        <f>IF(Schema!W35&gt;0,Schema!W35,"")</f>
      </c>
      <c r="U34" s="39">
        <f>IF(Schema!X35&gt;0,Schema!X35,"")</f>
      </c>
      <c r="V34" s="39">
        <f>IF(Schema!Y35&gt;0,Schema!Y35,"")</f>
      </c>
      <c r="W34" s="39">
        <f>IF(Schema!Z35&gt;0,Schema!Z35,"")</f>
      </c>
      <c r="X34" s="39">
        <f>IF(Schema!AA35&gt;0,Schema!AA35,"")</f>
      </c>
      <c r="Y34" s="39">
        <f>IF(Schema!AB35&gt;0,Schema!AB35,"")</f>
      </c>
      <c r="Z34" s="39">
        <f>IF(Schema!AC35&gt;0,Schema!AC35,"")</f>
      </c>
      <c r="AA34" s="39">
        <f>IF(Schema!AF35&gt;0,Schema!AF35,"")</f>
      </c>
      <c r="AB34" s="39">
        <f>IF(Schema!AG35&gt;0,Schema!AG35,"")</f>
      </c>
      <c r="AC34" s="39">
        <f>IF(Schema!AH35&gt;0,Schema!AH35,"")</f>
      </c>
      <c r="AD34" s="39">
        <f>IF(Schema!AI35&gt;0,Schema!AI35,"")</f>
      </c>
      <c r="AE34" s="39">
        <f t="shared" si="26"/>
        <v>0</v>
      </c>
      <c r="AF34" s="39">
        <f aca="true" t="shared" si="30" ref="AF34:BC34">+IF(AE34=AE33,AE35,AE34)</f>
        <v>0</v>
      </c>
      <c r="AG34" s="39">
        <f t="shared" si="30"/>
        <v>0</v>
      </c>
      <c r="AH34" s="39">
        <f t="shared" si="30"/>
        <v>0</v>
      </c>
      <c r="AI34" s="39">
        <f t="shared" si="30"/>
        <v>0</v>
      </c>
      <c r="AJ34" s="39">
        <f t="shared" si="30"/>
        <v>0</v>
      </c>
      <c r="AK34" s="39">
        <f t="shared" si="30"/>
        <v>0</v>
      </c>
      <c r="AL34" s="39">
        <f t="shared" si="30"/>
        <v>0</v>
      </c>
      <c r="AM34" s="39">
        <f t="shared" si="30"/>
        <v>0</v>
      </c>
      <c r="AN34" s="39">
        <f t="shared" si="30"/>
        <v>0</v>
      </c>
      <c r="AO34" s="39">
        <f t="shared" si="30"/>
        <v>0</v>
      </c>
      <c r="AP34" s="39">
        <f t="shared" si="30"/>
        <v>0</v>
      </c>
      <c r="AQ34" s="39">
        <f t="shared" si="30"/>
        <v>0</v>
      </c>
      <c r="AR34" s="39">
        <f t="shared" si="30"/>
        <v>0</v>
      </c>
      <c r="AS34" s="39">
        <f t="shared" si="30"/>
        <v>0</v>
      </c>
      <c r="AT34" s="39">
        <f t="shared" si="30"/>
        <v>0</v>
      </c>
      <c r="AU34" s="39">
        <f t="shared" si="30"/>
        <v>0</v>
      </c>
      <c r="AV34" s="39">
        <f t="shared" si="30"/>
        <v>0</v>
      </c>
      <c r="AW34" s="39">
        <f t="shared" si="30"/>
        <v>0</v>
      </c>
      <c r="AX34" s="39">
        <f t="shared" si="30"/>
        <v>0</v>
      </c>
      <c r="AY34" s="39">
        <f t="shared" si="30"/>
        <v>0</v>
      </c>
      <c r="AZ34" s="39">
        <f t="shared" si="30"/>
        <v>0</v>
      </c>
      <c r="BA34" s="39">
        <f t="shared" si="30"/>
        <v>0</v>
      </c>
      <c r="BB34" s="39">
        <f t="shared" si="30"/>
        <v>0</v>
      </c>
      <c r="BC34" s="39">
        <f t="shared" si="30"/>
        <v>0</v>
      </c>
    </row>
    <row r="35" spans="1:55" ht="12.75" hidden="1">
      <c r="A35" s="40">
        <f>IF((OR(Schema!F36="vakant",Schema!H36="vakant")),Schema!A37,Schema!A36)</f>
        <v>0</v>
      </c>
      <c r="B35" s="42">
        <f>IF(A35&gt;0,(VLOOKUP(A35,Tider!$A$3:$C$26,2,FALSE)),"")</f>
      </c>
      <c r="C35" s="21">
        <f>+IF(Schema!D36&gt;0,Schema!D36,"")</f>
      </c>
      <c r="D35" s="42" t="e">
        <f>+VLOOKUP(A35,Tider!$A$3:$C$26,3,FALSE)</f>
        <v>#N/A</v>
      </c>
      <c r="E35" s="20">
        <f>IF(OR(Schema!F36="vakant",Schema!H36="vakant"),Schema!F37,Schema!F36)</f>
      </c>
      <c r="F35" s="21">
        <f>+IF(Schema!G36&gt;0,Schema!G36,"")</f>
      </c>
      <c r="G35" s="20">
        <f>IF(OR(Schema!H36="vakant",Schema!F36="vakant"),Schema!H37,Schema!H36)</f>
      </c>
      <c r="H35" s="21">
        <f>+IF(Schema!I36&gt;0,Schema!I36,"")</f>
      </c>
      <c r="I35" s="21">
        <f>+IF(Schema!J36&gt;0,Schema!J36,"")</f>
      </c>
      <c r="J35" s="21">
        <f>+IF(Schema!K36&gt;0,Schema!K36,"")</f>
      </c>
      <c r="K35" s="21">
        <f>+IF(Schema!L36&gt;0,Schema!L36,"")</f>
      </c>
      <c r="L35" s="39">
        <f>IF(Schema!M36&gt;0,Schema!M36,"")</f>
      </c>
      <c r="M35" s="39">
        <f>IF(Schema!N36&gt;0,Schema!N36,"")</f>
      </c>
      <c r="N35" s="39">
        <f>IF(Schema!O36&gt;0,Schema!O36,"")</f>
      </c>
      <c r="O35" s="39">
        <f>IF(Schema!P36&gt;0,Schema!P36,"")</f>
      </c>
      <c r="P35" s="39">
        <f>IF(Schema!Q36&gt;0,Schema!Q36,"")</f>
      </c>
      <c r="Q35" s="39">
        <f>IF(Schema!T36&gt;0,Schema!T36,"")</f>
      </c>
      <c r="R35" s="39">
        <f>IF(Schema!U36&gt;0,Schema!U36,"")</f>
      </c>
      <c r="S35" s="39">
        <f>IF(Schema!V36&gt;0,Schema!V36,"")</f>
      </c>
      <c r="T35" s="39">
        <f>IF(Schema!W36&gt;0,Schema!W36,"")</f>
      </c>
      <c r="U35" s="39">
        <f>IF(Schema!X36&gt;0,Schema!X36,"")</f>
      </c>
      <c r="V35" s="39">
        <f>IF(Schema!Y36&gt;0,Schema!Y36,"")</f>
      </c>
      <c r="W35" s="39">
        <f>IF(Schema!Z36&gt;0,Schema!Z36,"")</f>
      </c>
      <c r="X35" s="39">
        <f>IF(Schema!AA36&gt;0,Schema!AA36,"")</f>
      </c>
      <c r="Y35" s="39">
        <f>IF(Schema!AB36&gt;0,Schema!AB36,"")</f>
      </c>
      <c r="Z35" s="39">
        <f>IF(Schema!AC36&gt;0,Schema!AC36,"")</f>
      </c>
      <c r="AA35" s="39">
        <f>IF(Schema!AF36&gt;0,Schema!AF36,"")</f>
      </c>
      <c r="AB35" s="39">
        <f>IF(Schema!AG36&gt;0,Schema!AG36,"")</f>
      </c>
      <c r="AC35" s="39">
        <f>IF(Schema!AH36&gt;0,Schema!AH36,"")</f>
      </c>
      <c r="AD35" s="39">
        <f>IF(Schema!AI36&gt;0,Schema!AI36,"")</f>
      </c>
      <c r="AE35" s="39">
        <f t="shared" si="26"/>
        <v>0</v>
      </c>
      <c r="AF35" s="39">
        <f aca="true" t="shared" si="31" ref="AF35:BC35">+IF(AE35=AE34,AE36,AE35)</f>
      </c>
      <c r="AG35" s="39">
        <f t="shared" si="31"/>
      </c>
      <c r="AH35" s="39">
        <f t="shared" si="31"/>
      </c>
      <c r="AI35" s="39">
        <f t="shared" si="31"/>
      </c>
      <c r="AJ35" s="39">
        <f t="shared" si="31"/>
      </c>
      <c r="AK35" s="39">
        <f t="shared" si="31"/>
      </c>
      <c r="AL35" s="39">
        <f t="shared" si="31"/>
      </c>
      <c r="AM35" s="39">
        <f t="shared" si="31"/>
      </c>
      <c r="AN35" s="39">
        <f t="shared" si="31"/>
      </c>
      <c r="AO35" s="39">
        <f t="shared" si="31"/>
        <v>0</v>
      </c>
      <c r="AP35" s="39">
        <f t="shared" si="31"/>
        <v>0</v>
      </c>
      <c r="AQ35" s="39">
        <f t="shared" si="31"/>
        <v>0</v>
      </c>
      <c r="AR35" s="39">
        <f t="shared" si="31"/>
        <v>0</v>
      </c>
      <c r="AS35" s="39">
        <f t="shared" si="31"/>
        <v>0</v>
      </c>
      <c r="AT35" s="39">
        <f t="shared" si="31"/>
        <v>0</v>
      </c>
      <c r="AU35" s="39">
        <f t="shared" si="31"/>
        <v>0</v>
      </c>
      <c r="AV35" s="39">
        <f t="shared" si="31"/>
        <v>0</v>
      </c>
      <c r="AW35" s="39">
        <f t="shared" si="31"/>
        <v>0</v>
      </c>
      <c r="AX35" s="39">
        <f t="shared" si="31"/>
        <v>0</v>
      </c>
      <c r="AY35" s="39">
        <f t="shared" si="31"/>
        <v>0</v>
      </c>
      <c r="AZ35" s="39">
        <f t="shared" si="31"/>
        <v>0</v>
      </c>
      <c r="BA35" s="39">
        <f t="shared" si="31"/>
        <v>0</v>
      </c>
      <c r="BB35" s="39">
        <f t="shared" si="31"/>
        <v>0</v>
      </c>
      <c r="BC35" s="39">
        <f t="shared" si="31"/>
        <v>0</v>
      </c>
    </row>
    <row r="36" spans="1:55" ht="12.75" hidden="1">
      <c r="A36" s="40">
        <f>IF((OR(Schema!F37="vakant",Schema!H37="vakant")),Schema!A38,Schema!A37)</f>
        <v>0</v>
      </c>
      <c r="B36" s="42">
        <f>IF(A36&gt;0,(VLOOKUP(A36,Tider!$A$3:$C$26,2,FALSE)),"")</f>
      </c>
      <c r="C36" s="21">
        <f>+IF(Schema!D37&gt;0,Schema!D37,"")</f>
      </c>
      <c r="D36" s="42" t="e">
        <f>+VLOOKUP(A36,Tider!$A$3:$C$26,3,FALSE)</f>
        <v>#N/A</v>
      </c>
      <c r="E36" s="20">
        <f>IF(OR(Schema!F37="vakant",Schema!H37="vakant"),Schema!F38,Schema!F37)</f>
        <v>0</v>
      </c>
      <c r="F36" s="21">
        <f>+IF(Schema!G37&gt;0,Schema!G37,"")</f>
      </c>
      <c r="G36" s="20">
        <f>IF(OR(Schema!H37="vakant",Schema!F37="vakant"),Schema!H38,Schema!H37)</f>
        <v>0</v>
      </c>
      <c r="H36" s="21">
        <f>+IF(Schema!I37&gt;0,Schema!I37,"")</f>
      </c>
      <c r="I36" s="21">
        <f>+IF(Schema!J37&gt;0,Schema!J37,"")</f>
      </c>
      <c r="J36" s="21">
        <f>+IF(Schema!K37&gt;0,Schema!K37,"")</f>
      </c>
      <c r="K36" s="21">
        <f>+IF(Schema!L37&gt;0,Schema!L37,"")</f>
      </c>
      <c r="L36" s="39">
        <f>IF(Schema!M37&gt;0,Schema!M37,"")</f>
      </c>
      <c r="M36" s="39">
        <f>IF(Schema!N37&gt;0,Schema!N37,"")</f>
      </c>
      <c r="N36" s="39">
        <f>IF(Schema!O37&gt;0,Schema!O37,"")</f>
      </c>
      <c r="O36" s="39">
        <f>IF(Schema!P37&gt;0,Schema!P37,"")</f>
      </c>
      <c r="P36" s="39">
        <f>IF(Schema!Q37&gt;0,Schema!Q37,"")</f>
      </c>
      <c r="Q36" s="39">
        <f>IF(Schema!T37&gt;0,Schema!T37,"")</f>
      </c>
      <c r="R36" s="39">
        <f>IF(Schema!U37&gt;0,Schema!U37,"")</f>
      </c>
      <c r="S36" s="39">
        <f>IF(Schema!V37&gt;0,Schema!V37,"")</f>
      </c>
      <c r="T36" s="39">
        <f>IF(Schema!W37&gt;0,Schema!W37,"")</f>
      </c>
      <c r="U36" s="39">
        <f>IF(Schema!X37&gt;0,Schema!X37,"")</f>
      </c>
      <c r="V36" s="39">
        <f>IF(Schema!Y37&gt;0,Schema!Y37,"")</f>
      </c>
      <c r="W36" s="39">
        <f>IF(Schema!Z37&gt;0,Schema!Z37,"")</f>
      </c>
      <c r="X36" s="39">
        <f>IF(Schema!AA37&gt;0,Schema!AA37,"")</f>
      </c>
      <c r="Y36" s="39">
        <f>IF(Schema!AB37&gt;0,Schema!AB37,"")</f>
      </c>
      <c r="Z36" s="39">
        <f>IF(Schema!AC37&gt;0,Schema!AC37,"")</f>
      </c>
      <c r="AA36" s="39">
        <f>IF(Schema!AF37&gt;0,Schema!AF37,"")</f>
      </c>
      <c r="AB36" s="39">
        <f>IF(Schema!AG37&gt;0,Schema!AG37,"")</f>
      </c>
      <c r="AC36" s="39">
        <f>IF(Schema!AH37&gt;0,Schema!AH37,"")</f>
      </c>
      <c r="AD36" s="39">
        <f>IF(Schema!AI37&gt;0,Schema!AI37,"")</f>
      </c>
      <c r="AE36" s="39">
        <f t="shared" si="26"/>
      </c>
      <c r="AF36" s="39">
        <f aca="true" t="shared" si="32" ref="AF36:BC36">+IF(AE36=AE35,AE37,AE36)</f>
      </c>
      <c r="AG36" s="39">
        <f t="shared" si="32"/>
      </c>
      <c r="AH36" s="39">
        <f t="shared" si="32"/>
      </c>
      <c r="AI36" s="39">
        <f t="shared" si="32"/>
      </c>
      <c r="AJ36" s="39">
        <f t="shared" si="32"/>
      </c>
      <c r="AK36" s="39">
        <f t="shared" si="32"/>
      </c>
      <c r="AL36" s="39">
        <f t="shared" si="32"/>
      </c>
      <c r="AM36" s="39">
        <f t="shared" si="32"/>
      </c>
      <c r="AN36" s="39">
        <f t="shared" si="32"/>
        <v>0</v>
      </c>
      <c r="AO36" s="39">
        <f t="shared" si="32"/>
        <v>0</v>
      </c>
      <c r="AP36" s="39">
        <f t="shared" si="32"/>
        <v>0</v>
      </c>
      <c r="AQ36" s="39">
        <f t="shared" si="32"/>
        <v>0</v>
      </c>
      <c r="AR36" s="39">
        <f t="shared" si="32"/>
        <v>0</v>
      </c>
      <c r="AS36" s="39">
        <f t="shared" si="32"/>
        <v>0</v>
      </c>
      <c r="AT36" s="39">
        <f t="shared" si="32"/>
        <v>0</v>
      </c>
      <c r="AU36" s="39">
        <f t="shared" si="32"/>
        <v>0</v>
      </c>
      <c r="AV36" s="39">
        <f t="shared" si="32"/>
        <v>0</v>
      </c>
      <c r="AW36" s="39">
        <f t="shared" si="32"/>
        <v>0</v>
      </c>
      <c r="AX36" s="39">
        <f t="shared" si="32"/>
        <v>0</v>
      </c>
      <c r="AY36" s="39">
        <f t="shared" si="32"/>
        <v>0</v>
      </c>
      <c r="AZ36" s="39">
        <f t="shared" si="32"/>
        <v>0</v>
      </c>
      <c r="BA36" s="39">
        <f t="shared" si="32"/>
        <v>0</v>
      </c>
      <c r="BB36" s="39">
        <f t="shared" si="32"/>
        <v>0</v>
      </c>
      <c r="BC36" s="39">
        <f t="shared" si="32"/>
        <v>0</v>
      </c>
    </row>
    <row r="37" spans="1:55" ht="12.75" hidden="1">
      <c r="A37" s="40">
        <f>IF((OR(Schema!F38="vakant",Schema!H38="vakant")),Schema!A39,Schema!A38)</f>
      </c>
      <c r="B37" s="42" t="e">
        <f>IF(A37&gt;0,(VLOOKUP(A37,Tider!$A$3:$C$26,2,FALSE)),"")</f>
        <v>#N/A</v>
      </c>
      <c r="C37" s="21">
        <f>+IF(Schema!D38&gt;0,Schema!D38,"")</f>
      </c>
      <c r="D37" s="42" t="e">
        <f>+VLOOKUP(A37,Tider!$A$3:$C$26,3,FALSE)</f>
        <v>#N/A</v>
      </c>
      <c r="E37" s="20">
        <f>IF(OR(Schema!F38="vakant",Schema!H38="vakant"),Schema!F39,Schema!F38)</f>
      </c>
      <c r="F37" s="21">
        <f>+IF(Schema!G38&gt;0,Schema!G38,"")</f>
      </c>
      <c r="G37" s="20">
        <f>IF(OR(Schema!H38="vakant",Schema!F38="vakant"),Schema!H39,Schema!H38)</f>
      </c>
      <c r="H37" s="21">
        <f>+IF(Schema!I38&gt;0,Schema!I38,"")</f>
      </c>
      <c r="I37" s="21">
        <f>+IF(Schema!J38&gt;0,Schema!J38,"")</f>
      </c>
      <c r="J37" s="21">
        <f>+IF(Schema!K38&gt;0,Schema!K38,"")</f>
      </c>
      <c r="K37" s="21">
        <f>+IF(Schema!L38&gt;0,Schema!L38,"")</f>
      </c>
      <c r="L37" s="39">
        <f>IF(Schema!M38&gt;0,Schema!M38,"")</f>
      </c>
      <c r="M37" s="39">
        <f>IF(Schema!N38&gt;0,Schema!N38,"")</f>
      </c>
      <c r="N37" s="39">
        <f>IF(Schema!O38&gt;0,Schema!O38,"")</f>
      </c>
      <c r="O37" s="39">
        <f>IF(Schema!P38&gt;0,Schema!P38,"")</f>
      </c>
      <c r="P37" s="39">
        <f>IF(Schema!Q38&gt;0,Schema!Q38,"")</f>
      </c>
      <c r="Q37" s="39">
        <f>IF(Schema!T38&gt;0,Schema!T38,"")</f>
      </c>
      <c r="R37" s="39">
        <f>IF(Schema!U38&gt;0,Schema!U38,"")</f>
      </c>
      <c r="S37" s="39">
        <f>IF(Schema!V38&gt;0,Schema!V38,"")</f>
      </c>
      <c r="T37" s="39">
        <f>IF(Schema!W38&gt;0,Schema!W38,"")</f>
      </c>
      <c r="U37" s="39">
        <f>IF(Schema!X38&gt;0,Schema!X38,"")</f>
      </c>
      <c r="V37" s="39">
        <f>IF(Schema!Y38&gt;0,Schema!Y38,"")</f>
      </c>
      <c r="W37" s="39">
        <f>IF(Schema!Z38&gt;0,Schema!Z38,"")</f>
      </c>
      <c r="X37" s="39">
        <f>IF(Schema!AA38&gt;0,Schema!AA38,"")</f>
      </c>
      <c r="Y37" s="39">
        <f>IF(Schema!AB38&gt;0,Schema!AB38,"")</f>
      </c>
      <c r="Z37" s="39">
        <f>IF(Schema!AC38&gt;0,Schema!AC38,"")</f>
      </c>
      <c r="AA37" s="39">
        <f>IF(Schema!AF38&gt;0,Schema!AF38,"")</f>
      </c>
      <c r="AB37" s="39">
        <f>IF(Schema!AG38&gt;0,Schema!AG38,"")</f>
      </c>
      <c r="AC37" s="39">
        <f>IF(Schema!AH38&gt;0,Schema!AH38,"")</f>
      </c>
      <c r="AD37" s="39">
        <f>IF(Schema!AI38&gt;0,Schema!AI38,"")</f>
      </c>
      <c r="AE37" s="39">
        <f t="shared" si="1"/>
      </c>
      <c r="AF37" s="39">
        <f t="shared" si="2"/>
      </c>
      <c r="AG37" s="39">
        <f t="shared" si="3"/>
      </c>
      <c r="AH37" s="39">
        <f t="shared" si="4"/>
      </c>
      <c r="AI37" s="39">
        <f t="shared" si="5"/>
      </c>
      <c r="AJ37" s="39">
        <f t="shared" si="6"/>
      </c>
      <c r="AK37" s="39">
        <f t="shared" si="7"/>
      </c>
      <c r="AL37" s="39">
        <f t="shared" si="8"/>
      </c>
      <c r="AM37" s="39">
        <f t="shared" si="9"/>
        <v>0</v>
      </c>
      <c r="AN37" s="39">
        <f t="shared" si="10"/>
        <v>0</v>
      </c>
      <c r="AO37" s="39">
        <f t="shared" si="11"/>
        <v>0</v>
      </c>
      <c r="AP37" s="39">
        <f t="shared" si="12"/>
        <v>0</v>
      </c>
      <c r="AQ37" s="39">
        <f t="shared" si="13"/>
        <v>0</v>
      </c>
      <c r="AR37" s="39">
        <f t="shared" si="14"/>
        <v>0</v>
      </c>
      <c r="AS37" s="39">
        <f t="shared" si="15"/>
        <v>0</v>
      </c>
      <c r="AT37" s="39">
        <f t="shared" si="16"/>
        <v>0</v>
      </c>
      <c r="AU37" s="39">
        <f t="shared" si="17"/>
        <v>0</v>
      </c>
      <c r="AV37" s="39">
        <f t="shared" si="18"/>
        <v>0</v>
      </c>
      <c r="AW37" s="39">
        <f t="shared" si="19"/>
        <v>0</v>
      </c>
      <c r="AX37" s="39">
        <f t="shared" si="20"/>
        <v>0</v>
      </c>
      <c r="AY37" s="39">
        <f t="shared" si="21"/>
        <v>0</v>
      </c>
      <c r="AZ37" s="39">
        <f t="shared" si="22"/>
        <v>0</v>
      </c>
      <c r="BA37" s="39">
        <f t="shared" si="23"/>
        <v>0</v>
      </c>
      <c r="BB37" s="39">
        <f t="shared" si="24"/>
        <v>0</v>
      </c>
      <c r="BC37" s="39">
        <f t="shared" si="25"/>
        <v>0</v>
      </c>
    </row>
    <row r="38" spans="1:55" ht="12.75" hidden="1">
      <c r="A38" s="40">
        <f>IF((OR(Schema!F39="vakant",Schema!H39="vakant")),Schema!A40,Schema!A39)</f>
      </c>
      <c r="B38" s="42" t="e">
        <f>IF(A38&gt;0,(VLOOKUP(A38,Tider!$A$3:$C$26,2,FALSE)),"")</f>
        <v>#N/A</v>
      </c>
      <c r="C38" s="21">
        <f>+IF(Schema!D39&gt;0,Schema!D39,"")</f>
      </c>
      <c r="D38" s="42" t="e">
        <f>+VLOOKUP(A38,Tider!$A$3:$C$26,3,FALSE)</f>
        <v>#N/A</v>
      </c>
      <c r="E38" s="20">
        <f>IF(OR(Schema!F39="vakant",Schema!H39="vakant"),Schema!F40,Schema!F39)</f>
      </c>
      <c r="F38" s="21">
        <f>+IF(Schema!G39&gt;0,Schema!G39,"")</f>
      </c>
      <c r="G38" s="20">
        <f>IF(OR(Schema!H39="vakant",Schema!F39="vakant"),Schema!H40,Schema!H39)</f>
      </c>
      <c r="H38" s="21">
        <f>+IF(Schema!I39&gt;0,Schema!I39,"")</f>
      </c>
      <c r="I38" s="21">
        <f>+IF(Schema!J39&gt;0,Schema!J39,"")</f>
      </c>
      <c r="J38" s="21">
        <f>+IF(Schema!K39&gt;0,Schema!K39,"")</f>
      </c>
      <c r="K38" s="21">
        <f>+IF(Schema!L39&gt;0,Schema!L39,"")</f>
      </c>
      <c r="L38" s="39">
        <f>IF(Schema!M39&gt;0,Schema!M39,"")</f>
      </c>
      <c r="M38" s="39">
        <f>IF(Schema!N39&gt;0,Schema!N39,"")</f>
      </c>
      <c r="N38" s="39">
        <f>IF(Schema!O39&gt;0,Schema!O39,"")</f>
      </c>
      <c r="O38" s="39">
        <f>IF(Schema!P39&gt;0,Schema!P39,"")</f>
      </c>
      <c r="P38" s="39">
        <f>IF(Schema!Q39&gt;0,Schema!Q39,"")</f>
      </c>
      <c r="Q38" s="39">
        <f>IF(Schema!T39&gt;0,Schema!T39,"")</f>
      </c>
      <c r="R38" s="39">
        <f>IF(Schema!U39&gt;0,Schema!U39,"")</f>
      </c>
      <c r="S38" s="39">
        <f>IF(Schema!V39&gt;0,Schema!V39,"")</f>
      </c>
      <c r="T38" s="39">
        <f>IF(Schema!W39&gt;0,Schema!W39,"")</f>
      </c>
      <c r="U38" s="39">
        <f>IF(Schema!X39&gt;0,Schema!X39,"")</f>
      </c>
      <c r="V38" s="39">
        <f>IF(Schema!Y39&gt;0,Schema!Y39,"")</f>
      </c>
      <c r="W38" s="39">
        <f>IF(Schema!Z39&gt;0,Schema!Z39,"")</f>
      </c>
      <c r="X38" s="39">
        <f>IF(Schema!AA39&gt;0,Schema!AA39,"")</f>
      </c>
      <c r="Y38" s="39">
        <f>IF(Schema!AB39&gt;0,Schema!AB39,"")</f>
      </c>
      <c r="Z38" s="39">
        <f>IF(Schema!AC39&gt;0,Schema!AC39,"")</f>
      </c>
      <c r="AA38" s="39">
        <f>IF(Schema!AF39&gt;0,Schema!AF39,"")</f>
      </c>
      <c r="AB38" s="39">
        <f>IF(Schema!AG39&gt;0,Schema!AG39,"")</f>
      </c>
      <c r="AC38" s="39">
        <f>IF(Schema!AH39&gt;0,Schema!AH39,"")</f>
      </c>
      <c r="AD38" s="39">
        <f>IF(Schema!AI39&gt;0,Schema!AI39,"")</f>
      </c>
      <c r="AE38" s="39">
        <f t="shared" si="1"/>
      </c>
      <c r="AF38" s="39">
        <f t="shared" si="2"/>
      </c>
      <c r="AG38" s="39">
        <f t="shared" si="3"/>
      </c>
      <c r="AH38" s="39">
        <f t="shared" si="4"/>
      </c>
      <c r="AI38" s="39">
        <f t="shared" si="5"/>
      </c>
      <c r="AJ38" s="39">
        <f t="shared" si="6"/>
      </c>
      <c r="AK38" s="39">
        <f t="shared" si="7"/>
      </c>
      <c r="AL38" s="39">
        <f t="shared" si="8"/>
        <v>0</v>
      </c>
      <c r="AM38" s="39">
        <f t="shared" si="9"/>
        <v>0</v>
      </c>
      <c r="AN38" s="39">
        <f t="shared" si="10"/>
        <v>0</v>
      </c>
      <c r="AO38" s="39">
        <f t="shared" si="11"/>
        <v>0</v>
      </c>
      <c r="AP38" s="39">
        <f t="shared" si="12"/>
        <v>0</v>
      </c>
      <c r="AQ38" s="39">
        <f t="shared" si="13"/>
        <v>0</v>
      </c>
      <c r="AR38" s="39">
        <f t="shared" si="14"/>
        <v>0</v>
      </c>
      <c r="AS38" s="39">
        <f t="shared" si="15"/>
        <v>0</v>
      </c>
      <c r="AT38" s="39">
        <f t="shared" si="16"/>
        <v>0</v>
      </c>
      <c r="AU38" s="39">
        <f t="shared" si="17"/>
        <v>0</v>
      </c>
      <c r="AV38" s="39">
        <f t="shared" si="18"/>
        <v>0</v>
      </c>
      <c r="AW38" s="39">
        <f t="shared" si="19"/>
        <v>0</v>
      </c>
      <c r="AX38" s="39">
        <f t="shared" si="20"/>
        <v>0</v>
      </c>
      <c r="AY38" s="39">
        <f t="shared" si="21"/>
        <v>0</v>
      </c>
      <c r="AZ38" s="39">
        <f t="shared" si="22"/>
        <v>0</v>
      </c>
      <c r="BA38" s="39">
        <f t="shared" si="23"/>
        <v>0</v>
      </c>
      <c r="BB38" s="39">
        <f t="shared" si="24"/>
        <v>0</v>
      </c>
      <c r="BC38" s="39">
        <f t="shared" si="25"/>
        <v>0</v>
      </c>
    </row>
    <row r="39" spans="1:55" ht="12.75" hidden="1">
      <c r="A39" s="40">
        <f>IF((OR(Schema!F40="vakant",Schema!H40="vakant")),Schema!A41,Schema!A40)</f>
      </c>
      <c r="B39" s="42" t="e">
        <f>IF(A39&gt;0,(VLOOKUP(A39,Tider!$A$3:$C$26,2,FALSE)),"")</f>
        <v>#N/A</v>
      </c>
      <c r="C39" s="21">
        <f>+IF(Schema!D40&gt;0,Schema!D40,"")</f>
      </c>
      <c r="D39" s="42" t="e">
        <f>+VLOOKUP(A39,Tider!$A$3:$C$26,3,FALSE)</f>
        <v>#N/A</v>
      </c>
      <c r="E39" s="20">
        <f>IF(OR(Schema!F40="vakant",Schema!H40="vakant"),Schema!F41,Schema!F40)</f>
      </c>
      <c r="F39" s="21">
        <f>+IF(Schema!G40&gt;0,Schema!G40,"")</f>
      </c>
      <c r="G39" s="20">
        <f>IF(OR(Schema!H40="vakant",Schema!F40="vakant"),Schema!H41,Schema!H40)</f>
      </c>
      <c r="H39" s="21">
        <f>+IF(Schema!I40&gt;0,Schema!I40,"")</f>
      </c>
      <c r="I39" s="21">
        <f>+IF(Schema!J40&gt;0,Schema!J40,"")</f>
      </c>
      <c r="J39" s="21">
        <f>+IF(Schema!K40&gt;0,Schema!K40,"")</f>
      </c>
      <c r="K39" s="21">
        <f>+IF(Schema!L40&gt;0,Schema!L40,"")</f>
      </c>
      <c r="L39" s="39">
        <f>IF(Schema!M40&gt;0,Schema!M40,"")</f>
      </c>
      <c r="M39" s="39">
        <f>IF(Schema!N40&gt;0,Schema!N40,"")</f>
      </c>
      <c r="N39" s="39">
        <f>IF(Schema!O40&gt;0,Schema!O40,"")</f>
      </c>
      <c r="O39" s="39">
        <f>IF(Schema!P40&gt;0,Schema!P40,"")</f>
      </c>
      <c r="P39" s="39">
        <f>IF(Schema!Q40&gt;0,Schema!Q40,"")</f>
      </c>
      <c r="Q39" s="39">
        <f>IF(Schema!T40&gt;0,Schema!T40,"")</f>
      </c>
      <c r="R39" s="39">
        <f>IF(Schema!U40&gt;0,Schema!U40,"")</f>
      </c>
      <c r="S39" s="39">
        <f>IF(Schema!V40&gt;0,Schema!V40,"")</f>
      </c>
      <c r="T39" s="39">
        <f>IF(Schema!W40&gt;0,Schema!W40,"")</f>
      </c>
      <c r="U39" s="39">
        <f>IF(Schema!X40&gt;0,Schema!X40,"")</f>
      </c>
      <c r="V39" s="39">
        <f>IF(Schema!Y40&gt;0,Schema!Y40,"")</f>
      </c>
      <c r="W39" s="39">
        <f>IF(Schema!Z40&gt;0,Schema!Z40,"")</f>
      </c>
      <c r="X39" s="39">
        <f>IF(Schema!AA40&gt;0,Schema!AA40,"")</f>
      </c>
      <c r="Y39" s="39">
        <f>IF(Schema!AB40&gt;0,Schema!AB40,"")</f>
      </c>
      <c r="Z39" s="39">
        <f>IF(Schema!AC40&gt;0,Schema!AC40,"")</f>
      </c>
      <c r="AA39" s="39">
        <f>IF(Schema!AF40&gt;0,Schema!AF40,"")</f>
      </c>
      <c r="AB39" s="39">
        <f>IF(Schema!AG40&gt;0,Schema!AG40,"")</f>
      </c>
      <c r="AC39" s="39">
        <f>IF(Schema!AH40&gt;0,Schema!AH40,"")</f>
      </c>
      <c r="AD39" s="39">
        <f>IF(Schema!AI40&gt;0,Schema!AI40,"")</f>
      </c>
      <c r="AE39" s="39">
        <f t="shared" si="1"/>
      </c>
      <c r="AF39" s="39">
        <f t="shared" si="2"/>
      </c>
      <c r="AG39" s="39">
        <f t="shared" si="3"/>
      </c>
      <c r="AH39" s="39">
        <f t="shared" si="4"/>
      </c>
      <c r="AI39" s="39">
        <f t="shared" si="5"/>
      </c>
      <c r="AJ39" s="39">
        <f t="shared" si="6"/>
      </c>
      <c r="AK39" s="39">
        <f t="shared" si="7"/>
        <v>0</v>
      </c>
      <c r="AL39" s="39">
        <f t="shared" si="8"/>
        <v>0</v>
      </c>
      <c r="AM39" s="39">
        <f t="shared" si="9"/>
        <v>0</v>
      </c>
      <c r="AN39" s="39">
        <f t="shared" si="10"/>
        <v>0</v>
      </c>
      <c r="AO39" s="39">
        <f t="shared" si="11"/>
        <v>0</v>
      </c>
      <c r="AP39" s="39">
        <f t="shared" si="12"/>
        <v>0</v>
      </c>
      <c r="AQ39" s="39">
        <f t="shared" si="13"/>
        <v>0</v>
      </c>
      <c r="AR39" s="39">
        <f t="shared" si="14"/>
        <v>0</v>
      </c>
      <c r="AS39" s="39">
        <f t="shared" si="15"/>
        <v>0</v>
      </c>
      <c r="AT39" s="39">
        <f t="shared" si="16"/>
        <v>0</v>
      </c>
      <c r="AU39" s="39">
        <f t="shared" si="17"/>
        <v>0</v>
      </c>
      <c r="AV39" s="39">
        <f t="shared" si="18"/>
        <v>0</v>
      </c>
      <c r="AW39" s="39">
        <f t="shared" si="19"/>
        <v>0</v>
      </c>
      <c r="AX39" s="39">
        <f t="shared" si="20"/>
        <v>0</v>
      </c>
      <c r="AY39" s="39">
        <f t="shared" si="21"/>
        <v>0</v>
      </c>
      <c r="AZ39" s="39">
        <f t="shared" si="22"/>
        <v>0</v>
      </c>
      <c r="BA39" s="39">
        <f t="shared" si="23"/>
        <v>0</v>
      </c>
      <c r="BB39" s="39">
        <f t="shared" si="24"/>
        <v>0</v>
      </c>
      <c r="BC39" s="39">
        <f t="shared" si="25"/>
        <v>0</v>
      </c>
    </row>
    <row r="40" spans="1:55" ht="12.75" hidden="1">
      <c r="A40" s="40">
        <f>IF((OR(Schema!F41="vakant",Schema!H41="vakant")),Schema!A42,Schema!A41)</f>
      </c>
      <c r="B40" s="42" t="e">
        <f>IF(A40&gt;0,(VLOOKUP(A40,Tider!$A$3:$C$26,2,FALSE)),"")</f>
        <v>#N/A</v>
      </c>
      <c r="C40" s="21">
        <f>+IF(Schema!D41&gt;0,Schema!D41,"")</f>
      </c>
      <c r="D40" s="42" t="e">
        <f>+VLOOKUP(A40,Tider!$A$3:$C$26,3,FALSE)</f>
        <v>#N/A</v>
      </c>
      <c r="E40" s="20">
        <f>IF(OR(Schema!F41="vakant",Schema!H41="vakant"),Schema!F42,Schema!F41)</f>
      </c>
      <c r="F40" s="21">
        <f>+IF(Schema!G41&gt;0,Schema!G41,"")</f>
      </c>
      <c r="G40" s="20">
        <f>IF(OR(Schema!H41="vakant",Schema!F41="vakant"),Schema!H42,Schema!H41)</f>
      </c>
      <c r="H40" s="21">
        <f>+IF(Schema!I41&gt;0,Schema!I41,"")</f>
      </c>
      <c r="I40" s="21">
        <f>+IF(Schema!J41&gt;0,Schema!J41,"")</f>
      </c>
      <c r="J40" s="21">
        <f>+IF(Schema!K41&gt;0,Schema!K41,"")</f>
      </c>
      <c r="K40" s="21">
        <f>+IF(Schema!L41&gt;0,Schema!L41,"")</f>
      </c>
      <c r="L40" s="39">
        <f>IF(Schema!M41&gt;0,Schema!M41,"")</f>
      </c>
      <c r="M40" s="39">
        <f>IF(Schema!N41&gt;0,Schema!N41,"")</f>
      </c>
      <c r="N40" s="39">
        <f>IF(Schema!O41&gt;0,Schema!O41,"")</f>
      </c>
      <c r="O40" s="39">
        <f>IF(Schema!P41&gt;0,Schema!P41,"")</f>
      </c>
      <c r="P40" s="39">
        <f>IF(Schema!Q41&gt;0,Schema!Q41,"")</f>
      </c>
      <c r="Q40" s="39">
        <f>IF(Schema!T41&gt;0,Schema!T41,"")</f>
      </c>
      <c r="R40" s="39">
        <f>IF(Schema!U41&gt;0,Schema!U41,"")</f>
      </c>
      <c r="S40" s="39">
        <f>IF(Schema!V41&gt;0,Schema!V41,"")</f>
      </c>
      <c r="T40" s="39">
        <f>IF(Schema!W41&gt;0,Schema!W41,"")</f>
      </c>
      <c r="U40" s="39">
        <f>IF(Schema!X41&gt;0,Schema!X41,"")</f>
      </c>
      <c r="V40" s="39">
        <f>IF(Schema!Y41&gt;0,Schema!Y41,"")</f>
      </c>
      <c r="W40" s="39">
        <f>IF(Schema!Z41&gt;0,Schema!Z41,"")</f>
      </c>
      <c r="X40" s="39">
        <f>IF(Schema!AA41&gt;0,Schema!AA41,"")</f>
      </c>
      <c r="Y40" s="39">
        <f>IF(Schema!AB41&gt;0,Schema!AB41,"")</f>
      </c>
      <c r="Z40" s="39">
        <f>IF(Schema!AC41&gt;0,Schema!AC41,"")</f>
      </c>
      <c r="AA40" s="39">
        <f>IF(Schema!AF41&gt;0,Schema!AF41,"")</f>
      </c>
      <c r="AB40" s="39">
        <f>IF(Schema!AG41&gt;0,Schema!AG41,"")</f>
      </c>
      <c r="AC40" s="39">
        <f>IF(Schema!AH41&gt;0,Schema!AH41,"")</f>
      </c>
      <c r="AD40" s="39">
        <f>IF(Schema!AI41&gt;0,Schema!AI41,"")</f>
      </c>
      <c r="AE40" s="39">
        <f t="shared" si="1"/>
      </c>
      <c r="AF40" s="39">
        <f t="shared" si="2"/>
      </c>
      <c r="AG40" s="39">
        <f t="shared" si="3"/>
      </c>
      <c r="AH40" s="39">
        <f t="shared" si="4"/>
      </c>
      <c r="AI40" s="39">
        <f t="shared" si="5"/>
      </c>
      <c r="AJ40" s="39">
        <f t="shared" si="6"/>
        <v>0</v>
      </c>
      <c r="AK40" s="39">
        <f t="shared" si="7"/>
        <v>0</v>
      </c>
      <c r="AL40" s="39">
        <f t="shared" si="8"/>
        <v>0</v>
      </c>
      <c r="AM40" s="39">
        <f t="shared" si="9"/>
        <v>0</v>
      </c>
      <c r="AN40" s="39">
        <f t="shared" si="10"/>
        <v>0</v>
      </c>
      <c r="AO40" s="39">
        <f t="shared" si="11"/>
        <v>0</v>
      </c>
      <c r="AP40" s="39">
        <f t="shared" si="12"/>
        <v>0</v>
      </c>
      <c r="AQ40" s="39">
        <f t="shared" si="13"/>
        <v>0</v>
      </c>
      <c r="AR40" s="39">
        <f t="shared" si="14"/>
        <v>0</v>
      </c>
      <c r="AS40" s="39">
        <f t="shared" si="15"/>
        <v>0</v>
      </c>
      <c r="AT40" s="39">
        <f t="shared" si="16"/>
        <v>0</v>
      </c>
      <c r="AU40" s="39">
        <f t="shared" si="17"/>
        <v>0</v>
      </c>
      <c r="AV40" s="39">
        <f t="shared" si="18"/>
        <v>0</v>
      </c>
      <c r="AW40" s="39">
        <f t="shared" si="19"/>
        <v>0</v>
      </c>
      <c r="AX40" s="39">
        <f t="shared" si="20"/>
        <v>0</v>
      </c>
      <c r="AY40" s="39">
        <f t="shared" si="21"/>
        <v>0</v>
      </c>
      <c r="AZ40" s="39">
        <f t="shared" si="22"/>
        <v>0</v>
      </c>
      <c r="BA40" s="39">
        <f t="shared" si="23"/>
        <v>0</v>
      </c>
      <c r="BB40" s="39">
        <f t="shared" si="24"/>
        <v>0</v>
      </c>
      <c r="BC40" s="39">
        <f t="shared" si="25"/>
        <v>0</v>
      </c>
    </row>
    <row r="41" spans="1:55" ht="12.75" hidden="1">
      <c r="A41" s="40">
        <f>IF((OR(Schema!F42="vakant",Schema!H42="vakant")),Schema!A43,Schema!A42)</f>
      </c>
      <c r="B41" s="42" t="e">
        <f>IF(A41&gt;0,(VLOOKUP(A41,Tider!$A$3:$C$26,2,FALSE)),"")</f>
        <v>#N/A</v>
      </c>
      <c r="C41" s="21">
        <f>+IF(Schema!D42&gt;0,Schema!D42,"")</f>
      </c>
      <c r="D41" s="42" t="e">
        <f>+VLOOKUP(A41,Tider!$A$3:$C$26,3,FALSE)</f>
        <v>#N/A</v>
      </c>
      <c r="E41" s="20">
        <f>IF(OR(Schema!F42="vakant",Schema!H42="vakant"),Schema!F43,Schema!F42)</f>
        <v>0</v>
      </c>
      <c r="F41" s="21">
        <f>+IF(Schema!G42&gt;0,Schema!G42,"")</f>
      </c>
      <c r="G41" s="20">
        <f>IF(OR(Schema!H42="vakant",Schema!F42="vakant"),Schema!H43,Schema!H42)</f>
        <v>0</v>
      </c>
      <c r="H41" s="21">
        <f>+IF(Schema!I42&gt;0,Schema!I42,"")</f>
      </c>
      <c r="I41" s="21">
        <f>+IF(Schema!J42&gt;0,Schema!J42,"")</f>
      </c>
      <c r="J41" s="21">
        <f>+IF(Schema!K42&gt;0,Schema!K42,"")</f>
      </c>
      <c r="K41" s="21">
        <f>+IF(Schema!L42&gt;0,Schema!L42,"")</f>
      </c>
      <c r="L41" s="39">
        <f>IF(Schema!M42&gt;0,Schema!M42,"")</f>
      </c>
      <c r="M41" s="39">
        <f>IF(Schema!N42&gt;0,Schema!N42,"")</f>
      </c>
      <c r="N41" s="39">
        <f>IF(Schema!O42&gt;0,Schema!O42,"")</f>
      </c>
      <c r="O41" s="39">
        <f>IF(Schema!P42&gt;0,Schema!P42,"")</f>
      </c>
      <c r="P41" s="39">
        <f>IF(Schema!Q42&gt;0,Schema!Q42,"")</f>
      </c>
      <c r="Q41" s="39">
        <f>IF(Schema!T42&gt;0,Schema!T42,"")</f>
      </c>
      <c r="R41" s="39">
        <f>IF(Schema!U42&gt;0,Schema!U42,"")</f>
      </c>
      <c r="S41" s="39">
        <f>IF(Schema!V42&gt;0,Schema!V42,"")</f>
      </c>
      <c r="T41" s="39">
        <f>IF(Schema!W42&gt;0,Schema!W42,"")</f>
      </c>
      <c r="U41" s="39">
        <f>IF(Schema!X42&gt;0,Schema!X42,"")</f>
      </c>
      <c r="V41" s="39">
        <f>IF(Schema!Y42&gt;0,Schema!Y42,"")</f>
      </c>
      <c r="W41" s="39">
        <f>IF(Schema!Z42&gt;0,Schema!Z42,"")</f>
      </c>
      <c r="X41" s="39">
        <f>IF(Schema!AA42&gt;0,Schema!AA42,"")</f>
      </c>
      <c r="Y41" s="39">
        <f>IF(Schema!AB42&gt;0,Schema!AB42,"")</f>
      </c>
      <c r="Z41" s="39">
        <f>IF(Schema!AC42&gt;0,Schema!AC42,"")</f>
      </c>
      <c r="AA41" s="39">
        <f>IF(Schema!AF42&gt;0,Schema!AF42,"")</f>
      </c>
      <c r="AB41" s="39">
        <f>IF(Schema!AG42&gt;0,Schema!AG42,"")</f>
      </c>
      <c r="AC41" s="39">
        <f>IF(Schema!AH42&gt;0,Schema!AH42,"")</f>
      </c>
      <c r="AD41" s="39">
        <f>IF(Schema!AI42&gt;0,Schema!AI42,"")</f>
      </c>
      <c r="AE41" s="39">
        <f t="shared" si="1"/>
      </c>
      <c r="AF41" s="39">
        <f t="shared" si="2"/>
      </c>
      <c r="AG41" s="39">
        <f t="shared" si="3"/>
      </c>
      <c r="AH41" s="39">
        <f t="shared" si="4"/>
      </c>
      <c r="AI41" s="39">
        <f t="shared" si="5"/>
        <v>0</v>
      </c>
      <c r="AJ41" s="39">
        <f t="shared" si="6"/>
        <v>0</v>
      </c>
      <c r="AK41" s="39">
        <f t="shared" si="7"/>
        <v>0</v>
      </c>
      <c r="AL41" s="39">
        <f t="shared" si="8"/>
        <v>0</v>
      </c>
      <c r="AM41" s="39">
        <f t="shared" si="9"/>
        <v>0</v>
      </c>
      <c r="AN41" s="39">
        <f t="shared" si="10"/>
        <v>0</v>
      </c>
      <c r="AO41" s="39">
        <f t="shared" si="11"/>
        <v>0</v>
      </c>
      <c r="AP41" s="39">
        <f t="shared" si="12"/>
        <v>0</v>
      </c>
      <c r="AQ41" s="39">
        <f t="shared" si="13"/>
        <v>0</v>
      </c>
      <c r="AR41" s="39">
        <f t="shared" si="14"/>
        <v>0</v>
      </c>
      <c r="AS41" s="39">
        <f t="shared" si="15"/>
        <v>0</v>
      </c>
      <c r="AT41" s="39">
        <f t="shared" si="16"/>
        <v>0</v>
      </c>
      <c r="AU41" s="39">
        <f t="shared" si="17"/>
        <v>0</v>
      </c>
      <c r="AV41" s="39">
        <f t="shared" si="18"/>
        <v>0</v>
      </c>
      <c r="AW41" s="39">
        <f t="shared" si="19"/>
        <v>0</v>
      </c>
      <c r="AX41" s="39">
        <f t="shared" si="20"/>
        <v>0</v>
      </c>
      <c r="AY41" s="39">
        <f t="shared" si="21"/>
        <v>0</v>
      </c>
      <c r="AZ41" s="39">
        <f t="shared" si="22"/>
        <v>0</v>
      </c>
      <c r="BA41" s="39">
        <f t="shared" si="23"/>
        <v>0</v>
      </c>
      <c r="BB41" s="39">
        <f t="shared" si="24"/>
        <v>0</v>
      </c>
      <c r="BC41" s="39">
        <f t="shared" si="25"/>
        <v>0</v>
      </c>
    </row>
    <row r="42" spans="1:55" ht="12.75" hidden="1">
      <c r="A42" s="40">
        <f>IF((OR(Schema!F43="vakant",Schema!H43="vakant")),Schema!A44,Schema!A43)</f>
      </c>
      <c r="B42" s="42" t="e">
        <f>IF(A42&gt;0,(VLOOKUP(A42,Tider!$A$3:$C$26,2,FALSE)),"")</f>
        <v>#N/A</v>
      </c>
      <c r="C42" s="21">
        <f>+IF(Schema!D43&gt;0,Schema!D43,"")</f>
      </c>
      <c r="D42" s="42" t="e">
        <f>+VLOOKUP(A42,Tider!$A$3:$C$26,3,FALSE)</f>
        <v>#N/A</v>
      </c>
      <c r="E42" s="20">
        <f>IF(OR(Schema!F43="vakant",Schema!H43="vakant"),Schema!F44,Schema!F43)</f>
        <v>0</v>
      </c>
      <c r="F42" s="21">
        <f>+IF(Schema!G43&gt;0,Schema!G43,"")</f>
      </c>
      <c r="G42" s="20">
        <f>IF(OR(Schema!H43="vakant",Schema!F43="vakant"),Schema!H44,Schema!H43)</f>
        <v>0</v>
      </c>
      <c r="H42" s="21">
        <f>+IF(Schema!I43&gt;0,Schema!I43,"")</f>
      </c>
      <c r="I42" s="21">
        <f>+IF(Schema!J43&gt;0,Schema!J43,"")</f>
      </c>
      <c r="J42" s="21">
        <f>+IF(Schema!K43&gt;0,Schema!K43,"")</f>
      </c>
      <c r="K42" s="21">
        <f>+IF(Schema!L43&gt;0,Schema!L43,"")</f>
      </c>
      <c r="L42" s="39">
        <f>IF(Schema!M43&gt;0,Schema!M43,"")</f>
      </c>
      <c r="M42" s="39">
        <f>IF(Schema!N43&gt;0,Schema!N43,"")</f>
      </c>
      <c r="N42" s="39">
        <f>IF(Schema!O43&gt;0,Schema!O43,"")</f>
      </c>
      <c r="O42" s="39">
        <f>IF(Schema!P43&gt;0,Schema!P43,"")</f>
      </c>
      <c r="P42" s="39">
        <f>IF(Schema!Q43&gt;0,Schema!Q43,"")</f>
      </c>
      <c r="Q42" s="39">
        <f>IF(Schema!T43&gt;0,Schema!T43,"")</f>
      </c>
      <c r="R42" s="39">
        <f>IF(Schema!U43&gt;0,Schema!U43,"")</f>
      </c>
      <c r="S42" s="39">
        <f>IF(Schema!V43&gt;0,Schema!V43,"")</f>
      </c>
      <c r="T42" s="39">
        <f>IF(Schema!W43&gt;0,Schema!W43,"")</f>
      </c>
      <c r="U42" s="39">
        <f>IF(Schema!X43&gt;0,Schema!X43,"")</f>
      </c>
      <c r="V42" s="39">
        <f>IF(Schema!Y43&gt;0,Schema!Y43,"")</f>
      </c>
      <c r="W42" s="39">
        <f>IF(Schema!Z43&gt;0,Schema!Z43,"")</f>
      </c>
      <c r="X42" s="39">
        <f>IF(Schema!AA43&gt;0,Schema!AA43,"")</f>
      </c>
      <c r="Y42" s="39">
        <f>IF(Schema!AB43&gt;0,Schema!AB43,"")</f>
      </c>
      <c r="Z42" s="39">
        <f>IF(Schema!AC43&gt;0,Schema!AC43,"")</f>
      </c>
      <c r="AA42" s="39">
        <f>IF(Schema!AF43&gt;0,Schema!AF43,"")</f>
      </c>
      <c r="AB42" s="39">
        <f>IF(Schema!AG43&gt;0,Schema!AG43,"")</f>
      </c>
      <c r="AC42" s="39">
        <f>IF(Schema!AH43&gt;0,Schema!AH43,"")</f>
      </c>
      <c r="AD42" s="39">
        <f>IF(Schema!AI43&gt;0,Schema!AI43,"")</f>
      </c>
      <c r="AE42" s="39">
        <f t="shared" si="1"/>
      </c>
      <c r="AF42" s="39">
        <f t="shared" si="2"/>
      </c>
      <c r="AG42" s="39">
        <f t="shared" si="3"/>
      </c>
      <c r="AH42" s="39">
        <f t="shared" si="4"/>
        <v>0</v>
      </c>
      <c r="AI42" s="39">
        <f t="shared" si="5"/>
        <v>0</v>
      </c>
      <c r="AJ42" s="39">
        <f t="shared" si="6"/>
        <v>0</v>
      </c>
      <c r="AK42" s="39">
        <f t="shared" si="7"/>
        <v>0</v>
      </c>
      <c r="AL42" s="39">
        <f t="shared" si="8"/>
        <v>0</v>
      </c>
      <c r="AM42" s="39">
        <f t="shared" si="9"/>
        <v>0</v>
      </c>
      <c r="AN42" s="39">
        <f t="shared" si="10"/>
        <v>0</v>
      </c>
      <c r="AO42" s="39">
        <f t="shared" si="11"/>
        <v>0</v>
      </c>
      <c r="AP42" s="39">
        <f t="shared" si="12"/>
        <v>0</v>
      </c>
      <c r="AQ42" s="39">
        <f t="shared" si="13"/>
        <v>0</v>
      </c>
      <c r="AR42" s="39">
        <f t="shared" si="14"/>
        <v>0</v>
      </c>
      <c r="AS42" s="39">
        <f t="shared" si="15"/>
        <v>0</v>
      </c>
      <c r="AT42" s="39">
        <f t="shared" si="16"/>
        <v>0</v>
      </c>
      <c r="AU42" s="39">
        <f t="shared" si="17"/>
        <v>0</v>
      </c>
      <c r="AV42" s="39">
        <f t="shared" si="18"/>
        <v>0</v>
      </c>
      <c r="AW42" s="39">
        <f t="shared" si="19"/>
        <v>0</v>
      </c>
      <c r="AX42" s="39">
        <f t="shared" si="20"/>
        <v>0</v>
      </c>
      <c r="AY42" s="39">
        <f t="shared" si="21"/>
        <v>0</v>
      </c>
      <c r="AZ42" s="39">
        <f t="shared" si="22"/>
        <v>0</v>
      </c>
      <c r="BA42" s="39">
        <f t="shared" si="23"/>
        <v>0</v>
      </c>
      <c r="BB42" s="39">
        <f t="shared" si="24"/>
        <v>0</v>
      </c>
      <c r="BC42" s="39">
        <f t="shared" si="25"/>
        <v>0</v>
      </c>
    </row>
    <row r="43" spans="1:55" ht="12.75" hidden="1">
      <c r="A43" s="40">
        <f>IF((OR(Schema!F44="vakant",Schema!H44="vakant")),Schema!A45,Schema!A44)</f>
      </c>
      <c r="B43" s="42" t="e">
        <f>IF(A43&gt;0,(VLOOKUP(A43,Tider!$A$3:$C$26,2,FALSE)),"")</f>
        <v>#N/A</v>
      </c>
      <c r="C43" s="21">
        <f>+IF(Schema!D44&gt;0,Schema!D44,"")</f>
      </c>
      <c r="D43" s="42" t="e">
        <f>+VLOOKUP(A43,Tider!$A$3:$C$26,3,FALSE)</f>
        <v>#N/A</v>
      </c>
      <c r="E43" s="20">
        <f>IF(OR(Schema!F44="vakant",Schema!H44="vakant"),Schema!F45,Schema!F44)</f>
        <v>0</v>
      </c>
      <c r="F43" s="21">
        <f>+IF(Schema!G44&gt;0,Schema!G44,"")</f>
      </c>
      <c r="G43" s="20">
        <f>IF(OR(Schema!H44="vakant",Schema!F44="vakant"),Schema!H45,Schema!H44)</f>
        <v>0</v>
      </c>
      <c r="H43" s="21">
        <f>+IF(Schema!I44&gt;0,Schema!I44,"")</f>
      </c>
      <c r="I43" s="21">
        <f>+IF(Schema!J44&gt;0,Schema!J44,"")</f>
      </c>
      <c r="J43" s="21">
        <f>+IF(Schema!K44&gt;0,Schema!K44,"")</f>
      </c>
      <c r="K43" s="21">
        <f>+IF(Schema!L44&gt;0,Schema!L44,"")</f>
      </c>
      <c r="L43" s="39">
        <f>IF(Schema!M44&gt;0,Schema!M44,"")</f>
      </c>
      <c r="M43" s="39">
        <f>IF(Schema!N44&gt;0,Schema!N44,"")</f>
      </c>
      <c r="N43" s="39">
        <f>IF(Schema!O44&gt;0,Schema!O44,"")</f>
      </c>
      <c r="O43" s="39">
        <f>IF(Schema!P44&gt;0,Schema!P44,"")</f>
      </c>
      <c r="P43" s="39">
        <f>IF(Schema!Q44&gt;0,Schema!Q44,"")</f>
      </c>
      <c r="Q43" s="39">
        <f>IF(Schema!T44&gt;0,Schema!T44,"")</f>
      </c>
      <c r="R43" s="39">
        <f>IF(Schema!U44&gt;0,Schema!U44,"")</f>
      </c>
      <c r="S43" s="39">
        <f>IF(Schema!V44&gt;0,Schema!V44,"")</f>
      </c>
      <c r="T43" s="39">
        <f>IF(Schema!W44&gt;0,Schema!W44,"")</f>
      </c>
      <c r="U43" s="39">
        <f>IF(Schema!X44&gt;0,Schema!X44,"")</f>
      </c>
      <c r="V43" s="39">
        <f>IF(Schema!Y44&gt;0,Schema!Y44,"")</f>
      </c>
      <c r="W43" s="39">
        <f>IF(Schema!Z44&gt;0,Schema!Z44,"")</f>
      </c>
      <c r="X43" s="39">
        <f>IF(Schema!AA44&gt;0,Schema!AA44,"")</f>
      </c>
      <c r="Y43" s="39">
        <f>IF(Schema!AB44&gt;0,Schema!AB44,"")</f>
      </c>
      <c r="Z43" s="39">
        <f>IF(Schema!AC44&gt;0,Schema!AC44,"")</f>
      </c>
      <c r="AA43" s="39">
        <f>IF(Schema!AF44&gt;0,Schema!AF44,"")</f>
      </c>
      <c r="AB43" s="39">
        <f>IF(Schema!AG44&gt;0,Schema!AG44,"")</f>
      </c>
      <c r="AC43" s="39">
        <f>IF(Schema!AH44&gt;0,Schema!AH44,"")</f>
      </c>
      <c r="AD43" s="39">
        <f>IF(Schema!AI44&gt;0,Schema!AI44,"")</f>
      </c>
      <c r="AE43" s="39">
        <f t="shared" si="1"/>
      </c>
      <c r="AF43" s="39">
        <f t="shared" si="2"/>
      </c>
      <c r="AG43" s="39">
        <f t="shared" si="3"/>
        <v>0</v>
      </c>
      <c r="AH43" s="39">
        <f t="shared" si="4"/>
        <v>0</v>
      </c>
      <c r="AI43" s="39">
        <f t="shared" si="5"/>
        <v>0</v>
      </c>
      <c r="AJ43" s="39">
        <f t="shared" si="6"/>
        <v>0</v>
      </c>
      <c r="AK43" s="39">
        <f t="shared" si="7"/>
        <v>0</v>
      </c>
      <c r="AL43" s="39">
        <f t="shared" si="8"/>
        <v>0</v>
      </c>
      <c r="AM43" s="39">
        <f t="shared" si="9"/>
        <v>0</v>
      </c>
      <c r="AN43" s="39">
        <f t="shared" si="10"/>
        <v>0</v>
      </c>
      <c r="AO43" s="39">
        <f t="shared" si="11"/>
        <v>0</v>
      </c>
      <c r="AP43" s="39">
        <f t="shared" si="12"/>
        <v>0</v>
      </c>
      <c r="AQ43" s="39">
        <f t="shared" si="13"/>
        <v>0</v>
      </c>
      <c r="AR43" s="39">
        <f t="shared" si="14"/>
        <v>0</v>
      </c>
      <c r="AS43" s="39">
        <f t="shared" si="15"/>
        <v>0</v>
      </c>
      <c r="AT43" s="39">
        <f t="shared" si="16"/>
        <v>0</v>
      </c>
      <c r="AU43" s="39">
        <f t="shared" si="17"/>
        <v>0</v>
      </c>
      <c r="AV43" s="39">
        <f t="shared" si="18"/>
        <v>0</v>
      </c>
      <c r="AW43" s="39">
        <f t="shared" si="19"/>
        <v>0</v>
      </c>
      <c r="AX43" s="39">
        <f t="shared" si="20"/>
        <v>0</v>
      </c>
      <c r="AY43" s="39">
        <f t="shared" si="21"/>
        <v>0</v>
      </c>
      <c r="AZ43" s="39">
        <f t="shared" si="22"/>
        <v>0</v>
      </c>
      <c r="BA43" s="39">
        <f t="shared" si="23"/>
        <v>0</v>
      </c>
      <c r="BB43" s="39">
        <f t="shared" si="24"/>
        <v>0</v>
      </c>
      <c r="BC43" s="39">
        <f t="shared" si="25"/>
        <v>0</v>
      </c>
    </row>
    <row r="44" spans="1:55" ht="12.75" hidden="1">
      <c r="A44" s="40">
        <f>IF((OR(Schema!F45="vakant",Schema!H45="vakant")),Schema!A46,Schema!A45)</f>
      </c>
      <c r="B44" s="42" t="e">
        <f>IF(A44&gt;0,(VLOOKUP(A44,Tider!$A$3:$C$26,2,FALSE)),"")</f>
        <v>#N/A</v>
      </c>
      <c r="C44" s="21">
        <f>+IF(Schema!D45&gt;0,Schema!D45,"")</f>
      </c>
      <c r="D44" s="42" t="e">
        <f>+VLOOKUP(A44,Tider!$A$3:$C$26,3,FALSE)</f>
        <v>#N/A</v>
      </c>
      <c r="E44" s="20">
        <f>IF(OR(Schema!F45="vakant",Schema!H45="vakant"),Schema!F46,Schema!F45)</f>
        <v>0</v>
      </c>
      <c r="F44" s="21">
        <f>+IF(Schema!G45&gt;0,Schema!G45,"")</f>
      </c>
      <c r="G44" s="20">
        <f>IF(OR(Schema!H45="vakant",Schema!F45="vakant"),Schema!H46,Schema!H45)</f>
        <v>0</v>
      </c>
      <c r="H44" s="21">
        <f>+IF(Schema!I45&gt;0,Schema!I45,"")</f>
      </c>
      <c r="I44" s="21">
        <f>+IF(Schema!J45&gt;0,Schema!J45,"")</f>
      </c>
      <c r="J44" s="21">
        <f>+IF(Schema!K45&gt;0,Schema!K45,"")</f>
      </c>
      <c r="K44" s="21">
        <f>+IF(Schema!L45&gt;0,Schema!L45,"")</f>
      </c>
      <c r="L44" s="39">
        <f>IF(Schema!M45&gt;0,Schema!M45,"")</f>
      </c>
      <c r="M44" s="39">
        <f>IF(Schema!N45&gt;0,Schema!N45,"")</f>
      </c>
      <c r="N44" s="39">
        <f>IF(Schema!O45&gt;0,Schema!O45,"")</f>
      </c>
      <c r="O44" s="39">
        <f>IF(Schema!P45&gt;0,Schema!P45,"")</f>
      </c>
      <c r="P44" s="39">
        <f>IF(Schema!Q45&gt;0,Schema!Q45,"")</f>
      </c>
      <c r="Q44" s="39">
        <f>IF(Schema!T45&gt;0,Schema!T45,"")</f>
      </c>
      <c r="R44" s="39">
        <f>IF(Schema!U45&gt;0,Schema!U45,"")</f>
      </c>
      <c r="S44" s="39">
        <f>IF(Schema!V45&gt;0,Schema!V45,"")</f>
      </c>
      <c r="T44" s="39">
        <f>IF(Schema!W45&gt;0,Schema!W45,"")</f>
      </c>
      <c r="U44" s="39">
        <f>IF(Schema!X45&gt;0,Schema!X45,"")</f>
      </c>
      <c r="V44" s="39">
        <f>IF(Schema!Y45&gt;0,Schema!Y45,"")</f>
      </c>
      <c r="W44" s="39">
        <f>IF(Schema!Z45&gt;0,Schema!Z45,"")</f>
      </c>
      <c r="X44" s="39">
        <f>IF(Schema!AA45&gt;0,Schema!AA45,"")</f>
      </c>
      <c r="Y44" s="39">
        <f>IF(Schema!AB45&gt;0,Schema!AB45,"")</f>
      </c>
      <c r="Z44" s="39">
        <f>IF(Schema!AC45&gt;0,Schema!AC45,"")</f>
      </c>
      <c r="AA44" s="39">
        <f>IF(Schema!AF45&gt;0,Schema!AF45,"")</f>
      </c>
      <c r="AB44" s="39">
        <f>IF(Schema!AG45&gt;0,Schema!AG45,"")</f>
      </c>
      <c r="AC44" s="39">
        <f>IF(Schema!AH45&gt;0,Schema!AH45,"")</f>
      </c>
      <c r="AD44" s="39">
        <f>IF(Schema!AI45&gt;0,Schema!AI45,"")</f>
      </c>
      <c r="AE44" s="39">
        <f t="shared" si="1"/>
      </c>
      <c r="AF44" s="39">
        <f t="shared" si="2"/>
        <v>0</v>
      </c>
      <c r="AG44" s="39">
        <f t="shared" si="3"/>
        <v>0</v>
      </c>
      <c r="AH44" s="39">
        <f t="shared" si="4"/>
        <v>0</v>
      </c>
      <c r="AI44" s="39">
        <f t="shared" si="5"/>
        <v>0</v>
      </c>
      <c r="AJ44" s="39">
        <f t="shared" si="6"/>
        <v>0</v>
      </c>
      <c r="AK44" s="39">
        <f t="shared" si="7"/>
        <v>0</v>
      </c>
      <c r="AL44" s="39">
        <f t="shared" si="8"/>
        <v>0</v>
      </c>
      <c r="AM44" s="39">
        <f t="shared" si="9"/>
        <v>0</v>
      </c>
      <c r="AN44" s="39">
        <f t="shared" si="10"/>
        <v>0</v>
      </c>
      <c r="AO44" s="39">
        <f t="shared" si="11"/>
        <v>0</v>
      </c>
      <c r="AP44" s="39">
        <f t="shared" si="12"/>
        <v>0</v>
      </c>
      <c r="AQ44" s="39">
        <f t="shared" si="13"/>
        <v>0</v>
      </c>
      <c r="AR44" s="39">
        <f t="shared" si="14"/>
        <v>0</v>
      </c>
      <c r="AS44" s="39">
        <f t="shared" si="15"/>
        <v>0</v>
      </c>
      <c r="AT44" s="39">
        <f t="shared" si="16"/>
        <v>0</v>
      </c>
      <c r="AU44" s="39">
        <f t="shared" si="17"/>
        <v>0</v>
      </c>
      <c r="AV44" s="39">
        <f t="shared" si="18"/>
        <v>0</v>
      </c>
      <c r="AW44" s="39">
        <f t="shared" si="19"/>
        <v>0</v>
      </c>
      <c r="AX44" s="39">
        <f t="shared" si="20"/>
        <v>0</v>
      </c>
      <c r="AY44" s="39">
        <f t="shared" si="21"/>
        <v>0</v>
      </c>
      <c r="AZ44" s="39">
        <f t="shared" si="22"/>
        <v>0</v>
      </c>
      <c r="BA44" s="39">
        <f t="shared" si="23"/>
        <v>0</v>
      </c>
      <c r="BB44" s="39">
        <f t="shared" si="24"/>
        <v>0</v>
      </c>
      <c r="BC44" s="39">
        <f t="shared" si="25"/>
        <v>0</v>
      </c>
    </row>
    <row r="45" spans="1:55" ht="12.75" hidden="1">
      <c r="A45" s="40">
        <f>IF((OR(Schema!F46="vakant",Schema!H46="vakant")),Schema!A47,Schema!A46)</f>
      </c>
      <c r="B45" s="42" t="e">
        <f>IF(A45&gt;0,(VLOOKUP(A45,Tider!$A$3:$C$26,2,FALSE)),"")</f>
        <v>#N/A</v>
      </c>
      <c r="C45" s="21">
        <f>+IF(Schema!D46&gt;0,Schema!D46,"")</f>
      </c>
      <c r="D45" s="42" t="e">
        <f>+VLOOKUP(A45,Tider!$A$3:$C$26,3,FALSE)</f>
        <v>#N/A</v>
      </c>
      <c r="E45" s="20">
        <f>IF(OR(Schema!F46="vakant",Schema!H46="vakant"),Schema!F47,Schema!F46)</f>
        <v>0</v>
      </c>
      <c r="F45" s="21">
        <f>+IF(Schema!G46&gt;0,Schema!G46,"")</f>
      </c>
      <c r="G45" s="20">
        <f>IF(OR(Schema!H46="vakant",Schema!F46="vakant"),Schema!H47,Schema!H46)</f>
        <v>0</v>
      </c>
      <c r="H45" s="21">
        <f>+IF(Schema!I46&gt;0,Schema!I46,"")</f>
      </c>
      <c r="I45" s="21">
        <f>+IF(Schema!J46&gt;0,Schema!J46,"")</f>
      </c>
      <c r="J45" s="21">
        <f>+IF(Schema!K46&gt;0,Schema!K46,"")</f>
      </c>
      <c r="K45" s="21">
        <f>+IF(Schema!L46&gt;0,Schema!L46,"")</f>
      </c>
      <c r="L45" s="39">
        <f>IF(Schema!M46&gt;0,Schema!M46,"")</f>
      </c>
      <c r="M45" s="39">
        <f>IF(Schema!N46&gt;0,Schema!N46,"")</f>
      </c>
      <c r="N45" s="39">
        <f>IF(Schema!O46&gt;0,Schema!O46,"")</f>
      </c>
      <c r="O45" s="39">
        <f>IF(Schema!P46&gt;0,Schema!P46,"")</f>
      </c>
      <c r="P45" s="39">
        <f>IF(Schema!Q46&gt;0,Schema!Q46,"")</f>
      </c>
      <c r="Q45" s="39">
        <f>IF(Schema!T46&gt;0,Schema!T46,"")</f>
      </c>
      <c r="R45" s="39">
        <f>IF(Schema!U46&gt;0,Schema!U46,"")</f>
      </c>
      <c r="S45" s="39">
        <f>IF(Schema!V46&gt;0,Schema!V46,"")</f>
      </c>
      <c r="T45" s="39">
        <f>IF(Schema!W46&gt;0,Schema!W46,"")</f>
      </c>
      <c r="U45" s="39">
        <f>IF(Schema!X46&gt;0,Schema!X46,"")</f>
      </c>
      <c r="V45" s="39">
        <f>IF(Schema!Y46&gt;0,Schema!Y46,"")</f>
      </c>
      <c r="W45" s="39">
        <f>IF(Schema!Z46&gt;0,Schema!Z46,"")</f>
      </c>
      <c r="X45" s="39">
        <f>IF(Schema!AA46&gt;0,Schema!AA46,"")</f>
      </c>
      <c r="Y45" s="39">
        <f>IF(Schema!AB46&gt;0,Schema!AB46,"")</f>
      </c>
      <c r="Z45" s="39">
        <f>IF(Schema!AC46&gt;0,Schema!AC46,"")</f>
      </c>
      <c r="AA45" s="39">
        <f>IF(Schema!AF46&gt;0,Schema!AF46,"")</f>
      </c>
      <c r="AB45" s="39">
        <f>IF(Schema!AG46&gt;0,Schema!AG46,"")</f>
      </c>
      <c r="AC45" s="39">
        <f>IF(Schema!AH46&gt;0,Schema!AH46,"")</f>
      </c>
      <c r="AD45" s="39">
        <f>IF(Schema!AI46&gt;0,Schema!AI46,"")</f>
      </c>
      <c r="AE45" s="39">
        <f t="shared" si="1"/>
        <v>0</v>
      </c>
      <c r="AF45" s="39">
        <f t="shared" si="2"/>
        <v>0</v>
      </c>
      <c r="AG45" s="39">
        <f t="shared" si="3"/>
        <v>0</v>
      </c>
      <c r="AH45" s="39">
        <f t="shared" si="4"/>
        <v>0</v>
      </c>
      <c r="AI45" s="39">
        <f t="shared" si="5"/>
        <v>0</v>
      </c>
      <c r="AJ45" s="39">
        <f t="shared" si="6"/>
        <v>0</v>
      </c>
      <c r="AK45" s="39">
        <f t="shared" si="7"/>
        <v>0</v>
      </c>
      <c r="AL45" s="39">
        <f t="shared" si="8"/>
        <v>0</v>
      </c>
      <c r="AM45" s="39">
        <f t="shared" si="9"/>
        <v>0</v>
      </c>
      <c r="AN45" s="39">
        <f t="shared" si="10"/>
        <v>0</v>
      </c>
      <c r="AO45" s="39">
        <f t="shared" si="11"/>
        <v>0</v>
      </c>
      <c r="AP45" s="39">
        <f t="shared" si="12"/>
        <v>0</v>
      </c>
      <c r="AQ45" s="39">
        <f t="shared" si="13"/>
        <v>0</v>
      </c>
      <c r="AR45" s="39">
        <f t="shared" si="14"/>
        <v>0</v>
      </c>
      <c r="AS45" s="39">
        <f t="shared" si="15"/>
        <v>0</v>
      </c>
      <c r="AT45" s="39">
        <f t="shared" si="16"/>
        <v>0</v>
      </c>
      <c r="AU45" s="39">
        <f t="shared" si="17"/>
        <v>0</v>
      </c>
      <c r="AV45" s="39">
        <f t="shared" si="18"/>
        <v>0</v>
      </c>
      <c r="AW45" s="39">
        <f t="shared" si="19"/>
        <v>0</v>
      </c>
      <c r="AX45" s="39">
        <f t="shared" si="20"/>
        <v>0</v>
      </c>
      <c r="AY45" s="39">
        <f t="shared" si="21"/>
        <v>0</v>
      </c>
      <c r="AZ45" s="39">
        <f t="shared" si="22"/>
        <v>0</v>
      </c>
      <c r="BA45" s="39">
        <f t="shared" si="23"/>
        <v>0</v>
      </c>
      <c r="BB45" s="39">
        <f t="shared" si="24"/>
        <v>0</v>
      </c>
      <c r="BC45" s="39">
        <f t="shared" si="25"/>
        <v>0</v>
      </c>
    </row>
    <row r="46" spans="1:55" ht="12.75" hidden="1">
      <c r="A46" s="40"/>
      <c r="B46" s="42"/>
      <c r="D46" s="42"/>
      <c r="F46" s="21"/>
      <c r="H46" s="21"/>
      <c r="I46" s="21"/>
      <c r="J46" s="21"/>
      <c r="K46" s="21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</row>
    <row r="47" spans="1:55" ht="12.75" hidden="1">
      <c r="A47" s="40"/>
      <c r="B47" s="42"/>
      <c r="D47" s="42"/>
      <c r="F47" s="21"/>
      <c r="H47" s="21"/>
      <c r="I47" s="21"/>
      <c r="J47" s="21"/>
      <c r="K47" s="21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2.75" hidden="1">
      <c r="A48" s="40"/>
      <c r="B48" s="42"/>
      <c r="D48" s="42"/>
      <c r="F48" s="21"/>
      <c r="H48" s="21"/>
      <c r="I48" s="21"/>
      <c r="J48" s="21"/>
      <c r="K48" s="21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ht="12.75" hidden="1">
      <c r="A49" s="40"/>
      <c r="B49" s="42"/>
      <c r="D49" s="42"/>
      <c r="F49" s="21"/>
      <c r="H49" s="21"/>
      <c r="I49" s="21"/>
      <c r="J49" s="21"/>
      <c r="K49" s="21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ht="12.75" hidden="1">
      <c r="A50" s="40"/>
      <c r="B50" s="42"/>
      <c r="D50" s="42"/>
      <c r="F50" s="21"/>
      <c r="H50" s="21"/>
      <c r="I50" s="21"/>
      <c r="J50" s="21"/>
      <c r="K50" s="21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</row>
    <row r="51" spans="1:55" ht="12.75" hidden="1">
      <c r="A51" s="40"/>
      <c r="B51" s="42"/>
      <c r="D51" s="42"/>
      <c r="F51" s="21"/>
      <c r="H51" s="21"/>
      <c r="I51" s="21"/>
      <c r="J51" s="21"/>
      <c r="K51" s="21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42:55" ht="12.75" hidden="1">
      <c r="AP52" s="39"/>
      <c r="AQ52" s="39"/>
      <c r="AR52" s="39"/>
      <c r="AS52" s="39"/>
      <c r="AT52" s="39"/>
      <c r="AU52" s="39"/>
      <c r="AV52" s="39"/>
      <c r="AW52" s="39"/>
      <c r="AX52" s="39"/>
      <c r="BA52" s="39"/>
      <c r="BB52" s="39"/>
      <c r="BC52" s="39"/>
    </row>
    <row r="53" spans="42:55" ht="12.75" hidden="1">
      <c r="AP53" s="39"/>
      <c r="AQ53" s="39"/>
      <c r="AR53" s="39"/>
      <c r="AS53" s="39"/>
      <c r="AT53" s="39"/>
      <c r="AU53" s="39"/>
      <c r="AV53" s="39"/>
      <c r="AW53" s="39"/>
      <c r="AX53" s="39"/>
      <c r="BA53" s="39"/>
      <c r="BB53" s="39"/>
      <c r="BC53" s="39"/>
    </row>
    <row r="54" spans="12:55" ht="12.75" hidden="1">
      <c r="L54" s="39">
        <f>IF(Schema!M49&gt;0,Schema!M49,"")</f>
      </c>
      <c r="M54" s="39">
        <f>IF(Schema!N49&gt;0,Schema!N49,"")</f>
      </c>
      <c r="N54" s="39">
        <f>IF(Schema!O49&gt;0,Schema!O49,"")</f>
      </c>
      <c r="O54" s="39">
        <f>IF(Schema!P49&gt;0,Schema!P49,"")</f>
      </c>
      <c r="P54" s="39">
        <f>IF(Schema!Q49&gt;0,Schema!Q49,"")</f>
      </c>
      <c r="Q54" s="39">
        <f>IF(Schema!T49&gt;0,Schema!T49,"")</f>
      </c>
      <c r="R54" s="39">
        <f>IF(Schema!U49&gt;0,Schema!U49,"")</f>
      </c>
      <c r="S54" s="39">
        <f>IF(Schema!V49&gt;0,Schema!V49,"")</f>
      </c>
      <c r="T54" s="39">
        <f>IF(Schema!W49&gt;0,Schema!W49,"")</f>
      </c>
      <c r="U54" s="39">
        <f>IF(Schema!X49&gt;0,Schema!X49,"")</f>
      </c>
      <c r="V54" s="39">
        <f>IF(Schema!Y49&gt;0,Schema!Y49,"")</f>
      </c>
      <c r="W54" s="39">
        <f>IF(Schema!Z49&gt;0,Schema!Z49,"")</f>
      </c>
      <c r="X54" s="39">
        <f>IF(Schema!AA49&gt;0,Schema!AA49,"")</f>
      </c>
      <c r="Y54" s="39">
        <f>IF(Schema!AB49&gt;0,Schema!AB49,"")</f>
      </c>
      <c r="Z54" s="39">
        <f>IF(Schema!AC49&gt;0,Schema!AC49,"")</f>
      </c>
      <c r="AA54" s="39">
        <f>IF(Schema!AF49&gt;0,Schema!AF49,"")</f>
      </c>
      <c r="AB54" s="39">
        <f>IF(Schema!AG49&gt;0,Schema!AG49,"")</f>
      </c>
      <c r="AC54" s="39">
        <f>IF(Schema!AH49&gt;0,Schema!AH49,"")</f>
      </c>
      <c r="AD54" s="39">
        <f>IF(Schema!AI49&gt;0,Schema!AI49,"")</f>
      </c>
      <c r="AE54" s="39">
        <f aca="true" t="shared" si="33" ref="AE54:AE69">+IF(A54=A53,A55,A54)</f>
        <v>0</v>
      </c>
      <c r="AF54" s="39">
        <f aca="true" t="shared" si="34" ref="AF54:AF69">+IF(A54=A55,A54,"")</f>
        <v>0</v>
      </c>
      <c r="AG54" s="39">
        <f aca="true" t="shared" si="35" ref="AG54:AG69">+IF(AE54=AF54,AE55,AE54)</f>
        <v>0</v>
      </c>
      <c r="AH54" s="39">
        <f aca="true" t="shared" si="36" ref="AH54:AX54">+IF(AG54=AG53,AG55,AG54)</f>
        <v>0</v>
      </c>
      <c r="AI54" s="39">
        <f t="shared" si="36"/>
        <v>0</v>
      </c>
      <c r="AJ54" s="39">
        <f t="shared" si="36"/>
        <v>0</v>
      </c>
      <c r="AK54" s="39">
        <f t="shared" si="36"/>
        <v>0</v>
      </c>
      <c r="AL54" s="39">
        <f t="shared" si="36"/>
        <v>0</v>
      </c>
      <c r="AM54" s="39">
        <f t="shared" si="36"/>
        <v>0</v>
      </c>
      <c r="AN54" s="39">
        <f t="shared" si="36"/>
        <v>0</v>
      </c>
      <c r="AO54" s="39">
        <f t="shared" si="36"/>
        <v>0</v>
      </c>
      <c r="AP54" s="39">
        <f t="shared" si="36"/>
        <v>0</v>
      </c>
      <c r="AQ54" s="39">
        <f t="shared" si="36"/>
        <v>0</v>
      </c>
      <c r="AR54" s="39">
        <f t="shared" si="36"/>
        <v>0</v>
      </c>
      <c r="AS54" s="39">
        <f t="shared" si="36"/>
        <v>0</v>
      </c>
      <c r="AT54" s="39">
        <f t="shared" si="36"/>
        <v>0</v>
      </c>
      <c r="AU54" s="39">
        <f t="shared" si="36"/>
        <v>0</v>
      </c>
      <c r="AV54" s="39">
        <f t="shared" si="36"/>
        <v>0</v>
      </c>
      <c r="AW54" s="39">
        <f t="shared" si="36"/>
        <v>0</v>
      </c>
      <c r="AX54" s="39">
        <f t="shared" si="36"/>
        <v>0</v>
      </c>
      <c r="BA54" s="39">
        <f aca="true" t="shared" si="37" ref="BA54:BA72">+IF(AZ54=AZ53,AZ55,AZ54)</f>
        <v>0</v>
      </c>
      <c r="BB54" s="39">
        <f aca="true" t="shared" si="38" ref="BB54:BB72">+IF(BA54=BA53,BA55,BA54)</f>
        <v>0</v>
      </c>
      <c r="BC54" s="39">
        <f aca="true" t="shared" si="39" ref="BC54:BC72">+IF(BB54=BB53,BB55,BB54)</f>
        <v>0</v>
      </c>
    </row>
    <row r="55" spans="12:55" ht="12.75" hidden="1">
      <c r="L55" s="39">
        <f>IF(Schema!M50&gt;0,Schema!M50,"")</f>
      </c>
      <c r="M55" s="39">
        <f>IF(Schema!N50&gt;0,Schema!N50,"")</f>
      </c>
      <c r="N55" s="39">
        <f>IF(Schema!O50&gt;0,Schema!O50,"")</f>
      </c>
      <c r="O55" s="39">
        <f>IF(Schema!P50&gt;0,Schema!P50,"")</f>
      </c>
      <c r="P55" s="39">
        <f>IF(Schema!Q50&gt;0,Schema!Q50,"")</f>
      </c>
      <c r="Q55" s="39">
        <f>IF(Schema!T50&gt;0,Schema!T50,"")</f>
      </c>
      <c r="R55" s="39">
        <f>IF(Schema!U50&gt;0,Schema!U50,"")</f>
      </c>
      <c r="S55" s="39">
        <f>IF(Schema!V50&gt;0,Schema!V50,"")</f>
      </c>
      <c r="T55" s="39">
        <f>IF(Schema!W50&gt;0,Schema!W50,"")</f>
      </c>
      <c r="U55" s="39">
        <f>IF(Schema!X50&gt;0,Schema!X50,"")</f>
      </c>
      <c r="V55" s="39">
        <f>IF(Schema!Y50&gt;0,Schema!Y50,"")</f>
      </c>
      <c r="W55" s="39">
        <f>IF(Schema!Z50&gt;0,Schema!Z50,"")</f>
      </c>
      <c r="X55" s="39">
        <f>IF(Schema!AA50&gt;0,Schema!AA50,"")</f>
      </c>
      <c r="Y55" s="39">
        <f>IF(Schema!AB50&gt;0,Schema!AB50,"")</f>
      </c>
      <c r="Z55" s="39">
        <f>IF(Schema!AC50&gt;0,Schema!AC50,"")</f>
      </c>
      <c r="AA55" s="39">
        <f>IF(Schema!AF50&gt;0,Schema!AF50,"")</f>
      </c>
      <c r="AB55" s="39">
        <f>IF(Schema!AG50&gt;0,Schema!AG50,"")</f>
      </c>
      <c r="AC55" s="39">
        <f>IF(Schema!AH50&gt;0,Schema!AH50,"")</f>
      </c>
      <c r="AD55" s="39">
        <f>IF(Schema!AI50&gt;0,Schema!AI50,"")</f>
      </c>
      <c r="AE55" s="39">
        <f t="shared" si="33"/>
        <v>0</v>
      </c>
      <c r="AF55" s="39">
        <f t="shared" si="34"/>
        <v>0</v>
      </c>
      <c r="AG55" s="39">
        <f t="shared" si="35"/>
        <v>0</v>
      </c>
      <c r="AH55" s="39">
        <f aca="true" t="shared" si="40" ref="AH55:AX55">+IF(AG55=AG54,AG56,AG55)</f>
        <v>0</v>
      </c>
      <c r="AI55" s="39">
        <f t="shared" si="40"/>
        <v>0</v>
      </c>
      <c r="AJ55" s="39">
        <f t="shared" si="40"/>
        <v>0</v>
      </c>
      <c r="AK55" s="39">
        <f t="shared" si="40"/>
        <v>0</v>
      </c>
      <c r="AL55" s="39">
        <f t="shared" si="40"/>
        <v>0</v>
      </c>
      <c r="AM55" s="39">
        <f t="shared" si="40"/>
        <v>0</v>
      </c>
      <c r="AN55" s="39">
        <f t="shared" si="40"/>
        <v>0</v>
      </c>
      <c r="AO55" s="39">
        <f t="shared" si="40"/>
        <v>0</v>
      </c>
      <c r="AP55" s="39">
        <f t="shared" si="40"/>
        <v>0</v>
      </c>
      <c r="AQ55" s="39">
        <f t="shared" si="40"/>
        <v>0</v>
      </c>
      <c r="AR55" s="39">
        <f t="shared" si="40"/>
        <v>0</v>
      </c>
      <c r="AS55" s="39">
        <f t="shared" si="40"/>
        <v>0</v>
      </c>
      <c r="AT55" s="39">
        <f t="shared" si="40"/>
        <v>0</v>
      </c>
      <c r="AU55" s="39">
        <f t="shared" si="40"/>
        <v>0</v>
      </c>
      <c r="AV55" s="39">
        <f t="shared" si="40"/>
        <v>0</v>
      </c>
      <c r="AW55" s="39">
        <f t="shared" si="40"/>
        <v>0</v>
      </c>
      <c r="AX55" s="39">
        <f t="shared" si="40"/>
        <v>0</v>
      </c>
      <c r="BA55" s="39">
        <f t="shared" si="37"/>
        <v>0</v>
      </c>
      <c r="BB55" s="39">
        <f t="shared" si="38"/>
        <v>0</v>
      </c>
      <c r="BC55" s="39">
        <f t="shared" si="39"/>
        <v>0</v>
      </c>
    </row>
    <row r="56" spans="12:55" ht="12.75" hidden="1">
      <c r="L56" s="39">
        <f>IF(Schema!M51&gt;0,Schema!M51,"")</f>
      </c>
      <c r="M56" s="39">
        <f>IF(Schema!N51&gt;0,Schema!N51,"")</f>
      </c>
      <c r="N56" s="39">
        <f>IF(Schema!O51&gt;0,Schema!O51,"")</f>
      </c>
      <c r="O56" s="39">
        <f>IF(Schema!P51&gt;0,Schema!P51,"")</f>
      </c>
      <c r="P56" s="39">
        <f>IF(Schema!Q51&gt;0,Schema!Q51,"")</f>
      </c>
      <c r="Q56" s="39">
        <f>IF(Schema!T51&gt;0,Schema!T51,"")</f>
      </c>
      <c r="R56" s="39">
        <f>IF(Schema!U51&gt;0,Schema!U51,"")</f>
      </c>
      <c r="S56" s="39">
        <f>IF(Schema!V51&gt;0,Schema!V51,"")</f>
      </c>
      <c r="T56" s="39">
        <f>IF(Schema!W51&gt;0,Schema!W51,"")</f>
      </c>
      <c r="U56" s="39">
        <f>IF(Schema!X51&gt;0,Schema!X51,"")</f>
      </c>
      <c r="V56" s="39">
        <f>IF(Schema!Y51&gt;0,Schema!Y51,"")</f>
      </c>
      <c r="W56" s="39">
        <f>IF(Schema!Z51&gt;0,Schema!Z51,"")</f>
      </c>
      <c r="X56" s="39">
        <f>IF(Schema!AA51&gt;0,Schema!AA51,"")</f>
      </c>
      <c r="Y56" s="39">
        <f>IF(Schema!AB51&gt;0,Schema!AB51,"")</f>
      </c>
      <c r="Z56" s="39">
        <f>IF(Schema!AC51&gt;0,Schema!AC51,"")</f>
      </c>
      <c r="AA56" s="39">
        <f>IF(Schema!AF51&gt;0,Schema!AF51,"")</f>
      </c>
      <c r="AB56" s="39">
        <f>IF(Schema!AG51&gt;0,Schema!AG51,"")</f>
      </c>
      <c r="AC56" s="39">
        <f>IF(Schema!AH51&gt;0,Schema!AH51,"")</f>
      </c>
      <c r="AD56" s="39">
        <f>IF(Schema!AI51&gt;0,Schema!AI51,"")</f>
      </c>
      <c r="AE56" s="39">
        <f t="shared" si="33"/>
        <v>0</v>
      </c>
      <c r="AF56" s="39">
        <f t="shared" si="34"/>
        <v>0</v>
      </c>
      <c r="AG56" s="39">
        <f t="shared" si="35"/>
        <v>0</v>
      </c>
      <c r="AH56" s="39">
        <f aca="true" t="shared" si="41" ref="AH56:AX56">+IF(AG56=AG55,AG57,AG56)</f>
        <v>0</v>
      </c>
      <c r="AI56" s="39">
        <f t="shared" si="41"/>
        <v>0</v>
      </c>
      <c r="AJ56" s="39">
        <f t="shared" si="41"/>
        <v>0</v>
      </c>
      <c r="AK56" s="39">
        <f t="shared" si="41"/>
        <v>0</v>
      </c>
      <c r="AL56" s="39">
        <f t="shared" si="41"/>
        <v>0</v>
      </c>
      <c r="AM56" s="39">
        <f t="shared" si="41"/>
        <v>0</v>
      </c>
      <c r="AN56" s="39">
        <f t="shared" si="41"/>
        <v>0</v>
      </c>
      <c r="AO56" s="39">
        <f t="shared" si="41"/>
        <v>0</v>
      </c>
      <c r="AP56" s="39">
        <f t="shared" si="41"/>
        <v>0</v>
      </c>
      <c r="AQ56" s="39">
        <f t="shared" si="41"/>
        <v>0</v>
      </c>
      <c r="AR56" s="39">
        <f t="shared" si="41"/>
        <v>0</v>
      </c>
      <c r="AS56" s="39">
        <f t="shared" si="41"/>
        <v>0</v>
      </c>
      <c r="AT56" s="39">
        <f t="shared" si="41"/>
        <v>0</v>
      </c>
      <c r="AU56" s="39">
        <f t="shared" si="41"/>
        <v>0</v>
      </c>
      <c r="AV56" s="39">
        <f t="shared" si="41"/>
        <v>0</v>
      </c>
      <c r="AW56" s="39">
        <f t="shared" si="41"/>
        <v>0</v>
      </c>
      <c r="AX56" s="39">
        <f t="shared" si="41"/>
        <v>0</v>
      </c>
      <c r="BA56" s="39">
        <f t="shared" si="37"/>
        <v>0</v>
      </c>
      <c r="BB56" s="39">
        <f t="shared" si="38"/>
        <v>0</v>
      </c>
      <c r="BC56" s="39">
        <f t="shared" si="39"/>
        <v>0</v>
      </c>
    </row>
    <row r="57" spans="12:55" ht="12.75" hidden="1">
      <c r="L57" s="39">
        <f>IF(Schema!M52&gt;0,Schema!M52,"")</f>
      </c>
      <c r="M57" s="39">
        <f>IF(Schema!N52&gt;0,Schema!N52,"")</f>
      </c>
      <c r="N57" s="39">
        <f>IF(Schema!O52&gt;0,Schema!O52,"")</f>
      </c>
      <c r="O57" s="39">
        <f>IF(Schema!P52&gt;0,Schema!P52,"")</f>
      </c>
      <c r="P57" s="39">
        <f>IF(Schema!Q52&gt;0,Schema!Q52,"")</f>
      </c>
      <c r="Q57" s="39">
        <f>IF(Schema!T52&gt;0,Schema!T52,"")</f>
      </c>
      <c r="R57" s="39">
        <f>IF(Schema!U52&gt;0,Schema!U52,"")</f>
      </c>
      <c r="S57" s="39">
        <f>IF(Schema!V52&gt;0,Schema!V52,"")</f>
      </c>
      <c r="T57" s="39">
        <f>IF(Schema!W52&gt;0,Schema!W52,"")</f>
      </c>
      <c r="U57" s="39">
        <f>IF(Schema!X52&gt;0,Schema!X52,"")</f>
      </c>
      <c r="V57" s="39">
        <f>IF(Schema!Y52&gt;0,Schema!Y52,"")</f>
      </c>
      <c r="W57" s="39">
        <f>IF(Schema!Z52&gt;0,Schema!Z52,"")</f>
      </c>
      <c r="X57" s="39">
        <f>IF(Schema!AA52&gt;0,Schema!AA52,"")</f>
      </c>
      <c r="Y57" s="39">
        <f>IF(Schema!AB52&gt;0,Schema!AB52,"")</f>
      </c>
      <c r="Z57" s="39">
        <f>IF(Schema!AC52&gt;0,Schema!AC52,"")</f>
      </c>
      <c r="AA57" s="39">
        <f>IF(Schema!AF52&gt;0,Schema!AF52,"")</f>
      </c>
      <c r="AB57" s="39">
        <f>IF(Schema!AG52&gt;0,Schema!AG52,"")</f>
      </c>
      <c r="AC57" s="39">
        <f>IF(Schema!AH52&gt;0,Schema!AH52,"")</f>
      </c>
      <c r="AD57" s="39">
        <f>IF(Schema!AI52&gt;0,Schema!AI52,"")</f>
      </c>
      <c r="AE57" s="39">
        <f t="shared" si="33"/>
        <v>0</v>
      </c>
      <c r="AF57" s="39">
        <f t="shared" si="34"/>
        <v>0</v>
      </c>
      <c r="AG57" s="39">
        <f t="shared" si="35"/>
        <v>0</v>
      </c>
      <c r="AH57" s="39">
        <f aca="true" t="shared" si="42" ref="AH57:AX57">+IF(AG57=AG56,AG58,AG57)</f>
        <v>0</v>
      </c>
      <c r="AI57" s="39">
        <f t="shared" si="42"/>
        <v>0</v>
      </c>
      <c r="AJ57" s="39">
        <f t="shared" si="42"/>
        <v>0</v>
      </c>
      <c r="AK57" s="39">
        <f t="shared" si="42"/>
        <v>0</v>
      </c>
      <c r="AL57" s="39">
        <f t="shared" si="42"/>
        <v>0</v>
      </c>
      <c r="AM57" s="39">
        <f t="shared" si="42"/>
        <v>0</v>
      </c>
      <c r="AN57" s="39">
        <f t="shared" si="42"/>
        <v>0</v>
      </c>
      <c r="AO57" s="39">
        <f t="shared" si="42"/>
        <v>0</v>
      </c>
      <c r="AP57" s="39">
        <f t="shared" si="42"/>
        <v>0</v>
      </c>
      <c r="AQ57" s="39">
        <f t="shared" si="42"/>
        <v>0</v>
      </c>
      <c r="AR57" s="39">
        <f t="shared" si="42"/>
        <v>0</v>
      </c>
      <c r="AS57" s="39">
        <f t="shared" si="42"/>
        <v>0</v>
      </c>
      <c r="AT57" s="39">
        <f t="shared" si="42"/>
        <v>0</v>
      </c>
      <c r="AU57" s="39">
        <f t="shared" si="42"/>
        <v>0</v>
      </c>
      <c r="AV57" s="39">
        <f t="shared" si="42"/>
        <v>0</v>
      </c>
      <c r="AW57" s="39">
        <f t="shared" si="42"/>
        <v>0</v>
      </c>
      <c r="AX57" s="39">
        <f t="shared" si="42"/>
        <v>0</v>
      </c>
      <c r="BA57" s="39">
        <f t="shared" si="37"/>
        <v>0</v>
      </c>
      <c r="BB57" s="39">
        <f t="shared" si="38"/>
        <v>0</v>
      </c>
      <c r="BC57" s="39">
        <f t="shared" si="39"/>
        <v>0</v>
      </c>
    </row>
    <row r="58" spans="12:55" ht="12.75" hidden="1">
      <c r="L58" s="39">
        <f>IF(Schema!M53&gt;0,Schema!M53,"")</f>
      </c>
      <c r="M58" s="39">
        <f>IF(Schema!N53&gt;0,Schema!N53,"")</f>
      </c>
      <c r="N58" s="39">
        <f>IF(Schema!O53&gt;0,Schema!O53,"")</f>
      </c>
      <c r="O58" s="39">
        <f>IF(Schema!P53&gt;0,Schema!P53,"")</f>
      </c>
      <c r="P58" s="39">
        <f>IF(Schema!Q53&gt;0,Schema!Q53,"")</f>
      </c>
      <c r="Q58" s="39">
        <f>IF(Schema!T53&gt;0,Schema!T53,"")</f>
      </c>
      <c r="R58" s="39">
        <f>IF(Schema!U53&gt;0,Schema!U53,"")</f>
      </c>
      <c r="S58" s="39">
        <f>IF(Schema!V53&gt;0,Schema!V53,"")</f>
      </c>
      <c r="T58" s="39">
        <f>IF(Schema!W53&gt;0,Schema!W53,"")</f>
      </c>
      <c r="U58" s="39">
        <f>IF(Schema!X53&gt;0,Schema!X53,"")</f>
      </c>
      <c r="V58" s="39">
        <f>IF(Schema!Y53&gt;0,Schema!Y53,"")</f>
      </c>
      <c r="W58" s="39">
        <f>IF(Schema!Z53&gt;0,Schema!Z53,"")</f>
      </c>
      <c r="X58" s="39">
        <f>IF(Schema!AA53&gt;0,Schema!AA53,"")</f>
      </c>
      <c r="Y58" s="39">
        <f>IF(Schema!AB53&gt;0,Schema!AB53,"")</f>
      </c>
      <c r="Z58" s="39">
        <f>IF(Schema!AC53&gt;0,Schema!AC53,"")</f>
      </c>
      <c r="AA58" s="39">
        <f>IF(Schema!AF53&gt;0,Schema!AF53,"")</f>
      </c>
      <c r="AB58" s="39">
        <f>IF(Schema!AG53&gt;0,Schema!AG53,"")</f>
      </c>
      <c r="AC58" s="39">
        <f>IF(Schema!AH53&gt;0,Schema!AH53,"")</f>
      </c>
      <c r="AD58" s="39">
        <f>IF(Schema!AI53&gt;0,Schema!AI53,"")</f>
      </c>
      <c r="AE58" s="39">
        <f t="shared" si="33"/>
        <v>0</v>
      </c>
      <c r="AF58" s="39">
        <f t="shared" si="34"/>
        <v>0</v>
      </c>
      <c r="AG58" s="39">
        <f t="shared" si="35"/>
        <v>0</v>
      </c>
      <c r="AH58" s="39">
        <f aca="true" t="shared" si="43" ref="AH58:AX58">+IF(AG58=AG57,AG59,AG58)</f>
        <v>0</v>
      </c>
      <c r="AI58" s="39">
        <f t="shared" si="43"/>
        <v>0</v>
      </c>
      <c r="AJ58" s="39">
        <f t="shared" si="43"/>
        <v>0</v>
      </c>
      <c r="AK58" s="39">
        <f t="shared" si="43"/>
        <v>0</v>
      </c>
      <c r="AL58" s="39">
        <f t="shared" si="43"/>
        <v>0</v>
      </c>
      <c r="AM58" s="39">
        <f t="shared" si="43"/>
        <v>0</v>
      </c>
      <c r="AN58" s="39">
        <f t="shared" si="43"/>
        <v>0</v>
      </c>
      <c r="AO58" s="39">
        <f t="shared" si="43"/>
        <v>0</v>
      </c>
      <c r="AP58" s="39">
        <f t="shared" si="43"/>
        <v>0</v>
      </c>
      <c r="AQ58" s="39">
        <f t="shared" si="43"/>
        <v>0</v>
      </c>
      <c r="AR58" s="39">
        <f t="shared" si="43"/>
        <v>0</v>
      </c>
      <c r="AS58" s="39">
        <f t="shared" si="43"/>
        <v>0</v>
      </c>
      <c r="AT58" s="39">
        <f t="shared" si="43"/>
        <v>0</v>
      </c>
      <c r="AU58" s="39">
        <f t="shared" si="43"/>
        <v>0</v>
      </c>
      <c r="AV58" s="39">
        <f t="shared" si="43"/>
        <v>0</v>
      </c>
      <c r="AW58" s="39">
        <f t="shared" si="43"/>
        <v>0</v>
      </c>
      <c r="AX58" s="39">
        <f t="shared" si="43"/>
        <v>0</v>
      </c>
      <c r="BA58" s="39">
        <f t="shared" si="37"/>
        <v>0</v>
      </c>
      <c r="BB58" s="39">
        <f t="shared" si="38"/>
        <v>0</v>
      </c>
      <c r="BC58" s="39">
        <f t="shared" si="39"/>
        <v>0</v>
      </c>
    </row>
    <row r="59" spans="12:55" ht="12.75" hidden="1">
      <c r="L59" s="39">
        <f>IF(Schema!M54&gt;0,Schema!M54,"")</f>
      </c>
      <c r="M59" s="39">
        <f>IF(Schema!N54&gt;0,Schema!N54,"")</f>
      </c>
      <c r="N59" s="39">
        <f>IF(Schema!O54&gt;0,Schema!O54,"")</f>
      </c>
      <c r="O59" s="39">
        <f>IF(Schema!P54&gt;0,Schema!P54,"")</f>
      </c>
      <c r="P59" s="39">
        <f>IF(Schema!Q54&gt;0,Schema!Q54,"")</f>
      </c>
      <c r="Q59" s="39">
        <f>IF(Schema!T54&gt;0,Schema!T54,"")</f>
      </c>
      <c r="R59" s="39">
        <f>IF(Schema!U54&gt;0,Schema!U54,"")</f>
      </c>
      <c r="S59" s="39">
        <f>IF(Schema!V54&gt;0,Schema!V54,"")</f>
      </c>
      <c r="T59" s="39">
        <f>IF(Schema!W54&gt;0,Schema!W54,"")</f>
      </c>
      <c r="U59" s="39">
        <f>IF(Schema!X54&gt;0,Schema!X54,"")</f>
      </c>
      <c r="V59" s="39">
        <f>IF(Schema!Y54&gt;0,Schema!Y54,"")</f>
      </c>
      <c r="W59" s="39">
        <f>IF(Schema!Z54&gt;0,Schema!Z54,"")</f>
      </c>
      <c r="X59" s="39">
        <f>IF(Schema!AA54&gt;0,Schema!AA54,"")</f>
      </c>
      <c r="Y59" s="39">
        <f>IF(Schema!AB54&gt;0,Schema!AB54,"")</f>
      </c>
      <c r="Z59" s="39">
        <f>IF(Schema!AC54&gt;0,Schema!AC54,"")</f>
      </c>
      <c r="AA59" s="39">
        <f>IF(Schema!AF54&gt;0,Schema!AF54,"")</f>
      </c>
      <c r="AB59" s="39">
        <f>IF(Schema!AG54&gt;0,Schema!AG54,"")</f>
      </c>
      <c r="AC59" s="39">
        <f>IF(Schema!AH54&gt;0,Schema!AH54,"")</f>
      </c>
      <c r="AD59" s="39">
        <f>IF(Schema!AI54&gt;0,Schema!AI54,"")</f>
      </c>
      <c r="AE59" s="39">
        <f t="shared" si="33"/>
        <v>0</v>
      </c>
      <c r="AF59" s="39">
        <f t="shared" si="34"/>
        <v>0</v>
      </c>
      <c r="AG59" s="39">
        <f t="shared" si="35"/>
        <v>0</v>
      </c>
      <c r="AH59" s="39">
        <f aca="true" t="shared" si="44" ref="AH59:AX59">+IF(AG59=AG58,AG60,AG59)</f>
        <v>0</v>
      </c>
      <c r="AI59" s="39">
        <f t="shared" si="44"/>
        <v>0</v>
      </c>
      <c r="AJ59" s="39">
        <f t="shared" si="44"/>
        <v>0</v>
      </c>
      <c r="AK59" s="39">
        <f t="shared" si="44"/>
        <v>0</v>
      </c>
      <c r="AL59" s="39">
        <f t="shared" si="44"/>
        <v>0</v>
      </c>
      <c r="AM59" s="39">
        <f t="shared" si="44"/>
        <v>0</v>
      </c>
      <c r="AN59" s="39">
        <f t="shared" si="44"/>
        <v>0</v>
      </c>
      <c r="AO59" s="39">
        <f t="shared" si="44"/>
        <v>0</v>
      </c>
      <c r="AP59" s="39">
        <f t="shared" si="44"/>
        <v>0</v>
      </c>
      <c r="AQ59" s="39">
        <f t="shared" si="44"/>
        <v>0</v>
      </c>
      <c r="AR59" s="39">
        <f t="shared" si="44"/>
        <v>0</v>
      </c>
      <c r="AS59" s="39">
        <f t="shared" si="44"/>
        <v>0</v>
      </c>
      <c r="AT59" s="39">
        <f t="shared" si="44"/>
        <v>0</v>
      </c>
      <c r="AU59" s="39">
        <f t="shared" si="44"/>
        <v>0</v>
      </c>
      <c r="AV59" s="39">
        <f t="shared" si="44"/>
        <v>0</v>
      </c>
      <c r="AW59" s="39">
        <f t="shared" si="44"/>
        <v>0</v>
      </c>
      <c r="AX59" s="39">
        <f t="shared" si="44"/>
        <v>0</v>
      </c>
      <c r="BA59" s="39">
        <f t="shared" si="37"/>
        <v>0</v>
      </c>
      <c r="BB59" s="39">
        <f t="shared" si="38"/>
        <v>0</v>
      </c>
      <c r="BC59" s="39">
        <f t="shared" si="39"/>
        <v>0</v>
      </c>
    </row>
    <row r="60" spans="12:55" ht="12.75" hidden="1">
      <c r="L60" s="39">
        <f>IF(Schema!M55&gt;0,Schema!M55,"")</f>
      </c>
      <c r="M60" s="39">
        <f>IF(Schema!N55&gt;0,Schema!N55,"")</f>
      </c>
      <c r="N60" s="39">
        <f>IF(Schema!O55&gt;0,Schema!O55,"")</f>
      </c>
      <c r="O60" s="39">
        <f>IF(Schema!P55&gt;0,Schema!P55,"")</f>
      </c>
      <c r="P60" s="39">
        <f>IF(Schema!Q55&gt;0,Schema!Q55,"")</f>
      </c>
      <c r="Q60" s="39">
        <f>IF(Schema!T55&gt;0,Schema!T55,"")</f>
      </c>
      <c r="R60" s="39">
        <f>IF(Schema!U55&gt;0,Schema!U55,"")</f>
      </c>
      <c r="S60" s="39">
        <f>IF(Schema!V55&gt;0,Schema!V55,"")</f>
      </c>
      <c r="T60" s="39">
        <f>IF(Schema!W55&gt;0,Schema!W55,"")</f>
      </c>
      <c r="U60" s="39">
        <f>IF(Schema!X55&gt;0,Schema!X55,"")</f>
      </c>
      <c r="V60" s="39">
        <f>IF(Schema!Y55&gt;0,Schema!Y55,"")</f>
      </c>
      <c r="W60" s="39">
        <f>IF(Schema!Z55&gt;0,Schema!Z55,"")</f>
      </c>
      <c r="X60" s="39">
        <f>IF(Schema!AA55&gt;0,Schema!AA55,"")</f>
      </c>
      <c r="Y60" s="39">
        <f>IF(Schema!AB55&gt;0,Schema!AB55,"")</f>
      </c>
      <c r="Z60" s="39">
        <f>IF(Schema!AC55&gt;0,Schema!AC55,"")</f>
      </c>
      <c r="AA60" s="39">
        <f>IF(Schema!AF55&gt;0,Schema!AF55,"")</f>
      </c>
      <c r="AB60" s="39">
        <f>IF(Schema!AG55&gt;0,Schema!AG55,"")</f>
      </c>
      <c r="AC60" s="39">
        <f>IF(Schema!AH55&gt;0,Schema!AH55,"")</f>
      </c>
      <c r="AD60" s="39">
        <f>IF(Schema!AI55&gt;0,Schema!AI55,"")</f>
      </c>
      <c r="AE60" s="39">
        <f t="shared" si="33"/>
        <v>0</v>
      </c>
      <c r="AF60" s="39">
        <f t="shared" si="34"/>
        <v>0</v>
      </c>
      <c r="AG60" s="39">
        <f t="shared" si="35"/>
        <v>0</v>
      </c>
      <c r="AH60" s="39">
        <f aca="true" t="shared" si="45" ref="AH60:AX60">+IF(AG60=AG59,AG61,AG60)</f>
        <v>0</v>
      </c>
      <c r="AI60" s="39">
        <f t="shared" si="45"/>
        <v>0</v>
      </c>
      <c r="AJ60" s="39">
        <f t="shared" si="45"/>
        <v>0</v>
      </c>
      <c r="AK60" s="39">
        <f t="shared" si="45"/>
        <v>0</v>
      </c>
      <c r="AL60" s="39">
        <f t="shared" si="45"/>
        <v>0</v>
      </c>
      <c r="AM60" s="39">
        <f t="shared" si="45"/>
        <v>0</v>
      </c>
      <c r="AN60" s="39">
        <f t="shared" si="45"/>
        <v>0</v>
      </c>
      <c r="AO60" s="39">
        <f t="shared" si="45"/>
        <v>0</v>
      </c>
      <c r="AP60" s="39">
        <f t="shared" si="45"/>
        <v>0</v>
      </c>
      <c r="AQ60" s="39">
        <f t="shared" si="45"/>
        <v>0</v>
      </c>
      <c r="AR60" s="39">
        <f t="shared" si="45"/>
        <v>0</v>
      </c>
      <c r="AS60" s="39">
        <f t="shared" si="45"/>
        <v>0</v>
      </c>
      <c r="AT60" s="39">
        <f t="shared" si="45"/>
        <v>0</v>
      </c>
      <c r="AU60" s="39">
        <f t="shared" si="45"/>
        <v>0</v>
      </c>
      <c r="AV60" s="39">
        <f t="shared" si="45"/>
        <v>0</v>
      </c>
      <c r="AW60" s="39">
        <f t="shared" si="45"/>
        <v>0</v>
      </c>
      <c r="AX60" s="39">
        <f t="shared" si="45"/>
        <v>0</v>
      </c>
      <c r="BA60" s="39">
        <f t="shared" si="37"/>
        <v>0</v>
      </c>
      <c r="BB60" s="39">
        <f t="shared" si="38"/>
        <v>0</v>
      </c>
      <c r="BC60" s="39">
        <f t="shared" si="39"/>
        <v>0</v>
      </c>
    </row>
    <row r="61" spans="12:55" ht="12.75" hidden="1">
      <c r="L61" s="39">
        <f>IF(Schema!M56&gt;0,Schema!M56,"")</f>
      </c>
      <c r="M61" s="39">
        <f>IF(Schema!N56&gt;0,Schema!N56,"")</f>
      </c>
      <c r="N61" s="39">
        <f>IF(Schema!O56&gt;0,Schema!O56,"")</f>
      </c>
      <c r="O61" s="39">
        <f>IF(Schema!P56&gt;0,Schema!P56,"")</f>
      </c>
      <c r="P61" s="39">
        <f>IF(Schema!Q56&gt;0,Schema!Q56,"")</f>
      </c>
      <c r="Q61" s="39">
        <f>IF(Schema!T56&gt;0,Schema!T56,"")</f>
      </c>
      <c r="R61" s="39">
        <f>IF(Schema!U56&gt;0,Schema!U56,"")</f>
      </c>
      <c r="S61" s="39">
        <f>IF(Schema!V56&gt;0,Schema!V56,"")</f>
      </c>
      <c r="T61" s="39">
        <f>IF(Schema!W56&gt;0,Schema!W56,"")</f>
      </c>
      <c r="U61" s="39">
        <f>IF(Schema!X56&gt;0,Schema!X56,"")</f>
      </c>
      <c r="V61" s="39">
        <f>IF(Schema!Y56&gt;0,Schema!Y56,"")</f>
      </c>
      <c r="W61" s="39">
        <f>IF(Schema!Z56&gt;0,Schema!Z56,"")</f>
      </c>
      <c r="X61" s="39">
        <f>IF(Schema!AA56&gt;0,Schema!AA56,"")</f>
      </c>
      <c r="Y61" s="39">
        <f>IF(Schema!AB56&gt;0,Schema!AB56,"")</f>
      </c>
      <c r="Z61" s="39">
        <f>IF(Schema!AC56&gt;0,Schema!AC56,"")</f>
      </c>
      <c r="AA61" s="39">
        <f>IF(Schema!AF56&gt;0,Schema!AF56,"")</f>
      </c>
      <c r="AB61" s="39">
        <f>IF(Schema!AG56&gt;0,Schema!AG56,"")</f>
      </c>
      <c r="AC61" s="39">
        <f>IF(Schema!AH56&gt;0,Schema!AH56,"")</f>
      </c>
      <c r="AD61" s="39">
        <f>IF(Schema!AI56&gt;0,Schema!AI56,"")</f>
      </c>
      <c r="AE61" s="39">
        <f t="shared" si="33"/>
        <v>0</v>
      </c>
      <c r="AF61" s="39">
        <f t="shared" si="34"/>
        <v>0</v>
      </c>
      <c r="AG61" s="39">
        <f t="shared" si="35"/>
        <v>0</v>
      </c>
      <c r="AH61" s="39">
        <f aca="true" t="shared" si="46" ref="AH61:AX61">+IF(AG61=AG60,AG62,AG61)</f>
        <v>0</v>
      </c>
      <c r="AI61" s="39">
        <f t="shared" si="46"/>
        <v>0</v>
      </c>
      <c r="AJ61" s="39">
        <f t="shared" si="46"/>
        <v>0</v>
      </c>
      <c r="AK61" s="39">
        <f t="shared" si="46"/>
        <v>0</v>
      </c>
      <c r="AL61" s="39">
        <f t="shared" si="46"/>
        <v>0</v>
      </c>
      <c r="AM61" s="39">
        <f t="shared" si="46"/>
        <v>0</v>
      </c>
      <c r="AN61" s="39">
        <f t="shared" si="46"/>
        <v>0</v>
      </c>
      <c r="AO61" s="39">
        <f t="shared" si="46"/>
        <v>0</v>
      </c>
      <c r="AP61" s="39">
        <f t="shared" si="46"/>
        <v>0</v>
      </c>
      <c r="AQ61" s="39">
        <f t="shared" si="46"/>
        <v>0</v>
      </c>
      <c r="AR61" s="39">
        <f t="shared" si="46"/>
        <v>0</v>
      </c>
      <c r="AS61" s="39">
        <f t="shared" si="46"/>
        <v>0</v>
      </c>
      <c r="AT61" s="39">
        <f t="shared" si="46"/>
        <v>0</v>
      </c>
      <c r="AU61" s="39">
        <f t="shared" si="46"/>
        <v>0</v>
      </c>
      <c r="AV61" s="39">
        <f t="shared" si="46"/>
        <v>0</v>
      </c>
      <c r="AW61" s="39">
        <f t="shared" si="46"/>
        <v>0</v>
      </c>
      <c r="AX61" s="39">
        <f t="shared" si="46"/>
        <v>0</v>
      </c>
      <c r="BA61" s="39">
        <f t="shared" si="37"/>
        <v>0</v>
      </c>
      <c r="BB61" s="39">
        <f t="shared" si="38"/>
        <v>0</v>
      </c>
      <c r="BC61" s="39">
        <f t="shared" si="39"/>
        <v>0</v>
      </c>
    </row>
    <row r="62" spans="12:55" ht="12.75" hidden="1">
      <c r="L62" s="39">
        <f>IF(Schema!M57&gt;0,Schema!M57,"")</f>
      </c>
      <c r="M62" s="39">
        <f>IF(Schema!N57&gt;0,Schema!N57,"")</f>
      </c>
      <c r="N62" s="39">
        <f>IF(Schema!O57&gt;0,Schema!O57,"")</f>
      </c>
      <c r="O62" s="39">
        <f>IF(Schema!P57&gt;0,Schema!P57,"")</f>
      </c>
      <c r="P62" s="39">
        <f>IF(Schema!Q57&gt;0,Schema!Q57,"")</f>
      </c>
      <c r="Q62" s="39">
        <f>IF(Schema!T57&gt;0,Schema!T57,"")</f>
      </c>
      <c r="R62" s="39">
        <f>IF(Schema!U57&gt;0,Schema!U57,"")</f>
      </c>
      <c r="S62" s="39">
        <f>IF(Schema!V57&gt;0,Schema!V57,"")</f>
      </c>
      <c r="T62" s="39">
        <f>IF(Schema!W57&gt;0,Schema!W57,"")</f>
      </c>
      <c r="U62" s="39">
        <f>IF(Schema!X57&gt;0,Schema!X57,"")</f>
      </c>
      <c r="V62" s="39">
        <f>IF(Schema!Y57&gt;0,Schema!Y57,"")</f>
      </c>
      <c r="W62" s="39">
        <f>IF(Schema!Z57&gt;0,Schema!Z57,"")</f>
      </c>
      <c r="X62" s="39">
        <f>IF(Schema!AA57&gt;0,Schema!AA57,"")</f>
      </c>
      <c r="Y62" s="39">
        <f>IF(Schema!AB57&gt;0,Schema!AB57,"")</f>
      </c>
      <c r="Z62" s="39">
        <f>IF(Schema!AC57&gt;0,Schema!AC57,"")</f>
      </c>
      <c r="AA62" s="39">
        <f>IF(Schema!AF57&gt;0,Schema!AF57,"")</f>
      </c>
      <c r="AB62" s="39">
        <f>IF(Schema!AG57&gt;0,Schema!AG57,"")</f>
      </c>
      <c r="AC62" s="39">
        <f>IF(Schema!AH57&gt;0,Schema!AH57,"")</f>
      </c>
      <c r="AD62" s="39">
        <f>IF(Schema!AI57&gt;0,Schema!AI57,"")</f>
      </c>
      <c r="AE62" s="39">
        <f t="shared" si="33"/>
        <v>0</v>
      </c>
      <c r="AF62" s="39">
        <f t="shared" si="34"/>
        <v>0</v>
      </c>
      <c r="AG62" s="39">
        <f t="shared" si="35"/>
        <v>0</v>
      </c>
      <c r="AH62" s="39">
        <f aca="true" t="shared" si="47" ref="AH62:AX62">+IF(AG62=AG61,AG63,AG62)</f>
        <v>0</v>
      </c>
      <c r="AI62" s="39">
        <f t="shared" si="47"/>
        <v>0</v>
      </c>
      <c r="AJ62" s="39">
        <f t="shared" si="47"/>
        <v>0</v>
      </c>
      <c r="AK62" s="39">
        <f t="shared" si="47"/>
        <v>0</v>
      </c>
      <c r="AL62" s="39">
        <f t="shared" si="47"/>
        <v>0</v>
      </c>
      <c r="AM62" s="39">
        <f t="shared" si="47"/>
        <v>0</v>
      </c>
      <c r="AN62" s="39">
        <f t="shared" si="47"/>
        <v>0</v>
      </c>
      <c r="AO62" s="39">
        <f t="shared" si="47"/>
        <v>0</v>
      </c>
      <c r="AP62" s="39">
        <f t="shared" si="47"/>
        <v>0</v>
      </c>
      <c r="AQ62" s="39">
        <f t="shared" si="47"/>
        <v>0</v>
      </c>
      <c r="AR62" s="39">
        <f t="shared" si="47"/>
        <v>0</v>
      </c>
      <c r="AS62" s="39">
        <f t="shared" si="47"/>
        <v>0</v>
      </c>
      <c r="AT62" s="39">
        <f t="shared" si="47"/>
        <v>0</v>
      </c>
      <c r="AU62" s="39">
        <f t="shared" si="47"/>
        <v>0</v>
      </c>
      <c r="AV62" s="39">
        <f t="shared" si="47"/>
        <v>0</v>
      </c>
      <c r="AW62" s="39">
        <f t="shared" si="47"/>
        <v>0</v>
      </c>
      <c r="AX62" s="39">
        <f t="shared" si="47"/>
        <v>0</v>
      </c>
      <c r="BA62" s="39">
        <f t="shared" si="37"/>
        <v>0</v>
      </c>
      <c r="BB62" s="39">
        <f t="shared" si="38"/>
        <v>0</v>
      </c>
      <c r="BC62" s="39">
        <f t="shared" si="39"/>
        <v>0</v>
      </c>
    </row>
    <row r="63" spans="12:55" ht="12.75" hidden="1">
      <c r="L63" s="39">
        <f>IF(Schema!M58&gt;0,Schema!M58,"")</f>
      </c>
      <c r="M63" s="39">
        <f>IF(Schema!N58&gt;0,Schema!N58,"")</f>
      </c>
      <c r="N63" s="39">
        <f>IF(Schema!O58&gt;0,Schema!O58,"")</f>
      </c>
      <c r="O63" s="39">
        <f>IF(Schema!P58&gt;0,Schema!P58,"")</f>
      </c>
      <c r="P63" s="39">
        <f>IF(Schema!Q58&gt;0,Schema!Q58,"")</f>
      </c>
      <c r="Q63" s="39">
        <f>IF(Schema!T58&gt;0,Schema!T58,"")</f>
      </c>
      <c r="R63" s="39">
        <f>IF(Schema!U58&gt;0,Schema!U58,"")</f>
      </c>
      <c r="S63" s="39">
        <f>IF(Schema!V58&gt;0,Schema!V58,"")</f>
      </c>
      <c r="T63" s="39">
        <f>IF(Schema!W58&gt;0,Schema!W58,"")</f>
      </c>
      <c r="U63" s="39">
        <f>IF(Schema!X58&gt;0,Schema!X58,"")</f>
      </c>
      <c r="V63" s="39">
        <f>IF(Schema!Y58&gt;0,Schema!Y58,"")</f>
      </c>
      <c r="W63" s="39">
        <f>IF(Schema!Z58&gt;0,Schema!Z58,"")</f>
      </c>
      <c r="X63" s="39">
        <f>IF(Schema!AA58&gt;0,Schema!AA58,"")</f>
      </c>
      <c r="Y63" s="39">
        <f>IF(Schema!AB58&gt;0,Schema!AB58,"")</f>
      </c>
      <c r="Z63" s="39">
        <f>IF(Schema!AC58&gt;0,Schema!AC58,"")</f>
      </c>
      <c r="AA63" s="39">
        <f>IF(Schema!AF58&gt;0,Schema!AF58,"")</f>
      </c>
      <c r="AB63" s="39">
        <f>IF(Schema!AG58&gt;0,Schema!AG58,"")</f>
      </c>
      <c r="AC63" s="39">
        <f>IF(Schema!AH58&gt;0,Schema!AH58,"")</f>
      </c>
      <c r="AD63" s="39">
        <f>IF(Schema!AI58&gt;0,Schema!AI58,"")</f>
      </c>
      <c r="AE63" s="39">
        <f t="shared" si="33"/>
        <v>0</v>
      </c>
      <c r="AF63" s="39">
        <f t="shared" si="34"/>
        <v>0</v>
      </c>
      <c r="AG63" s="39">
        <f t="shared" si="35"/>
        <v>0</v>
      </c>
      <c r="AH63" s="39">
        <f aca="true" t="shared" si="48" ref="AH63:AX63">+IF(AG63=AG62,AG64,AG63)</f>
        <v>0</v>
      </c>
      <c r="AI63" s="39">
        <f t="shared" si="48"/>
        <v>0</v>
      </c>
      <c r="AJ63" s="39">
        <f t="shared" si="48"/>
        <v>0</v>
      </c>
      <c r="AK63" s="39">
        <f t="shared" si="48"/>
        <v>0</v>
      </c>
      <c r="AL63" s="39">
        <f t="shared" si="48"/>
        <v>0</v>
      </c>
      <c r="AM63" s="39">
        <f t="shared" si="48"/>
        <v>0</v>
      </c>
      <c r="AN63" s="39">
        <f t="shared" si="48"/>
        <v>0</v>
      </c>
      <c r="AO63" s="39">
        <f t="shared" si="48"/>
        <v>0</v>
      </c>
      <c r="AP63" s="39">
        <f t="shared" si="48"/>
        <v>0</v>
      </c>
      <c r="AQ63" s="39">
        <f t="shared" si="48"/>
        <v>0</v>
      </c>
      <c r="AR63" s="39">
        <f t="shared" si="48"/>
        <v>0</v>
      </c>
      <c r="AS63" s="39">
        <f t="shared" si="48"/>
        <v>0</v>
      </c>
      <c r="AT63" s="39">
        <f t="shared" si="48"/>
        <v>0</v>
      </c>
      <c r="AU63" s="39">
        <f t="shared" si="48"/>
        <v>0</v>
      </c>
      <c r="AV63" s="39">
        <f t="shared" si="48"/>
        <v>0</v>
      </c>
      <c r="AW63" s="39">
        <f t="shared" si="48"/>
        <v>0</v>
      </c>
      <c r="AX63" s="39">
        <f t="shared" si="48"/>
        <v>0</v>
      </c>
      <c r="BA63" s="39">
        <f t="shared" si="37"/>
        <v>0</v>
      </c>
      <c r="BB63" s="39">
        <f t="shared" si="38"/>
        <v>0</v>
      </c>
      <c r="BC63" s="39">
        <f t="shared" si="39"/>
        <v>0</v>
      </c>
    </row>
    <row r="64" spans="12:55" ht="12.75" hidden="1">
      <c r="L64" s="39">
        <f>IF(Schema!M59&gt;0,Schema!M59,"")</f>
      </c>
      <c r="M64" s="39">
        <f>IF(Schema!N59&gt;0,Schema!N59,"")</f>
      </c>
      <c r="N64" s="39">
        <f>IF(Schema!O59&gt;0,Schema!O59,"")</f>
      </c>
      <c r="O64" s="39">
        <f>IF(Schema!P59&gt;0,Schema!P59,"")</f>
      </c>
      <c r="P64" s="39">
        <f>IF(Schema!Q59&gt;0,Schema!Q59,"")</f>
      </c>
      <c r="Q64" s="39">
        <f>IF(Schema!T59&gt;0,Schema!T59,"")</f>
      </c>
      <c r="R64" s="39">
        <f>IF(Schema!U59&gt;0,Schema!U59,"")</f>
      </c>
      <c r="S64" s="39">
        <f>IF(Schema!V59&gt;0,Schema!V59,"")</f>
      </c>
      <c r="T64" s="39">
        <f>IF(Schema!W59&gt;0,Schema!W59,"")</f>
      </c>
      <c r="U64" s="39">
        <f>IF(Schema!X59&gt;0,Schema!X59,"")</f>
      </c>
      <c r="V64" s="39">
        <f>IF(Schema!Y59&gt;0,Schema!Y59,"")</f>
      </c>
      <c r="W64" s="39">
        <f>IF(Schema!Z59&gt;0,Schema!Z59,"")</f>
      </c>
      <c r="X64" s="39">
        <f>IF(Schema!AA59&gt;0,Schema!AA59,"")</f>
      </c>
      <c r="Y64" s="39">
        <f>IF(Schema!AB59&gt;0,Schema!AB59,"")</f>
      </c>
      <c r="Z64" s="39">
        <f>IF(Schema!AC59&gt;0,Schema!AC59,"")</f>
      </c>
      <c r="AA64" s="39">
        <f>IF(Schema!AF59&gt;0,Schema!AF59,"")</f>
      </c>
      <c r="AB64" s="39">
        <f>IF(Schema!AG59&gt;0,Schema!AG59,"")</f>
      </c>
      <c r="AC64" s="39">
        <f>IF(Schema!AH59&gt;0,Schema!AH59,"")</f>
      </c>
      <c r="AD64" s="39">
        <f>IF(Schema!AI59&gt;0,Schema!AI59,"")</f>
      </c>
      <c r="AE64" s="39">
        <f t="shared" si="33"/>
        <v>0</v>
      </c>
      <c r="AF64" s="39">
        <f t="shared" si="34"/>
        <v>0</v>
      </c>
      <c r="AG64" s="39">
        <f t="shared" si="35"/>
        <v>0</v>
      </c>
      <c r="AH64" s="39">
        <f aca="true" t="shared" si="49" ref="AH64:AX64">+IF(AG64=AG63,AG65,AG64)</f>
        <v>0</v>
      </c>
      <c r="AI64" s="39">
        <f t="shared" si="49"/>
        <v>0</v>
      </c>
      <c r="AJ64" s="39">
        <f t="shared" si="49"/>
        <v>0</v>
      </c>
      <c r="AK64" s="39">
        <f t="shared" si="49"/>
        <v>0</v>
      </c>
      <c r="AL64" s="39">
        <f t="shared" si="49"/>
        <v>0</v>
      </c>
      <c r="AM64" s="39">
        <f t="shared" si="49"/>
        <v>0</v>
      </c>
      <c r="AN64" s="39">
        <f t="shared" si="49"/>
        <v>0</v>
      </c>
      <c r="AO64" s="39">
        <f t="shared" si="49"/>
        <v>0</v>
      </c>
      <c r="AP64" s="39">
        <f t="shared" si="49"/>
        <v>0</v>
      </c>
      <c r="AQ64" s="39">
        <f t="shared" si="49"/>
        <v>0</v>
      </c>
      <c r="AR64" s="39">
        <f t="shared" si="49"/>
        <v>0</v>
      </c>
      <c r="AS64" s="39">
        <f t="shared" si="49"/>
        <v>0</v>
      </c>
      <c r="AT64" s="39">
        <f t="shared" si="49"/>
        <v>0</v>
      </c>
      <c r="AU64" s="39">
        <f t="shared" si="49"/>
        <v>0</v>
      </c>
      <c r="AV64" s="39">
        <f t="shared" si="49"/>
        <v>0</v>
      </c>
      <c r="AW64" s="39">
        <f t="shared" si="49"/>
        <v>0</v>
      </c>
      <c r="AX64" s="39">
        <f t="shared" si="49"/>
        <v>0</v>
      </c>
      <c r="BA64" s="39">
        <f t="shared" si="37"/>
        <v>0</v>
      </c>
      <c r="BB64" s="39">
        <f t="shared" si="38"/>
        <v>0</v>
      </c>
      <c r="BC64" s="39">
        <f t="shared" si="39"/>
        <v>0</v>
      </c>
    </row>
    <row r="65" spans="12:55" ht="12.75" hidden="1">
      <c r="L65" s="39">
        <f>IF(Schema!M60&gt;0,Schema!M60,"")</f>
      </c>
      <c r="M65" s="39">
        <f>IF(Schema!N60&gt;0,Schema!N60,"")</f>
      </c>
      <c r="N65" s="39">
        <f>IF(Schema!O60&gt;0,Schema!O60,"")</f>
      </c>
      <c r="O65" s="39">
        <f>IF(Schema!P60&gt;0,Schema!P60,"")</f>
      </c>
      <c r="P65" s="39">
        <f>IF(Schema!Q60&gt;0,Schema!Q60,"")</f>
      </c>
      <c r="Q65" s="39">
        <f>IF(Schema!T60&gt;0,Schema!T60,"")</f>
      </c>
      <c r="R65" s="39">
        <f>IF(Schema!U60&gt;0,Schema!U60,"")</f>
      </c>
      <c r="S65" s="39">
        <f>IF(Schema!V60&gt;0,Schema!V60,"")</f>
      </c>
      <c r="T65" s="39">
        <f>IF(Schema!W60&gt;0,Schema!W60,"")</f>
      </c>
      <c r="U65" s="39">
        <f>IF(Schema!X60&gt;0,Schema!X60,"")</f>
      </c>
      <c r="V65" s="39">
        <f>IF(Schema!Y60&gt;0,Schema!Y60,"")</f>
      </c>
      <c r="W65" s="39">
        <f>IF(Schema!Z60&gt;0,Schema!Z60,"")</f>
      </c>
      <c r="X65" s="39">
        <f>IF(Schema!AA60&gt;0,Schema!AA60,"")</f>
      </c>
      <c r="Y65" s="39">
        <f>IF(Schema!AB60&gt;0,Schema!AB60,"")</f>
      </c>
      <c r="Z65" s="39">
        <f>IF(Schema!AC60&gt;0,Schema!AC60,"")</f>
      </c>
      <c r="AA65" s="39">
        <f>IF(Schema!AF60&gt;0,Schema!AF60,"")</f>
      </c>
      <c r="AB65" s="39">
        <f>IF(Schema!AG60&gt;0,Schema!AG60,"")</f>
      </c>
      <c r="AC65" s="39">
        <f>IF(Schema!AH60&gt;0,Schema!AH60,"")</f>
      </c>
      <c r="AD65" s="39">
        <f>IF(Schema!AI60&gt;0,Schema!AI60,"")</f>
      </c>
      <c r="AE65" s="39">
        <f t="shared" si="33"/>
        <v>0</v>
      </c>
      <c r="AF65" s="39">
        <f t="shared" si="34"/>
        <v>0</v>
      </c>
      <c r="AG65" s="39">
        <f t="shared" si="35"/>
        <v>0</v>
      </c>
      <c r="AH65" s="39">
        <f aca="true" t="shared" si="50" ref="AH65:AX65">+IF(AG65=AG64,AG66,AG65)</f>
        <v>0</v>
      </c>
      <c r="AI65" s="39">
        <f t="shared" si="50"/>
        <v>0</v>
      </c>
      <c r="AJ65" s="39">
        <f t="shared" si="50"/>
        <v>0</v>
      </c>
      <c r="AK65" s="39">
        <f t="shared" si="50"/>
        <v>0</v>
      </c>
      <c r="AL65" s="39">
        <f t="shared" si="50"/>
        <v>0</v>
      </c>
      <c r="AM65" s="39">
        <f t="shared" si="50"/>
        <v>0</v>
      </c>
      <c r="AN65" s="39">
        <f t="shared" si="50"/>
        <v>0</v>
      </c>
      <c r="AO65" s="39">
        <f t="shared" si="50"/>
        <v>0</v>
      </c>
      <c r="AP65" s="39">
        <f t="shared" si="50"/>
        <v>0</v>
      </c>
      <c r="AQ65" s="39">
        <f t="shared" si="50"/>
        <v>0</v>
      </c>
      <c r="AR65" s="39">
        <f t="shared" si="50"/>
        <v>0</v>
      </c>
      <c r="AS65" s="39">
        <f t="shared" si="50"/>
        <v>0</v>
      </c>
      <c r="AT65" s="39">
        <f t="shared" si="50"/>
        <v>0</v>
      </c>
      <c r="AU65" s="39">
        <f t="shared" si="50"/>
        <v>0</v>
      </c>
      <c r="AV65" s="39">
        <f t="shared" si="50"/>
        <v>0</v>
      </c>
      <c r="AW65" s="39">
        <f t="shared" si="50"/>
        <v>0</v>
      </c>
      <c r="AX65" s="39">
        <f t="shared" si="50"/>
        <v>0</v>
      </c>
      <c r="BA65" s="39">
        <f t="shared" si="37"/>
        <v>0</v>
      </c>
      <c r="BB65" s="39">
        <f t="shared" si="38"/>
        <v>0</v>
      </c>
      <c r="BC65" s="39">
        <f t="shared" si="39"/>
        <v>0</v>
      </c>
    </row>
    <row r="66" spans="12:55" ht="12.75" hidden="1">
      <c r="L66" s="39">
        <f>IF(Schema!M61&gt;0,Schema!M61,"")</f>
      </c>
      <c r="M66" s="39">
        <f>IF(Schema!N61&gt;0,Schema!N61,"")</f>
      </c>
      <c r="N66" s="39">
        <f>IF(Schema!O61&gt;0,Schema!O61,"")</f>
      </c>
      <c r="O66" s="39">
        <f>IF(Schema!P61&gt;0,Schema!P61,"")</f>
      </c>
      <c r="P66" s="39">
        <f>IF(Schema!Q61&gt;0,Schema!Q61,"")</f>
      </c>
      <c r="Q66" s="39">
        <f>IF(Schema!T61&gt;0,Schema!T61,"")</f>
      </c>
      <c r="R66" s="39">
        <f>IF(Schema!U61&gt;0,Schema!U61,"")</f>
      </c>
      <c r="S66" s="39">
        <f>IF(Schema!V61&gt;0,Schema!V61,"")</f>
      </c>
      <c r="T66" s="39">
        <f>IF(Schema!W61&gt;0,Schema!W61,"")</f>
      </c>
      <c r="U66" s="39">
        <f>IF(Schema!X61&gt;0,Schema!X61,"")</f>
      </c>
      <c r="V66" s="39">
        <f>IF(Schema!Y61&gt;0,Schema!Y61,"")</f>
      </c>
      <c r="W66" s="39">
        <f>IF(Schema!Z61&gt;0,Schema!Z61,"")</f>
      </c>
      <c r="X66" s="39">
        <f>IF(Schema!AA61&gt;0,Schema!AA61,"")</f>
      </c>
      <c r="Y66" s="39">
        <f>IF(Schema!AB61&gt;0,Schema!AB61,"")</f>
      </c>
      <c r="Z66" s="39">
        <f>IF(Schema!AC61&gt;0,Schema!AC61,"")</f>
      </c>
      <c r="AA66" s="39">
        <f>IF(Schema!AF61&gt;0,Schema!AF61,"")</f>
      </c>
      <c r="AB66" s="39">
        <f>IF(Schema!AG61&gt;0,Schema!AG61,"")</f>
      </c>
      <c r="AC66" s="39">
        <f>IF(Schema!AH61&gt;0,Schema!AH61,"")</f>
      </c>
      <c r="AD66" s="39">
        <f>IF(Schema!AI61&gt;0,Schema!AI61,"")</f>
      </c>
      <c r="AE66" s="39">
        <f t="shared" si="33"/>
        <v>0</v>
      </c>
      <c r="AF66" s="39">
        <f t="shared" si="34"/>
        <v>0</v>
      </c>
      <c r="AG66" s="39">
        <f t="shared" si="35"/>
        <v>0</v>
      </c>
      <c r="AH66" s="39">
        <f aca="true" t="shared" si="51" ref="AH66:AX66">+IF(AG66=AG65,AG67,AG66)</f>
        <v>0</v>
      </c>
      <c r="AI66" s="39">
        <f t="shared" si="51"/>
        <v>0</v>
      </c>
      <c r="AJ66" s="39">
        <f t="shared" si="51"/>
        <v>0</v>
      </c>
      <c r="AK66" s="39">
        <f t="shared" si="51"/>
        <v>0</v>
      </c>
      <c r="AL66" s="39">
        <f t="shared" si="51"/>
        <v>0</v>
      </c>
      <c r="AM66" s="39">
        <f t="shared" si="51"/>
        <v>0</v>
      </c>
      <c r="AN66" s="39">
        <f t="shared" si="51"/>
        <v>0</v>
      </c>
      <c r="AO66" s="39">
        <f t="shared" si="51"/>
        <v>0</v>
      </c>
      <c r="AP66" s="39">
        <f t="shared" si="51"/>
        <v>0</v>
      </c>
      <c r="AQ66" s="39">
        <f t="shared" si="51"/>
        <v>0</v>
      </c>
      <c r="AR66" s="39">
        <f t="shared" si="51"/>
        <v>0</v>
      </c>
      <c r="AS66" s="39">
        <f t="shared" si="51"/>
        <v>0</v>
      </c>
      <c r="AT66" s="39">
        <f t="shared" si="51"/>
        <v>0</v>
      </c>
      <c r="AU66" s="39">
        <f t="shared" si="51"/>
        <v>0</v>
      </c>
      <c r="AV66" s="39">
        <f t="shared" si="51"/>
        <v>0</v>
      </c>
      <c r="AW66" s="39">
        <f t="shared" si="51"/>
        <v>0</v>
      </c>
      <c r="AX66" s="39">
        <f t="shared" si="51"/>
        <v>0</v>
      </c>
      <c r="BA66" s="39">
        <f t="shared" si="37"/>
        <v>0</v>
      </c>
      <c r="BB66" s="39">
        <f t="shared" si="38"/>
        <v>0</v>
      </c>
      <c r="BC66" s="39">
        <f t="shared" si="39"/>
        <v>0</v>
      </c>
    </row>
    <row r="67" spans="12:55" ht="12.75" hidden="1">
      <c r="L67" s="39">
        <f>IF(Schema!M62&gt;0,Schema!M62,"")</f>
      </c>
      <c r="M67" s="39">
        <f>IF(Schema!N62&gt;0,Schema!N62,"")</f>
      </c>
      <c r="N67" s="39">
        <f>IF(Schema!O62&gt;0,Schema!O62,"")</f>
      </c>
      <c r="O67" s="39">
        <f>IF(Schema!P62&gt;0,Schema!P62,"")</f>
      </c>
      <c r="P67" s="39">
        <f>IF(Schema!Q62&gt;0,Schema!Q62,"")</f>
      </c>
      <c r="Q67" s="39">
        <f>IF(Schema!T62&gt;0,Schema!T62,"")</f>
      </c>
      <c r="R67" s="39">
        <f>IF(Schema!U62&gt;0,Schema!U62,"")</f>
      </c>
      <c r="S67" s="39">
        <f>IF(Schema!V62&gt;0,Schema!V62,"")</f>
      </c>
      <c r="T67" s="39">
        <f>IF(Schema!W62&gt;0,Schema!W62,"")</f>
      </c>
      <c r="U67" s="39">
        <f>IF(Schema!X62&gt;0,Schema!X62,"")</f>
      </c>
      <c r="V67" s="39">
        <f>IF(Schema!Y62&gt;0,Schema!Y62,"")</f>
      </c>
      <c r="W67" s="39">
        <f>IF(Schema!Z62&gt;0,Schema!Z62,"")</f>
      </c>
      <c r="X67" s="39">
        <f>IF(Schema!AA62&gt;0,Schema!AA62,"")</f>
      </c>
      <c r="Y67" s="39">
        <f>IF(Schema!AB62&gt;0,Schema!AB62,"")</f>
      </c>
      <c r="Z67" s="39">
        <f>IF(Schema!AC62&gt;0,Schema!AC62,"")</f>
      </c>
      <c r="AA67" s="39">
        <f>IF(Schema!AF62&gt;0,Schema!AF62,"")</f>
      </c>
      <c r="AB67" s="39">
        <f>IF(Schema!AG62&gt;0,Schema!AG62,"")</f>
      </c>
      <c r="AC67" s="39">
        <f>IF(Schema!AH62&gt;0,Schema!AH62,"")</f>
      </c>
      <c r="AD67" s="39">
        <f>IF(Schema!AI62&gt;0,Schema!AI62,"")</f>
      </c>
      <c r="AE67" s="39">
        <f t="shared" si="33"/>
        <v>0</v>
      </c>
      <c r="AF67" s="39">
        <f t="shared" si="34"/>
        <v>0</v>
      </c>
      <c r="AG67" s="39">
        <f t="shared" si="35"/>
        <v>0</v>
      </c>
      <c r="AH67" s="39">
        <f aca="true" t="shared" si="52" ref="AH67:AX67">+IF(AG67=AG66,AG68,AG67)</f>
        <v>0</v>
      </c>
      <c r="AI67" s="39">
        <f t="shared" si="52"/>
        <v>0</v>
      </c>
      <c r="AJ67" s="39">
        <f t="shared" si="52"/>
        <v>0</v>
      </c>
      <c r="AK67" s="39">
        <f t="shared" si="52"/>
        <v>0</v>
      </c>
      <c r="AL67" s="39">
        <f t="shared" si="52"/>
        <v>0</v>
      </c>
      <c r="AM67" s="39">
        <f t="shared" si="52"/>
        <v>0</v>
      </c>
      <c r="AN67" s="39">
        <f t="shared" si="52"/>
        <v>0</v>
      </c>
      <c r="AO67" s="39">
        <f t="shared" si="52"/>
        <v>0</v>
      </c>
      <c r="AP67" s="39">
        <f t="shared" si="52"/>
        <v>0</v>
      </c>
      <c r="AQ67" s="39">
        <f t="shared" si="52"/>
        <v>0</v>
      </c>
      <c r="AR67" s="39">
        <f t="shared" si="52"/>
        <v>0</v>
      </c>
      <c r="AS67" s="39">
        <f t="shared" si="52"/>
        <v>0</v>
      </c>
      <c r="AT67" s="39">
        <f t="shared" si="52"/>
        <v>0</v>
      </c>
      <c r="AU67" s="39">
        <f t="shared" si="52"/>
        <v>0</v>
      </c>
      <c r="AV67" s="39">
        <f t="shared" si="52"/>
        <v>0</v>
      </c>
      <c r="AW67" s="39">
        <f t="shared" si="52"/>
        <v>0</v>
      </c>
      <c r="AX67" s="39">
        <f t="shared" si="52"/>
        <v>0</v>
      </c>
      <c r="BA67" s="39">
        <f t="shared" si="37"/>
        <v>0</v>
      </c>
      <c r="BB67" s="39">
        <f t="shared" si="38"/>
        <v>0</v>
      </c>
      <c r="BC67" s="39">
        <f t="shared" si="39"/>
        <v>0</v>
      </c>
    </row>
    <row r="68" spans="12:55" ht="12.75" hidden="1">
      <c r="L68" s="39">
        <f>IF(Schema!M63&gt;0,Schema!M63,"")</f>
      </c>
      <c r="M68" s="39">
        <f>IF(Schema!N63&gt;0,Schema!N63,"")</f>
      </c>
      <c r="N68" s="39">
        <f>IF(Schema!O63&gt;0,Schema!O63,"")</f>
      </c>
      <c r="O68" s="39">
        <f>IF(Schema!P63&gt;0,Schema!P63,"")</f>
      </c>
      <c r="P68" s="39">
        <f>IF(Schema!Q63&gt;0,Schema!Q63,"")</f>
      </c>
      <c r="Q68" s="39">
        <f>IF(Schema!T63&gt;0,Schema!T63,"")</f>
      </c>
      <c r="R68" s="39">
        <f>IF(Schema!U63&gt;0,Schema!U63,"")</f>
      </c>
      <c r="S68" s="39">
        <f>IF(Schema!V63&gt;0,Schema!V63,"")</f>
      </c>
      <c r="T68" s="39">
        <f>IF(Schema!W63&gt;0,Schema!W63,"")</f>
      </c>
      <c r="U68" s="39">
        <f>IF(Schema!X63&gt;0,Schema!X63,"")</f>
      </c>
      <c r="V68" s="39">
        <f>IF(Schema!Y63&gt;0,Schema!Y63,"")</f>
      </c>
      <c r="W68" s="39">
        <f>IF(Schema!Z63&gt;0,Schema!Z63,"")</f>
      </c>
      <c r="X68" s="39">
        <f>IF(Schema!AA63&gt;0,Schema!AA63,"")</f>
      </c>
      <c r="Y68" s="39">
        <f>IF(Schema!AB63&gt;0,Schema!AB63,"")</f>
      </c>
      <c r="Z68" s="39">
        <f>IF(Schema!AC63&gt;0,Schema!AC63,"")</f>
      </c>
      <c r="AA68" s="39">
        <f>IF(Schema!AF63&gt;0,Schema!AF63,"")</f>
      </c>
      <c r="AB68" s="39">
        <f>IF(Schema!AG63&gt;0,Schema!AG63,"")</f>
      </c>
      <c r="AC68" s="39">
        <f>IF(Schema!AH63&gt;0,Schema!AH63,"")</f>
      </c>
      <c r="AD68" s="39">
        <f>IF(Schema!AI63&gt;0,Schema!AI63,"")</f>
      </c>
      <c r="AE68" s="39">
        <f t="shared" si="33"/>
        <v>0</v>
      </c>
      <c r="AF68" s="39">
        <f t="shared" si="34"/>
        <v>0</v>
      </c>
      <c r="AG68" s="39">
        <f t="shared" si="35"/>
        <v>0</v>
      </c>
      <c r="AH68" s="39">
        <f aca="true" t="shared" si="53" ref="AH68:AX68">+IF(AG68=AG67,AG69,AG68)</f>
        <v>0</v>
      </c>
      <c r="AI68" s="39">
        <f t="shared" si="53"/>
        <v>0</v>
      </c>
      <c r="AJ68" s="39">
        <f t="shared" si="53"/>
        <v>0</v>
      </c>
      <c r="AK68" s="39">
        <f t="shared" si="53"/>
        <v>0</v>
      </c>
      <c r="AL68" s="39">
        <f t="shared" si="53"/>
        <v>0</v>
      </c>
      <c r="AM68" s="39">
        <f t="shared" si="53"/>
        <v>0</v>
      </c>
      <c r="AN68" s="39">
        <f t="shared" si="53"/>
        <v>0</v>
      </c>
      <c r="AO68" s="39">
        <f t="shared" si="53"/>
        <v>0</v>
      </c>
      <c r="AP68" s="39">
        <f t="shared" si="53"/>
        <v>0</v>
      </c>
      <c r="AQ68" s="39">
        <f t="shared" si="53"/>
        <v>0</v>
      </c>
      <c r="AR68" s="39">
        <f t="shared" si="53"/>
        <v>0</v>
      </c>
      <c r="AS68" s="39">
        <f t="shared" si="53"/>
        <v>0</v>
      </c>
      <c r="AT68" s="39">
        <f t="shared" si="53"/>
        <v>0</v>
      </c>
      <c r="AU68" s="39">
        <f t="shared" si="53"/>
        <v>0</v>
      </c>
      <c r="AV68" s="39">
        <f t="shared" si="53"/>
        <v>0</v>
      </c>
      <c r="AW68" s="39">
        <f t="shared" si="53"/>
        <v>0</v>
      </c>
      <c r="AX68" s="39">
        <f t="shared" si="53"/>
        <v>0</v>
      </c>
      <c r="BA68" s="39">
        <f t="shared" si="37"/>
        <v>0</v>
      </c>
      <c r="BB68" s="39">
        <f t="shared" si="38"/>
        <v>0</v>
      </c>
      <c r="BC68" s="39">
        <f t="shared" si="39"/>
        <v>0</v>
      </c>
    </row>
    <row r="69" spans="12:55" ht="12.75" hidden="1">
      <c r="L69" s="39">
        <f>IF(Schema!M64&gt;0,Schema!M64,"")</f>
      </c>
      <c r="M69" s="39">
        <f>IF(Schema!N64&gt;0,Schema!N64,"")</f>
      </c>
      <c r="N69" s="39">
        <f>IF(Schema!O64&gt;0,Schema!O64,"")</f>
      </c>
      <c r="O69" s="39">
        <f>IF(Schema!P64&gt;0,Schema!P64,"")</f>
      </c>
      <c r="P69" s="39">
        <f>IF(Schema!Q64&gt;0,Schema!Q64,"")</f>
      </c>
      <c r="Q69" s="39">
        <f>IF(Schema!T64&gt;0,Schema!T64,"")</f>
      </c>
      <c r="R69" s="39">
        <f>IF(Schema!U64&gt;0,Schema!U64,"")</f>
      </c>
      <c r="S69" s="39">
        <f>IF(Schema!V64&gt;0,Schema!V64,"")</f>
      </c>
      <c r="T69" s="39">
        <f>IF(Schema!W64&gt;0,Schema!W64,"")</f>
      </c>
      <c r="U69" s="39">
        <f>IF(Schema!X64&gt;0,Schema!X64,"")</f>
      </c>
      <c r="V69" s="39">
        <f>IF(Schema!Y64&gt;0,Schema!Y64,"")</f>
      </c>
      <c r="W69" s="39">
        <f>IF(Schema!Z64&gt;0,Schema!Z64,"")</f>
      </c>
      <c r="X69" s="39">
        <f>IF(Schema!AA64&gt;0,Schema!AA64,"")</f>
      </c>
      <c r="Y69" s="39">
        <f>IF(Schema!AB64&gt;0,Schema!AB64,"")</f>
      </c>
      <c r="Z69" s="39">
        <f>IF(Schema!AC64&gt;0,Schema!AC64,"")</f>
      </c>
      <c r="AA69" s="39">
        <f>IF(Schema!AF64&gt;0,Schema!AF64,"")</f>
      </c>
      <c r="AB69" s="39">
        <f>IF(Schema!AG64&gt;0,Schema!AG64,"")</f>
      </c>
      <c r="AC69" s="39">
        <f>IF(Schema!AH64&gt;0,Schema!AH64,"")</f>
      </c>
      <c r="AD69" s="39">
        <f>IF(Schema!AI64&gt;0,Schema!AI64,"")</f>
      </c>
      <c r="AE69" s="39">
        <f t="shared" si="33"/>
        <v>0</v>
      </c>
      <c r="AF69" s="39">
        <f t="shared" si="34"/>
        <v>0</v>
      </c>
      <c r="AG69" s="39">
        <f t="shared" si="35"/>
        <v>0</v>
      </c>
      <c r="AH69" s="39">
        <f aca="true" t="shared" si="54" ref="AH69:AX69">+IF(AG69=AG68,AG70,AG69)</f>
        <v>0</v>
      </c>
      <c r="AI69" s="39">
        <f t="shared" si="54"/>
        <v>0</v>
      </c>
      <c r="AJ69" s="39">
        <f t="shared" si="54"/>
        <v>0</v>
      </c>
      <c r="AK69" s="39">
        <f t="shared" si="54"/>
        <v>0</v>
      </c>
      <c r="AL69" s="39">
        <f t="shared" si="54"/>
        <v>0</v>
      </c>
      <c r="AM69" s="39">
        <f t="shared" si="54"/>
        <v>0</v>
      </c>
      <c r="AN69" s="39">
        <f t="shared" si="54"/>
        <v>0</v>
      </c>
      <c r="AO69" s="39">
        <f t="shared" si="54"/>
        <v>0</v>
      </c>
      <c r="AP69" s="39">
        <f t="shared" si="54"/>
        <v>0</v>
      </c>
      <c r="AQ69" s="39">
        <f t="shared" si="54"/>
        <v>0</v>
      </c>
      <c r="AR69" s="39">
        <f t="shared" si="54"/>
        <v>0</v>
      </c>
      <c r="AS69" s="39">
        <f t="shared" si="54"/>
        <v>0</v>
      </c>
      <c r="AT69" s="39">
        <f t="shared" si="54"/>
        <v>0</v>
      </c>
      <c r="AU69" s="39">
        <f t="shared" si="54"/>
        <v>0</v>
      </c>
      <c r="AV69" s="39">
        <f t="shared" si="54"/>
        <v>0</v>
      </c>
      <c r="AW69" s="39">
        <f t="shared" si="54"/>
        <v>0</v>
      </c>
      <c r="AX69" s="39">
        <f t="shared" si="54"/>
        <v>0</v>
      </c>
      <c r="BA69" s="39">
        <f t="shared" si="37"/>
        <v>0</v>
      </c>
      <c r="BB69" s="39">
        <f t="shared" si="38"/>
        <v>0</v>
      </c>
      <c r="BC69" s="39">
        <f t="shared" si="39"/>
        <v>0</v>
      </c>
    </row>
    <row r="70" spans="53:55" ht="12.75" hidden="1">
      <c r="BA70" s="39">
        <f t="shared" si="37"/>
        <v>0</v>
      </c>
      <c r="BB70" s="39">
        <f t="shared" si="38"/>
        <v>0</v>
      </c>
      <c r="BC70" s="39">
        <f t="shared" si="39"/>
        <v>0</v>
      </c>
    </row>
    <row r="71" spans="53:55" ht="12.75" hidden="1">
      <c r="BA71" s="39">
        <f t="shared" si="37"/>
        <v>0</v>
      </c>
      <c r="BB71" s="39">
        <f t="shared" si="38"/>
        <v>0</v>
      </c>
      <c r="BC71" s="39">
        <f t="shared" si="39"/>
        <v>0</v>
      </c>
    </row>
    <row r="72" spans="53:55" ht="12.75" hidden="1">
      <c r="BA72" s="39">
        <f t="shared" si="37"/>
        <v>0</v>
      </c>
      <c r="BB72" s="39">
        <f t="shared" si="38"/>
        <v>0</v>
      </c>
      <c r="BC72" s="39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1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B13"/>
  <sheetViews>
    <sheetView showGridLines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3" sqref="B13"/>
    </sheetView>
  </sheetViews>
  <sheetFormatPr defaultColWidth="1.1484375" defaultRowHeight="12.75" customHeight="1" zeroHeight="1"/>
  <cols>
    <col min="1" max="1" width="24.140625" style="7" customWidth="1"/>
    <col min="2" max="2" width="56.57421875" style="8" customWidth="1"/>
    <col min="3" max="16384" width="0" style="8" hidden="1" customWidth="1"/>
  </cols>
  <sheetData>
    <row r="1" spans="1:2" ht="73.5" customHeight="1">
      <c r="A1" s="9" t="s">
        <v>25</v>
      </c>
      <c r="B1" s="10" t="s">
        <v>26</v>
      </c>
    </row>
    <row r="2" spans="1:2" ht="48.75" customHeight="1">
      <c r="A2" s="11" t="s">
        <v>27</v>
      </c>
      <c r="B2" s="12" t="s">
        <v>28</v>
      </c>
    </row>
    <row r="3" spans="1:2" ht="48.75" customHeight="1">
      <c r="A3" s="11" t="s">
        <v>29</v>
      </c>
      <c r="B3" s="12" t="s">
        <v>30</v>
      </c>
    </row>
    <row r="4" spans="1:2" ht="48.75" customHeight="1">
      <c r="A4" s="11" t="s">
        <v>31</v>
      </c>
      <c r="B4" s="12" t="s">
        <v>32</v>
      </c>
    </row>
    <row r="5" spans="1:2" ht="48.75" customHeight="1">
      <c r="A5" s="11" t="s">
        <v>33</v>
      </c>
      <c r="B5" s="12" t="s">
        <v>34</v>
      </c>
    </row>
    <row r="6" spans="1:2" ht="48.75" customHeight="1">
      <c r="A6" s="11" t="s">
        <v>35</v>
      </c>
      <c r="B6" s="12" t="s">
        <v>36</v>
      </c>
    </row>
    <row r="7" spans="1:2" ht="48.75" customHeight="1">
      <c r="A7" s="11" t="s">
        <v>37</v>
      </c>
      <c r="B7" s="12"/>
    </row>
    <row r="8" spans="1:2" ht="48.75" customHeight="1">
      <c r="A8" s="11" t="s">
        <v>38</v>
      </c>
      <c r="B8" s="12"/>
    </row>
    <row r="9" spans="1:2" ht="48.75" customHeight="1">
      <c r="A9" s="11" t="s">
        <v>39</v>
      </c>
      <c r="B9" s="12" t="s">
        <v>40</v>
      </c>
    </row>
    <row r="10" spans="1:2" ht="48.75" customHeight="1">
      <c r="A10" s="11" t="s">
        <v>41</v>
      </c>
      <c r="B10" s="12" t="s">
        <v>42</v>
      </c>
    </row>
    <row r="11" spans="1:2" ht="48.75" customHeight="1">
      <c r="A11" s="11" t="s">
        <v>43</v>
      </c>
      <c r="B11" s="12" t="s">
        <v>44</v>
      </c>
    </row>
    <row r="12" spans="1:2" ht="48.75" customHeight="1">
      <c r="A12" s="11" t="s">
        <v>45</v>
      </c>
      <c r="B12" s="12" t="s">
        <v>46</v>
      </c>
    </row>
    <row r="13" spans="1:2" ht="48.75" customHeight="1">
      <c r="A13" s="11" t="s">
        <v>47</v>
      </c>
      <c r="B13" s="12" t="s">
        <v>48</v>
      </c>
    </row>
  </sheetData>
  <sheetProtection sheet="1" objects="1" scenarios="1"/>
  <printOptions/>
  <pageMargins left="0.75" right="0.30972222222222223" top="2.0701388888888888" bottom="1" header="0.5" footer="0.5"/>
  <pageSetup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K22"/>
  <sheetViews>
    <sheetView showGridLines="0" workbookViewId="0" topLeftCell="A65536">
      <selection activeCell="A1" sqref="A1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3" customWidth="1"/>
    <col min="12" max="16384" width="9.140625" style="1" customWidth="1"/>
  </cols>
  <sheetData>
    <row r="1" ht="12.75" hidden="1">
      <c r="I1" s="1" t="s">
        <v>5</v>
      </c>
    </row>
    <row r="2" spans="1:11" ht="12.75" hidden="1">
      <c r="A2" s="1">
        <f>+IF(Inställningar!$B$5="nej",Spelordning!E2,Spelordning!I2)</f>
        <v>1</v>
      </c>
      <c r="B2" s="1" t="str">
        <f>+IF(Inställningar!$B$5="nej",Spelordning!F2,Spelordning!J2)</f>
        <v>A1</v>
      </c>
      <c r="C2" s="1" t="str">
        <f>+IF(Inställningar!$B$5="nej",Spelordning!G2,Spelordning!K2)</f>
        <v>A2</v>
      </c>
      <c r="E2" s="1">
        <v>1</v>
      </c>
      <c r="F2" s="1" t="s">
        <v>27</v>
      </c>
      <c r="G2" s="1" t="s">
        <v>29</v>
      </c>
      <c r="I2" s="1">
        <v>1</v>
      </c>
      <c r="J2" s="14" t="s">
        <v>27</v>
      </c>
      <c r="K2" s="14" t="s">
        <v>29</v>
      </c>
    </row>
    <row r="3" spans="1:11" ht="12.75" hidden="1">
      <c r="A3" s="1">
        <f>+IF(Inställningar!$B$5="nej",Spelordning!E3,Spelordning!I3)</f>
        <v>2</v>
      </c>
      <c r="B3" s="1" t="str">
        <f>+IF(Inställningar!$B$5="nej",Spelordning!F3,Spelordning!J3)</f>
        <v>A3</v>
      </c>
      <c r="C3" s="1" t="str">
        <f>+IF(Inställningar!$B$5="nej",Spelordning!G3,Spelordning!K3)</f>
        <v>A4</v>
      </c>
      <c r="E3" s="1">
        <v>2</v>
      </c>
      <c r="F3" s="1" t="s">
        <v>31</v>
      </c>
      <c r="G3" s="1" t="s">
        <v>33</v>
      </c>
      <c r="I3" s="1">
        <v>2</v>
      </c>
      <c r="J3" s="14" t="s">
        <v>31</v>
      </c>
      <c r="K3" s="14" t="s">
        <v>33</v>
      </c>
    </row>
    <row r="4" spans="1:11" ht="12.75" hidden="1">
      <c r="A4" s="1">
        <f>+IF(Inställningar!$B$5="nej",Spelordning!E4,Spelordning!I4)</f>
        <v>3</v>
      </c>
      <c r="B4" s="1" t="str">
        <f>+IF(Inställningar!$B$5="nej",Spelordning!F4,Spelordning!J4)</f>
        <v>B1</v>
      </c>
      <c r="C4" s="1" t="str">
        <f>+IF(Inställningar!$B$5="nej",Spelordning!G4,Spelordning!K4)</f>
        <v>B2</v>
      </c>
      <c r="E4" s="1">
        <v>3</v>
      </c>
      <c r="F4" s="1" t="s">
        <v>39</v>
      </c>
      <c r="G4" s="1" t="s">
        <v>41</v>
      </c>
      <c r="I4" s="1">
        <v>3</v>
      </c>
      <c r="J4" s="14" t="s">
        <v>35</v>
      </c>
      <c r="K4" s="14" t="s">
        <v>37</v>
      </c>
    </row>
    <row r="5" spans="1:11" ht="12.75" hidden="1">
      <c r="A5" s="1">
        <f>+IF(Inställningar!$B$5="nej",Spelordning!E5,Spelordning!I5)</f>
        <v>4</v>
      </c>
      <c r="B5" s="1" t="str">
        <f>+IF(Inställningar!$B$5="nej",Spelordning!F5,Spelordning!J5)</f>
        <v>B3</v>
      </c>
      <c r="C5" s="1" t="str">
        <f>+IF(Inställningar!$B$5="nej",Spelordning!G5,Spelordning!K5)</f>
        <v>B4</v>
      </c>
      <c r="E5" s="1">
        <v>4</v>
      </c>
      <c r="F5" s="1" t="s">
        <v>43</v>
      </c>
      <c r="G5" s="1" t="s">
        <v>45</v>
      </c>
      <c r="I5" s="1">
        <v>4</v>
      </c>
      <c r="J5" s="14" t="s">
        <v>38</v>
      </c>
      <c r="K5" s="14" t="s">
        <v>27</v>
      </c>
    </row>
    <row r="6" spans="1:11" ht="12.75" hidden="1">
      <c r="A6" s="1">
        <f>+IF(Inställningar!$B$5="nej",Spelordning!E6,Spelordning!I6)</f>
        <v>5</v>
      </c>
      <c r="B6" s="1" t="str">
        <f>+IF(Inställningar!$B$5="nej",Spelordning!F6,Spelordning!J6)</f>
        <v>A5</v>
      </c>
      <c r="C6" s="1" t="str">
        <f>+IF(Inställningar!$B$5="nej",Spelordning!G6,Spelordning!K6)</f>
        <v>A1</v>
      </c>
      <c r="E6" s="1">
        <v>5</v>
      </c>
      <c r="F6" s="1" t="s">
        <v>35</v>
      </c>
      <c r="G6" s="1" t="s">
        <v>27</v>
      </c>
      <c r="I6" s="1">
        <v>5</v>
      </c>
      <c r="J6" s="14" t="s">
        <v>29</v>
      </c>
      <c r="K6" s="14" t="s">
        <v>31</v>
      </c>
    </row>
    <row r="7" spans="1:11" ht="12.75" hidden="1">
      <c r="A7" s="1">
        <f>+IF(Inställningar!$B$5="nej",Spelordning!E7,Spelordning!I7)</f>
        <v>6</v>
      </c>
      <c r="B7" s="1" t="str">
        <f>+IF(Inställningar!$B$5="nej",Spelordning!F7,Spelordning!J7)</f>
        <v>A2</v>
      </c>
      <c r="C7" s="1" t="str">
        <f>+IF(Inställningar!$B$5="nej",Spelordning!G7,Spelordning!K7)</f>
        <v>A3</v>
      </c>
      <c r="E7" s="1">
        <v>6</v>
      </c>
      <c r="F7" s="1" t="s">
        <v>29</v>
      </c>
      <c r="G7" s="1" t="s">
        <v>31</v>
      </c>
      <c r="I7" s="1">
        <v>6</v>
      </c>
      <c r="J7" s="14" t="s">
        <v>33</v>
      </c>
      <c r="K7" s="14" t="s">
        <v>35</v>
      </c>
    </row>
    <row r="8" spans="1:11" ht="12.75" hidden="1">
      <c r="A8" s="1">
        <f>+IF(Inställningar!$B$5="nej",Spelordning!E8,Spelordning!I8)</f>
        <v>7</v>
      </c>
      <c r="B8" s="1" t="str">
        <f>+IF(Inställningar!$B$5="nej",Spelordning!F8,Spelordning!J8)</f>
        <v>B5</v>
      </c>
      <c r="C8" s="1" t="str">
        <f>+IF(Inställningar!$B$5="nej",Spelordning!G8,Spelordning!K8)</f>
        <v>B1</v>
      </c>
      <c r="E8" s="1">
        <v>7</v>
      </c>
      <c r="F8" s="1" t="s">
        <v>47</v>
      </c>
      <c r="G8" s="1" t="s">
        <v>39</v>
      </c>
      <c r="I8" s="1">
        <v>7</v>
      </c>
      <c r="J8" s="14" t="s">
        <v>37</v>
      </c>
      <c r="K8" s="14" t="s">
        <v>38</v>
      </c>
    </row>
    <row r="9" spans="1:11" ht="12.75" hidden="1">
      <c r="A9" s="1">
        <f>+IF(Inställningar!$B$5="nej",Spelordning!E9,Spelordning!I9)</f>
        <v>8</v>
      </c>
      <c r="B9" s="1" t="str">
        <f>+IF(Inställningar!$B$5="nej",Spelordning!F9,Spelordning!J9)</f>
        <v>B2</v>
      </c>
      <c r="C9" s="1" t="str">
        <f>+IF(Inställningar!$B$5="nej",Spelordning!G9,Spelordning!K9)</f>
        <v>B3</v>
      </c>
      <c r="E9" s="1">
        <v>8</v>
      </c>
      <c r="F9" s="1" t="s">
        <v>41</v>
      </c>
      <c r="G9" s="1" t="s">
        <v>43</v>
      </c>
      <c r="I9" s="1">
        <v>8</v>
      </c>
      <c r="J9" s="14" t="s">
        <v>27</v>
      </c>
      <c r="K9" s="14" t="s">
        <v>31</v>
      </c>
    </row>
    <row r="10" spans="1:11" ht="12.75" hidden="1">
      <c r="A10" s="1">
        <f>+IF(Inställningar!$B$5="nej",Spelordning!E10,Spelordning!I10)</f>
        <v>9</v>
      </c>
      <c r="B10" s="1" t="str">
        <f>+IF(Inställningar!$B$5="nej",Spelordning!F10,Spelordning!J10)</f>
        <v>A4</v>
      </c>
      <c r="C10" s="1" t="str">
        <f>+IF(Inställningar!$B$5="nej",Spelordning!G10,Spelordning!K10)</f>
        <v>A5</v>
      </c>
      <c r="E10" s="1">
        <v>9</v>
      </c>
      <c r="F10" s="1" t="s">
        <v>33</v>
      </c>
      <c r="G10" s="1" t="s">
        <v>35</v>
      </c>
      <c r="I10" s="1">
        <v>9</v>
      </c>
      <c r="J10" s="14" t="s">
        <v>29</v>
      </c>
      <c r="K10" s="14" t="s">
        <v>33</v>
      </c>
    </row>
    <row r="11" spans="1:11" ht="12.75" hidden="1">
      <c r="A11" s="1">
        <f>+IF(Inställningar!$B$5="nej",Spelordning!E11,Spelordning!I11)</f>
        <v>10</v>
      </c>
      <c r="B11" s="1" t="str">
        <f>+IF(Inställningar!$B$5="nej",Spelordning!F11,Spelordning!J11)</f>
        <v>A1</v>
      </c>
      <c r="C11" s="1" t="str">
        <f>+IF(Inställningar!$B$5="nej",Spelordning!G11,Spelordning!K11)</f>
        <v>A3</v>
      </c>
      <c r="E11" s="1">
        <v>10</v>
      </c>
      <c r="F11" s="1" t="s">
        <v>27</v>
      </c>
      <c r="G11" s="1" t="s">
        <v>31</v>
      </c>
      <c r="I11" s="1">
        <v>10</v>
      </c>
      <c r="J11" s="14" t="s">
        <v>35</v>
      </c>
      <c r="K11" s="14" t="s">
        <v>38</v>
      </c>
    </row>
    <row r="12" spans="1:11" ht="12.75" hidden="1">
      <c r="A12" s="1">
        <f>+IF(Inställningar!$B$5="nej",Spelordning!E12,Spelordning!I12)</f>
        <v>11</v>
      </c>
      <c r="B12" s="1" t="str">
        <f>+IF(Inställningar!$B$5="nej",Spelordning!F12,Spelordning!J12)</f>
        <v>B4</v>
      </c>
      <c r="C12" s="1" t="str">
        <f>+IF(Inställningar!$B$5="nej",Spelordning!G12,Spelordning!K12)</f>
        <v>B5</v>
      </c>
      <c r="E12" s="1">
        <v>11</v>
      </c>
      <c r="F12" s="1" t="s">
        <v>45</v>
      </c>
      <c r="G12" s="1" t="s">
        <v>47</v>
      </c>
      <c r="I12" s="1">
        <v>11</v>
      </c>
      <c r="J12" s="14" t="s">
        <v>37</v>
      </c>
      <c r="K12" s="14" t="s">
        <v>33</v>
      </c>
    </row>
    <row r="13" spans="1:11" ht="12.75" hidden="1">
      <c r="A13" s="1">
        <f>+IF(Inställningar!$B$5="nej",Spelordning!E13,Spelordning!I13)</f>
        <v>12</v>
      </c>
      <c r="B13" s="1" t="str">
        <f>+IF(Inställningar!$B$5="nej",Spelordning!F13,Spelordning!J13)</f>
        <v>B1</v>
      </c>
      <c r="C13" s="1" t="str">
        <f>+IF(Inställningar!$B$5="nej",Spelordning!G13,Spelordning!K13)</f>
        <v>B3</v>
      </c>
      <c r="E13" s="1">
        <v>12</v>
      </c>
      <c r="F13" s="1" t="s">
        <v>39</v>
      </c>
      <c r="G13" s="1" t="s">
        <v>43</v>
      </c>
      <c r="I13" s="1">
        <v>12</v>
      </c>
      <c r="J13" s="14" t="s">
        <v>27</v>
      </c>
      <c r="K13" s="14" t="s">
        <v>35</v>
      </c>
    </row>
    <row r="14" spans="1:11" ht="12.75" hidden="1">
      <c r="A14" s="1">
        <f>+IF(Inställningar!$B$5="nej",Spelordning!E14,Spelordning!I14)</f>
        <v>13</v>
      </c>
      <c r="B14" s="1" t="str">
        <f>+IF(Inställningar!$B$5="nej",Spelordning!F14,Spelordning!J14)</f>
        <v>A5</v>
      </c>
      <c r="C14" s="1" t="str">
        <f>+IF(Inställningar!$B$5="nej",Spelordning!G14,Spelordning!K14)</f>
        <v>A2</v>
      </c>
      <c r="E14" s="1">
        <v>13</v>
      </c>
      <c r="F14" s="1" t="s">
        <v>35</v>
      </c>
      <c r="G14" s="1" t="s">
        <v>29</v>
      </c>
      <c r="I14" s="1">
        <v>13</v>
      </c>
      <c r="J14" s="14" t="s">
        <v>31</v>
      </c>
      <c r="K14" s="14" t="s">
        <v>38</v>
      </c>
    </row>
    <row r="15" spans="1:11" ht="12.75" hidden="1">
      <c r="A15" s="1">
        <f>+IF(Inställningar!$B$5="nej",Spelordning!E15,Spelordning!I15)</f>
        <v>14</v>
      </c>
      <c r="B15" s="1" t="str">
        <f>+IF(Inställningar!$B$5="nej",Spelordning!F15,Spelordning!J15)</f>
        <v>A4</v>
      </c>
      <c r="C15" s="1" t="str">
        <f>+IF(Inställningar!$B$5="nej",Spelordning!G15,Spelordning!K15)</f>
        <v>A1</v>
      </c>
      <c r="E15" s="1">
        <v>14</v>
      </c>
      <c r="F15" s="1" t="s">
        <v>33</v>
      </c>
      <c r="G15" s="1" t="s">
        <v>27</v>
      </c>
      <c r="I15" s="1">
        <v>14</v>
      </c>
      <c r="J15" s="14" t="s">
        <v>37</v>
      </c>
      <c r="K15" s="14" t="s">
        <v>29</v>
      </c>
    </row>
    <row r="16" spans="1:11" ht="12.75" hidden="1">
      <c r="A16" s="1">
        <f>+IF(Inställningar!$B$5="nej",Spelordning!E16,Spelordning!I16)</f>
        <v>15</v>
      </c>
      <c r="B16" s="1" t="str">
        <f>+IF(Inställningar!$B$5="nej",Spelordning!F16,Spelordning!J16)</f>
        <v>B5</v>
      </c>
      <c r="C16" s="1" t="str">
        <f>+IF(Inställningar!$B$5="nej",Spelordning!G16,Spelordning!K16)</f>
        <v>B2</v>
      </c>
      <c r="E16" s="1">
        <v>15</v>
      </c>
      <c r="F16" s="1" t="s">
        <v>47</v>
      </c>
      <c r="G16" s="1" t="s">
        <v>41</v>
      </c>
      <c r="I16" s="1">
        <v>15</v>
      </c>
      <c r="J16" s="14" t="s">
        <v>27</v>
      </c>
      <c r="K16" s="14" t="s">
        <v>33</v>
      </c>
    </row>
    <row r="17" spans="1:11" ht="12.75" hidden="1">
      <c r="A17" s="1">
        <f>+IF(Inställningar!$B$5="nej",Spelordning!E17,Spelordning!I17)</f>
        <v>16</v>
      </c>
      <c r="B17" s="1" t="str">
        <f>+IF(Inställningar!$B$5="nej",Spelordning!F17,Spelordning!J17)</f>
        <v>B4</v>
      </c>
      <c r="C17" s="1" t="str">
        <f>+IF(Inställningar!$B$5="nej",Spelordning!G17,Spelordning!K17)</f>
        <v>B1</v>
      </c>
      <c r="E17" s="1">
        <v>16</v>
      </c>
      <c r="F17" s="1" t="s">
        <v>45</v>
      </c>
      <c r="G17" s="1" t="s">
        <v>39</v>
      </c>
      <c r="I17" s="1">
        <v>16</v>
      </c>
      <c r="J17" s="14" t="s">
        <v>29</v>
      </c>
      <c r="K17" s="14" t="s">
        <v>35</v>
      </c>
    </row>
    <row r="18" spans="1:11" ht="12.75" hidden="1">
      <c r="A18" s="1">
        <f>+IF(Inställningar!$B$5="nej",Spelordning!E18,Spelordning!I18)</f>
        <v>17</v>
      </c>
      <c r="B18" s="1" t="str">
        <f>+IF(Inställningar!$B$5="nej",Spelordning!F18,Spelordning!J18)</f>
        <v>A3</v>
      </c>
      <c r="C18" s="1" t="str">
        <f>+IF(Inställningar!$B$5="nej",Spelordning!G18,Spelordning!K18)</f>
        <v>A5</v>
      </c>
      <c r="E18" s="1">
        <v>17</v>
      </c>
      <c r="F18" s="1" t="s">
        <v>31</v>
      </c>
      <c r="G18" s="1" t="s">
        <v>35</v>
      </c>
      <c r="I18" s="1">
        <v>17</v>
      </c>
      <c r="J18" s="14" t="s">
        <v>31</v>
      </c>
      <c r="K18" s="14" t="s">
        <v>37</v>
      </c>
    </row>
    <row r="19" spans="1:11" ht="12.75" hidden="1">
      <c r="A19" s="1">
        <f>+IF(Inställningar!$B$5="nej",Spelordning!E19,Spelordning!I19)</f>
        <v>18</v>
      </c>
      <c r="B19" s="1" t="str">
        <f>+IF(Inställningar!$B$5="nej",Spelordning!F19,Spelordning!J19)</f>
        <v>A2</v>
      </c>
      <c r="C19" s="1" t="str">
        <f>+IF(Inställningar!$B$5="nej",Spelordning!G19,Spelordning!K19)</f>
        <v>A4</v>
      </c>
      <c r="E19" s="1">
        <v>18</v>
      </c>
      <c r="F19" s="1" t="s">
        <v>29</v>
      </c>
      <c r="G19" s="1" t="s">
        <v>33</v>
      </c>
      <c r="I19" s="1">
        <v>18</v>
      </c>
      <c r="J19" s="14" t="s">
        <v>38</v>
      </c>
      <c r="K19" s="14" t="s">
        <v>29</v>
      </c>
    </row>
    <row r="20" spans="1:11" ht="12.75" hidden="1">
      <c r="A20" s="1">
        <f>+IF(Inställningar!$B$5="nej",Spelordning!E20,Spelordning!I20)</f>
        <v>19</v>
      </c>
      <c r="B20" s="1" t="str">
        <f>+IF(Inställningar!$B$5="nej",Spelordning!F20,Spelordning!J20)</f>
        <v>B3</v>
      </c>
      <c r="C20" s="1" t="str">
        <f>+IF(Inställningar!$B$5="nej",Spelordning!G20,Spelordning!K20)</f>
        <v>B5</v>
      </c>
      <c r="E20" s="1">
        <v>19</v>
      </c>
      <c r="F20" s="1" t="s">
        <v>43</v>
      </c>
      <c r="G20" s="1" t="s">
        <v>47</v>
      </c>
      <c r="I20" s="1">
        <v>19</v>
      </c>
      <c r="J20" s="14" t="s">
        <v>35</v>
      </c>
      <c r="K20" s="14" t="s">
        <v>31</v>
      </c>
    </row>
    <row r="21" spans="1:11" ht="12.75" hidden="1">
      <c r="A21" s="1">
        <f>+IF(Inställningar!$B$5="nej",Spelordning!E21,Spelordning!I21)</f>
        <v>20</v>
      </c>
      <c r="B21" s="1" t="str">
        <f>+IF(Inställningar!$B$5="nej",Spelordning!F21,Spelordning!J21)</f>
        <v>B2</v>
      </c>
      <c r="C21" s="1" t="str">
        <f>+IF(Inställningar!$B$5="nej",Spelordning!G21,Spelordning!K21)</f>
        <v>B4</v>
      </c>
      <c r="E21" s="1">
        <v>20</v>
      </c>
      <c r="F21" s="1" t="s">
        <v>41</v>
      </c>
      <c r="G21" s="1" t="s">
        <v>45</v>
      </c>
      <c r="I21" s="1">
        <v>20</v>
      </c>
      <c r="J21" s="14" t="s">
        <v>27</v>
      </c>
      <c r="K21" s="14" t="s">
        <v>37</v>
      </c>
    </row>
    <row r="22" spans="1:11" ht="12.75" hidden="1">
      <c r="A22" s="1">
        <f>+IF(Inställningar!$B$5="nej",Spelordning!E22,Spelordning!I22)</f>
        <v>0</v>
      </c>
      <c r="B22" s="1">
        <f>+IF(Inställningar!$B$5="nej",Spelordning!F22,Spelordning!J22)</f>
        <v>0</v>
      </c>
      <c r="C22" s="1">
        <f>+IF(Inställningar!$B$5="nej",Spelordning!G22,Spelordning!K22)</f>
        <v>0</v>
      </c>
      <c r="I22" s="1">
        <v>21</v>
      </c>
      <c r="J22" s="14" t="s">
        <v>33</v>
      </c>
      <c r="K22" s="14" t="s">
        <v>38</v>
      </c>
    </row>
  </sheetData>
  <sheetProtection sheet="1" objects="1" scenarios="1"/>
  <conditionalFormatting sqref="A6:A65536 D23 E6:E65536">
    <cfRule type="cellIs" priority="1" dxfId="0" operator="equal" stopIfTrue="1">
      <formula>"A3"</formula>
    </cfRule>
  </conditionalFormatting>
  <conditionalFormatting sqref="D19:D22 D24:D65536">
    <cfRule type="cellIs" priority="2" dxfId="0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7"/>
  <sheetViews>
    <sheetView showGridLines="0" workbookViewId="0" topLeftCell="A65536">
      <selection activeCell="A1" sqref="A1"/>
    </sheetView>
  </sheetViews>
  <sheetFormatPr defaultColWidth="9.140625" defaultRowHeight="12.75" zeroHeight="1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0.140625" style="1" customWidth="1"/>
    <col min="6" max="16384" width="9.140625" style="1" customWidth="1"/>
  </cols>
  <sheetData>
    <row r="1" spans="1:7" ht="12.75" hidden="1">
      <c r="A1" s="1" t="s">
        <v>49</v>
      </c>
      <c r="B1" s="15">
        <f>+Inställningar!B1</f>
        <v>0.008333333333333333</v>
      </c>
      <c r="C1" s="1" t="s">
        <v>50</v>
      </c>
      <c r="E1" s="1" t="s">
        <v>49</v>
      </c>
      <c r="F1" s="15">
        <f>+Inställningar!B1</f>
        <v>0.008333333333333333</v>
      </c>
      <c r="G1" s="1" t="s">
        <v>50</v>
      </c>
    </row>
    <row r="2" spans="1:7" ht="12.75" hidden="1">
      <c r="A2" s="1" t="s">
        <v>51</v>
      </c>
      <c r="B2" s="16">
        <f>+Inställningar!B2</f>
        <v>0.0006944444444444445</v>
      </c>
      <c r="C2" s="1" t="s">
        <v>50</v>
      </c>
      <c r="E2" s="1" t="s">
        <v>51</v>
      </c>
      <c r="F2" s="16">
        <f>+Inställningar!B2</f>
        <v>0.0006944444444444445</v>
      </c>
      <c r="G2" s="1" t="s">
        <v>50</v>
      </c>
    </row>
    <row r="3" spans="1:7" ht="12.75" hidden="1">
      <c r="A3" s="1">
        <v>1</v>
      </c>
      <c r="B3" s="15">
        <f>+Inställningar!B6</f>
        <v>0.3333333333333333</v>
      </c>
      <c r="C3" s="15">
        <f aca="true" t="shared" si="0" ref="C3:C26">+B3+$B$1</f>
        <v>0.3416666666666667</v>
      </c>
      <c r="E3" s="1">
        <v>1</v>
      </c>
      <c r="F3" s="15">
        <f>+Inställningar!B6</f>
        <v>0.3333333333333333</v>
      </c>
      <c r="G3" s="15">
        <f aca="true" t="shared" si="1" ref="G3:G27">+F3+$B$1</f>
        <v>0.3416666666666667</v>
      </c>
    </row>
    <row r="4" spans="1:7" ht="12.75" hidden="1">
      <c r="A4" s="1">
        <v>2</v>
      </c>
      <c r="B4" s="15">
        <f aca="true" t="shared" si="2" ref="B4:B24">+C3+$B$2</f>
        <v>0.3423611111111111</v>
      </c>
      <c r="C4" s="15">
        <f t="shared" si="0"/>
        <v>0.3506944444444445</v>
      </c>
      <c r="E4" s="1">
        <v>2</v>
      </c>
      <c r="F4" s="15">
        <f aca="true" t="shared" si="3" ref="F4:F22">+G3+$B$2</f>
        <v>0.3423611111111111</v>
      </c>
      <c r="G4" s="15">
        <f t="shared" si="1"/>
        <v>0.3506944444444445</v>
      </c>
    </row>
    <row r="5" spans="1:7" ht="12.75" hidden="1">
      <c r="A5" s="1">
        <v>3</v>
      </c>
      <c r="B5" s="15">
        <f t="shared" si="2"/>
        <v>0.3513888888888889</v>
      </c>
      <c r="C5" s="15">
        <f t="shared" si="0"/>
        <v>0.3597222222222223</v>
      </c>
      <c r="E5" s="1">
        <v>3</v>
      </c>
      <c r="F5" s="15">
        <f t="shared" si="3"/>
        <v>0.3513888888888889</v>
      </c>
      <c r="G5" s="15">
        <f t="shared" si="1"/>
        <v>0.3597222222222223</v>
      </c>
    </row>
    <row r="6" spans="1:7" ht="12.75" hidden="1">
      <c r="A6" s="1">
        <v>4</v>
      </c>
      <c r="B6" s="15">
        <f t="shared" si="2"/>
        <v>0.3604166666666667</v>
      </c>
      <c r="C6" s="15">
        <f t="shared" si="0"/>
        <v>0.3687500000000001</v>
      </c>
      <c r="E6" s="1">
        <v>4</v>
      </c>
      <c r="F6" s="15">
        <f t="shared" si="3"/>
        <v>0.3604166666666667</v>
      </c>
      <c r="G6" s="15">
        <f t="shared" si="1"/>
        <v>0.3687500000000001</v>
      </c>
    </row>
    <row r="7" spans="1:7" ht="12.75" hidden="1">
      <c r="A7" s="1">
        <v>5</v>
      </c>
      <c r="B7" s="15">
        <f t="shared" si="2"/>
        <v>0.3694444444444445</v>
      </c>
      <c r="C7" s="15">
        <f t="shared" si="0"/>
        <v>0.3777777777777779</v>
      </c>
      <c r="E7" s="1">
        <v>5</v>
      </c>
      <c r="F7" s="15">
        <f t="shared" si="3"/>
        <v>0.3694444444444445</v>
      </c>
      <c r="G7" s="15">
        <f t="shared" si="1"/>
        <v>0.3777777777777779</v>
      </c>
    </row>
    <row r="8" spans="1:7" ht="12.75" hidden="1">
      <c r="A8" s="1">
        <v>6</v>
      </c>
      <c r="B8" s="15">
        <f t="shared" si="2"/>
        <v>0.3784722222222223</v>
      </c>
      <c r="C8" s="15">
        <f t="shared" si="0"/>
        <v>0.3868055555555557</v>
      </c>
      <c r="E8" s="1">
        <v>6</v>
      </c>
      <c r="F8" s="15">
        <f t="shared" si="3"/>
        <v>0.3784722222222223</v>
      </c>
      <c r="G8" s="15">
        <f t="shared" si="1"/>
        <v>0.3868055555555557</v>
      </c>
    </row>
    <row r="9" spans="1:7" ht="12.75" hidden="1">
      <c r="A9" s="1">
        <v>7</v>
      </c>
      <c r="B9" s="15">
        <f t="shared" si="2"/>
        <v>0.3875000000000001</v>
      </c>
      <c r="C9" s="15">
        <f t="shared" si="0"/>
        <v>0.3958333333333335</v>
      </c>
      <c r="E9" s="1">
        <v>7</v>
      </c>
      <c r="F9" s="15">
        <f t="shared" si="3"/>
        <v>0.3875000000000001</v>
      </c>
      <c r="G9" s="15">
        <f t="shared" si="1"/>
        <v>0.3958333333333335</v>
      </c>
    </row>
    <row r="10" spans="1:7" ht="12.75" hidden="1">
      <c r="A10" s="1">
        <v>8</v>
      </c>
      <c r="B10" s="15">
        <f t="shared" si="2"/>
        <v>0.3965277777777779</v>
      </c>
      <c r="C10" s="15">
        <f t="shared" si="0"/>
        <v>0.4048611111111113</v>
      </c>
      <c r="E10" s="1">
        <v>8</v>
      </c>
      <c r="F10" s="15">
        <f t="shared" si="3"/>
        <v>0.3965277777777779</v>
      </c>
      <c r="G10" s="15">
        <f t="shared" si="1"/>
        <v>0.4048611111111113</v>
      </c>
    </row>
    <row r="11" spans="1:7" ht="12.75" hidden="1">
      <c r="A11" s="1">
        <v>9</v>
      </c>
      <c r="B11" s="15">
        <f t="shared" si="2"/>
        <v>0.4055555555555557</v>
      </c>
      <c r="C11" s="15">
        <f t="shared" si="0"/>
        <v>0.4138888888888891</v>
      </c>
      <c r="E11" s="1">
        <v>9</v>
      </c>
      <c r="F11" s="15">
        <f t="shared" si="3"/>
        <v>0.4055555555555557</v>
      </c>
      <c r="G11" s="15">
        <f t="shared" si="1"/>
        <v>0.4138888888888891</v>
      </c>
    </row>
    <row r="12" spans="1:7" ht="12.75" hidden="1">
      <c r="A12" s="1">
        <v>10</v>
      </c>
      <c r="B12" s="15">
        <f t="shared" si="2"/>
        <v>0.4145833333333335</v>
      </c>
      <c r="C12" s="15">
        <f t="shared" si="0"/>
        <v>0.4229166666666669</v>
      </c>
      <c r="E12" s="1">
        <v>10</v>
      </c>
      <c r="F12" s="15">
        <f t="shared" si="3"/>
        <v>0.4145833333333335</v>
      </c>
      <c r="G12" s="15">
        <f t="shared" si="1"/>
        <v>0.4229166666666669</v>
      </c>
    </row>
    <row r="13" spans="1:7" ht="12.75" hidden="1">
      <c r="A13" s="1">
        <v>11</v>
      </c>
      <c r="B13" s="15">
        <f t="shared" si="2"/>
        <v>0.4236111111111113</v>
      </c>
      <c r="C13" s="15">
        <f t="shared" si="0"/>
        <v>0.4319444444444447</v>
      </c>
      <c r="E13" s="1">
        <v>11</v>
      </c>
      <c r="F13" s="15">
        <f t="shared" si="3"/>
        <v>0.4236111111111113</v>
      </c>
      <c r="G13" s="15">
        <f t="shared" si="1"/>
        <v>0.4319444444444447</v>
      </c>
    </row>
    <row r="14" spans="1:7" ht="12.75" hidden="1">
      <c r="A14" s="1">
        <v>12</v>
      </c>
      <c r="B14" s="15">
        <f t="shared" si="2"/>
        <v>0.43263888888888913</v>
      </c>
      <c r="C14" s="15">
        <f t="shared" si="0"/>
        <v>0.4409722222222225</v>
      </c>
      <c r="E14" s="1">
        <v>12</v>
      </c>
      <c r="F14" s="15">
        <f t="shared" si="3"/>
        <v>0.43263888888888913</v>
      </c>
      <c r="G14" s="15">
        <f t="shared" si="1"/>
        <v>0.4409722222222225</v>
      </c>
    </row>
    <row r="15" spans="1:7" ht="12.75" hidden="1">
      <c r="A15" s="1">
        <v>13</v>
      </c>
      <c r="B15" s="15">
        <f t="shared" si="2"/>
        <v>0.44166666666666693</v>
      </c>
      <c r="C15" s="15">
        <f t="shared" si="0"/>
        <v>0.4500000000000003</v>
      </c>
      <c r="E15" s="1">
        <v>13</v>
      </c>
      <c r="F15" s="15">
        <f t="shared" si="3"/>
        <v>0.44166666666666693</v>
      </c>
      <c r="G15" s="15">
        <f t="shared" si="1"/>
        <v>0.4500000000000003</v>
      </c>
    </row>
    <row r="16" spans="1:7" ht="12.75" hidden="1">
      <c r="A16" s="1">
        <v>14</v>
      </c>
      <c r="B16" s="15">
        <f t="shared" si="2"/>
        <v>0.45069444444444473</v>
      </c>
      <c r="C16" s="15">
        <f t="shared" si="0"/>
        <v>0.4590277777777781</v>
      </c>
      <c r="E16" s="1">
        <v>14</v>
      </c>
      <c r="F16" s="15">
        <f t="shared" si="3"/>
        <v>0.45069444444444473</v>
      </c>
      <c r="G16" s="15">
        <f t="shared" si="1"/>
        <v>0.4590277777777781</v>
      </c>
    </row>
    <row r="17" spans="1:7" ht="12.75" hidden="1">
      <c r="A17" s="1">
        <v>15</v>
      </c>
      <c r="B17" s="15">
        <f t="shared" si="2"/>
        <v>0.45972222222222253</v>
      </c>
      <c r="C17" s="15">
        <f t="shared" si="0"/>
        <v>0.4680555555555559</v>
      </c>
      <c r="E17" s="1">
        <v>15</v>
      </c>
      <c r="F17" s="15">
        <f t="shared" si="3"/>
        <v>0.45972222222222253</v>
      </c>
      <c r="G17" s="15">
        <f t="shared" si="1"/>
        <v>0.4680555555555559</v>
      </c>
    </row>
    <row r="18" spans="1:7" ht="12.75" hidden="1">
      <c r="A18" s="1">
        <v>16</v>
      </c>
      <c r="B18" s="15">
        <f t="shared" si="2"/>
        <v>0.46875000000000033</v>
      </c>
      <c r="C18" s="15">
        <f t="shared" si="0"/>
        <v>0.4770833333333337</v>
      </c>
      <c r="E18" s="1">
        <v>16</v>
      </c>
      <c r="F18" s="15">
        <f t="shared" si="3"/>
        <v>0.46875000000000033</v>
      </c>
      <c r="G18" s="15">
        <f t="shared" si="1"/>
        <v>0.4770833333333337</v>
      </c>
    </row>
    <row r="19" spans="1:7" ht="12.75" hidden="1">
      <c r="A19" s="1">
        <v>17</v>
      </c>
      <c r="B19" s="15">
        <f t="shared" si="2"/>
        <v>0.47777777777777813</v>
      </c>
      <c r="C19" s="15">
        <f t="shared" si="0"/>
        <v>0.4861111111111115</v>
      </c>
      <c r="E19" s="1">
        <v>17</v>
      </c>
      <c r="F19" s="15">
        <f t="shared" si="3"/>
        <v>0.47777777777777813</v>
      </c>
      <c r="G19" s="15">
        <f t="shared" si="1"/>
        <v>0.4861111111111115</v>
      </c>
    </row>
    <row r="20" spans="1:7" ht="12.75" hidden="1">
      <c r="A20" s="1">
        <v>18</v>
      </c>
      <c r="B20" s="15">
        <f t="shared" si="2"/>
        <v>0.48680555555555594</v>
      </c>
      <c r="C20" s="15">
        <f t="shared" si="0"/>
        <v>0.4951388888888893</v>
      </c>
      <c r="E20" s="1">
        <v>18</v>
      </c>
      <c r="F20" s="15">
        <f t="shared" si="3"/>
        <v>0.48680555555555594</v>
      </c>
      <c r="G20" s="15">
        <f t="shared" si="1"/>
        <v>0.4951388888888893</v>
      </c>
    </row>
    <row r="21" spans="1:7" ht="12.75" hidden="1">
      <c r="A21" s="1">
        <v>19</v>
      </c>
      <c r="B21" s="15">
        <f t="shared" si="2"/>
        <v>0.49583333333333374</v>
      </c>
      <c r="C21" s="15">
        <f t="shared" si="0"/>
        <v>0.5041666666666671</v>
      </c>
      <c r="E21" s="1">
        <v>19</v>
      </c>
      <c r="F21" s="15">
        <f t="shared" si="3"/>
        <v>0.49583333333333374</v>
      </c>
      <c r="G21" s="15">
        <f t="shared" si="1"/>
        <v>0.5041666666666671</v>
      </c>
    </row>
    <row r="22" spans="1:7" ht="12.75" hidden="1">
      <c r="A22" s="1">
        <v>20</v>
      </c>
      <c r="B22" s="15">
        <f t="shared" si="2"/>
        <v>0.5048611111111115</v>
      </c>
      <c r="C22" s="15">
        <f t="shared" si="0"/>
        <v>0.5131944444444448</v>
      </c>
      <c r="E22" s="1">
        <v>20</v>
      </c>
      <c r="F22" s="15">
        <f t="shared" si="3"/>
        <v>0.5048611111111115</v>
      </c>
      <c r="G22" s="15">
        <f t="shared" si="1"/>
        <v>0.5131944444444448</v>
      </c>
    </row>
    <row r="23" spans="1:7" ht="12.75" hidden="1">
      <c r="A23" s="1" t="s">
        <v>52</v>
      </c>
      <c r="B23" s="15">
        <f>+C22+$B$2*6</f>
        <v>0.5173611111111115</v>
      </c>
      <c r="C23" s="15">
        <f t="shared" si="0"/>
        <v>0.5256944444444448</v>
      </c>
      <c r="E23" s="1">
        <v>21</v>
      </c>
      <c r="F23" s="15">
        <f>+G22+$B$2</f>
        <v>0.5138888888888893</v>
      </c>
      <c r="G23" s="15">
        <f t="shared" si="1"/>
        <v>0.5222222222222226</v>
      </c>
    </row>
    <row r="24" spans="1:7" ht="12.75" hidden="1">
      <c r="A24" s="1" t="s">
        <v>53</v>
      </c>
      <c r="B24" s="15">
        <f t="shared" si="2"/>
        <v>0.5263888888888892</v>
      </c>
      <c r="C24" s="15">
        <f t="shared" si="0"/>
        <v>0.5347222222222225</v>
      </c>
      <c r="E24" s="1" t="s">
        <v>52</v>
      </c>
      <c r="F24" s="15">
        <f>+G23+$B$2*5</f>
        <v>0.5256944444444448</v>
      </c>
      <c r="G24" s="15">
        <f t="shared" si="1"/>
        <v>0.5340277777777781</v>
      </c>
    </row>
    <row r="25" spans="1:7" ht="12.75" hidden="1">
      <c r="A25" s="1" t="s">
        <v>54</v>
      </c>
      <c r="B25" s="15">
        <f>+C24+($B$2*6)</f>
        <v>0.5388888888888892</v>
      </c>
      <c r="C25" s="15">
        <f t="shared" si="0"/>
        <v>0.5472222222222225</v>
      </c>
      <c r="E25" s="1" t="s">
        <v>53</v>
      </c>
      <c r="F25" s="15">
        <f>+G24+$B$2</f>
        <v>0.5347222222222225</v>
      </c>
      <c r="G25" s="15">
        <f t="shared" si="1"/>
        <v>0.5430555555555558</v>
      </c>
    </row>
    <row r="26" spans="1:7" ht="12.75" hidden="1">
      <c r="A26" s="1" t="s">
        <v>55</v>
      </c>
      <c r="B26" s="15">
        <f>+C25+$B$2</f>
        <v>0.5479166666666669</v>
      </c>
      <c r="C26" s="15">
        <f t="shared" si="0"/>
        <v>0.5562500000000002</v>
      </c>
      <c r="E26" s="1" t="s">
        <v>54</v>
      </c>
      <c r="F26" s="15">
        <f>+G25+($B$2*6)</f>
        <v>0.5472222222222225</v>
      </c>
      <c r="G26" s="15">
        <f t="shared" si="1"/>
        <v>0.5555555555555558</v>
      </c>
    </row>
    <row r="27" spans="5:7" ht="12.75" hidden="1">
      <c r="E27" s="1" t="s">
        <v>55</v>
      </c>
      <c r="F27" s="15">
        <f>+G26+$B$2</f>
        <v>0.5562500000000002</v>
      </c>
      <c r="G27" s="15">
        <f t="shared" si="1"/>
        <v>0.5645833333333335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workbookViewId="0" topLeftCell="IV65536">
      <selection activeCell="A1" sqref="A1"/>
    </sheetView>
  </sheetViews>
  <sheetFormatPr defaultColWidth="1.1484375" defaultRowHeight="12.75" zeroHeight="1"/>
  <cols>
    <col min="1" max="16384" width="0" style="17" hidden="1" customWidth="1"/>
  </cols>
  <sheetData>
    <row r="1" spans="1:3" ht="12.75" hidden="1">
      <c r="A1" s="17" t="s">
        <v>27</v>
      </c>
      <c r="B1" s="17" t="str">
        <f>+VLOOKUP(A1,Lottning!$A$2:$B$13,2,FALSE)</f>
        <v>Svalövs BK 2</v>
      </c>
      <c r="C1" s="17" t="s">
        <v>56</v>
      </c>
    </row>
    <row r="2" spans="1:3" ht="12.75" hidden="1">
      <c r="A2" s="17" t="s">
        <v>29</v>
      </c>
      <c r="B2" s="17" t="str">
        <f>+VLOOKUP(A2,Lottning!$A$2:$B$13,2,FALSE)</f>
        <v>Kågeröds BoIF</v>
      </c>
      <c r="C2" s="17" t="s">
        <v>56</v>
      </c>
    </row>
    <row r="3" spans="1:3" ht="12.75" hidden="1">
      <c r="A3" s="17" t="s">
        <v>31</v>
      </c>
      <c r="B3" s="17" t="str">
        <f>+VLOOKUP(A3,Lottning!$A$2:$B$13,2,FALSE)</f>
        <v>Ekeby GIF</v>
      </c>
      <c r="C3" s="17" t="s">
        <v>56</v>
      </c>
    </row>
    <row r="4" spans="1:3" ht="12.75" hidden="1">
      <c r="A4" s="17" t="s">
        <v>33</v>
      </c>
      <c r="B4" s="17" t="str">
        <f>+VLOOKUP(A4,Lottning!$A$2:$B$13,2,FALSE)</f>
        <v>Marieholms IS</v>
      </c>
      <c r="C4" s="17" t="s">
        <v>56</v>
      </c>
    </row>
    <row r="5" spans="1:3" ht="12.75" hidden="1">
      <c r="A5" s="17" t="s">
        <v>35</v>
      </c>
      <c r="B5" s="17" t="str">
        <f>+VLOOKUP(A5,Lottning!$A$2:$B$13,2,FALSE)</f>
        <v>Teckomatorps SK</v>
      </c>
      <c r="C5" s="17" t="s">
        <v>56</v>
      </c>
    </row>
    <row r="6" spans="1:3" ht="12.75" hidden="1">
      <c r="A6" s="17" t="s">
        <v>37</v>
      </c>
      <c r="B6" s="17">
        <f>+VLOOKUP(A6,Lottning!$A$2:$B$13,2,FALSE)</f>
        <v>0</v>
      </c>
      <c r="C6" s="17" t="s">
        <v>56</v>
      </c>
    </row>
    <row r="7" spans="1:3" ht="12.75" hidden="1">
      <c r="A7" s="17" t="s">
        <v>38</v>
      </c>
      <c r="B7" s="17">
        <f>+VLOOKUP(A7,Lottning!$A$2:$B$13,2,FALSE)</f>
        <v>0</v>
      </c>
      <c r="C7" s="17" t="s">
        <v>56</v>
      </c>
    </row>
    <row r="8" spans="1:3" ht="12.75" hidden="1">
      <c r="A8" s="17" t="str">
        <f>+IF(Lottning!A9&gt;0,Lottning!A9,"")</f>
        <v>B1</v>
      </c>
      <c r="B8" s="17" t="str">
        <f>+VLOOKUP(A8,Lottning!$A$2:$B$13,2,FALSE)</f>
        <v>Svalövs BK 1</v>
      </c>
      <c r="C8" s="17" t="s">
        <v>57</v>
      </c>
    </row>
    <row r="9" spans="1:3" ht="12.75" hidden="1">
      <c r="A9" s="17" t="str">
        <f>+IF(Lottning!A10&gt;0,Lottning!A10,"")</f>
        <v>B2</v>
      </c>
      <c r="B9" s="17" t="str">
        <f>+VLOOKUP(A9,Lottning!$A$2:$B$13,2,FALSE)</f>
        <v>Billeberga GIF</v>
      </c>
      <c r="C9" s="17" t="s">
        <v>57</v>
      </c>
    </row>
    <row r="10" spans="1:3" ht="12.75" hidden="1">
      <c r="A10" s="17" t="str">
        <f>+IF(Lottning!A11&gt;0,Lottning!A11,"")</f>
        <v>B3</v>
      </c>
      <c r="B10" s="17" t="str">
        <f>+VLOOKUP(A10,Lottning!$A$2:$B$13,2,FALSE)</f>
        <v>Gantofta IF</v>
      </c>
      <c r="C10" s="17" t="s">
        <v>57</v>
      </c>
    </row>
    <row r="11" spans="1:3" ht="12.75" hidden="1">
      <c r="A11" s="17" t="str">
        <f>+IF(Lottning!A12&gt;0,Lottning!A12,"")</f>
        <v>B4</v>
      </c>
      <c r="B11" s="17" t="str">
        <f>+VLOOKUP(A11,Lottning!$A$2:$B$13,2,FALSE)</f>
        <v>IK Wormo</v>
      </c>
      <c r="C11" s="17" t="s">
        <v>57</v>
      </c>
    </row>
    <row r="12" spans="1:3" ht="12.75" hidden="1">
      <c r="A12" s="17" t="str">
        <f>+IF(Lottning!A13&gt;0,Lottning!A13,"")</f>
        <v>B5</v>
      </c>
      <c r="B12" s="17" t="str">
        <f>+VLOOKUP(A12,Lottning!$A$2:$B$13,2,FALSE)</f>
        <v>Eskilsminne IF</v>
      </c>
      <c r="C12" s="17" t="s">
        <v>57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tabSelected="1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I11" sqref="I11"/>
    </sheetView>
  </sheetViews>
  <sheetFormatPr defaultColWidth="1.1484375" defaultRowHeight="12.75" zeroHeight="1"/>
  <cols>
    <col min="1" max="1" width="15.7109375" style="18" customWidth="1"/>
    <col min="2" max="2" width="6.57421875" style="19" customWidth="1"/>
    <col min="3" max="3" width="9.140625" style="20" customWidth="1"/>
    <col min="4" max="4" width="1.57421875" style="21" customWidth="1"/>
    <col min="5" max="5" width="9.140625" style="20" customWidth="1"/>
    <col min="6" max="6" width="17.8515625" style="20" customWidth="1"/>
    <col min="7" max="7" width="5.421875" style="20" customWidth="1"/>
    <col min="8" max="8" width="17.8515625" style="20" customWidth="1"/>
    <col min="9" max="9" width="9.140625" style="22" customWidth="1"/>
    <col min="10" max="10" width="3.421875" style="22" customWidth="1"/>
    <col min="11" max="12" width="9.140625" style="22" customWidth="1"/>
    <col min="13" max="48" width="0" style="23" hidden="1" customWidth="1"/>
    <col min="49" max="16384" width="0" style="24" hidden="1" customWidth="1"/>
  </cols>
  <sheetData>
    <row r="1" spans="1:48" s="22" customFormat="1" ht="18">
      <c r="A1" s="25"/>
      <c r="B1" s="25"/>
      <c r="C1" s="20"/>
      <c r="D1" s="21"/>
      <c r="E1" s="20"/>
      <c r="F1" s="26" t="str">
        <f>+IF(Inställningar!$B$5="nej","GRUPP A","DELTAGANDE LAG")</f>
        <v>GRUPP A</v>
      </c>
      <c r="G1" s="26"/>
      <c r="H1" s="26" t="str">
        <f>+IF(Inställningar!$B$5="nej","GRUPP B","")</f>
        <v>GRUPP B</v>
      </c>
      <c r="I1" s="20"/>
      <c r="J1" s="20"/>
      <c r="K1" s="20"/>
      <c r="L1" s="20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6:12" ht="18">
      <c r="F2" s="29" t="str">
        <f>+IF(Inställningar!$B$5="nej",(Grupper!B1),Lottning!B2)</f>
        <v>Svalövs BK 2</v>
      </c>
      <c r="G2" s="29"/>
      <c r="H2" s="29" t="str">
        <f>+IF(Inställningar!$B$5="nej",(Grupper!B8),"")</f>
        <v>Svalövs BK 1</v>
      </c>
      <c r="I2" s="30"/>
      <c r="J2" s="20"/>
      <c r="K2" s="20"/>
      <c r="L2" s="20"/>
    </row>
    <row r="3" spans="6:12" ht="18">
      <c r="F3" s="29" t="str">
        <f>+IF(Inställningar!$B$5="nej",(Grupper!B2),Lottning!B3)</f>
        <v>Kågeröds BoIF</v>
      </c>
      <c r="G3" s="29"/>
      <c r="H3" s="29" t="str">
        <f>+IF(Inställningar!$B$5="nej",(Grupper!B9),"")</f>
        <v>Billeberga GIF</v>
      </c>
      <c r="I3" s="30"/>
      <c r="J3" s="20"/>
      <c r="K3" s="20"/>
      <c r="L3" s="20"/>
    </row>
    <row r="4" spans="6:12" ht="18">
      <c r="F4" s="29" t="str">
        <f>+IF(Inställningar!$B$5="nej",(Grupper!B3),Lottning!B4)</f>
        <v>Ekeby GIF</v>
      </c>
      <c r="G4" s="29"/>
      <c r="H4" s="29" t="str">
        <f>+IF(Inställningar!$B$5="nej",(Grupper!B10),"")</f>
        <v>Gantofta IF</v>
      </c>
      <c r="I4" s="30"/>
      <c r="J4" s="20"/>
      <c r="K4" s="20"/>
      <c r="L4" s="20"/>
    </row>
    <row r="5" spans="6:12" ht="18">
      <c r="F5" s="29" t="str">
        <f>+IF(Inställningar!$B$5="nej",(Grupper!B4),Lottning!B5)</f>
        <v>Marieholms IS</v>
      </c>
      <c r="G5" s="29"/>
      <c r="H5" s="29" t="str">
        <f>+IF(Inställningar!$B$5="nej",(Grupper!B11),"")</f>
        <v>IK Wormo</v>
      </c>
      <c r="I5" s="30"/>
      <c r="J5" s="20"/>
      <c r="K5" s="20"/>
      <c r="L5" s="20"/>
    </row>
    <row r="6" spans="6:12" ht="18">
      <c r="F6" s="29" t="str">
        <f>+IF(Inställningar!$B$5="nej",(Grupper!B5),Lottning!B6)</f>
        <v>Teckomatorps SK</v>
      </c>
      <c r="G6" s="29"/>
      <c r="H6" s="29" t="str">
        <f>+IF(Inställningar!$B$5="nej",(Grupper!B12),"")</f>
        <v>Eskilsminne IF</v>
      </c>
      <c r="I6" s="30"/>
      <c r="J6" s="20"/>
      <c r="K6" s="20"/>
      <c r="L6" s="20"/>
    </row>
    <row r="7" spans="6:12" ht="17.25">
      <c r="F7" s="29">
        <f>+IF(Inställningar!$B$5="ja",(Grupper!B6),"")</f>
      </c>
      <c r="I7" s="20"/>
      <c r="J7" s="20"/>
      <c r="K7" s="20"/>
      <c r="L7" s="20"/>
    </row>
    <row r="8" spans="6:48" ht="17.25">
      <c r="F8" s="29">
        <f>+IF(Inställningar!$B$5="ja",(Grupper!B7),"")</f>
      </c>
      <c r="I8" s="20"/>
      <c r="J8" s="20"/>
      <c r="K8" s="20"/>
      <c r="L8" s="20"/>
      <c r="M8" s="23" t="s">
        <v>58</v>
      </c>
      <c r="N8" s="23" t="s">
        <v>58</v>
      </c>
      <c r="O8" s="23" t="s">
        <v>58</v>
      </c>
      <c r="P8" s="23" t="s">
        <v>58</v>
      </c>
      <c r="Q8" s="23" t="s">
        <v>58</v>
      </c>
      <c r="R8" s="23" t="s">
        <v>58</v>
      </c>
      <c r="S8" s="23" t="s">
        <v>58</v>
      </c>
      <c r="T8" s="23" t="s">
        <v>58</v>
      </c>
      <c r="U8" s="23" t="s">
        <v>58</v>
      </c>
      <c r="V8" s="23" t="s">
        <v>58</v>
      </c>
      <c r="W8" s="23" t="s">
        <v>58</v>
      </c>
      <c r="X8" s="23" t="s">
        <v>58</v>
      </c>
      <c r="Y8" s="23" t="s">
        <v>59</v>
      </c>
      <c r="Z8" s="23" t="s">
        <v>59</v>
      </c>
      <c r="AA8" s="23" t="s">
        <v>59</v>
      </c>
      <c r="AB8" s="23" t="s">
        <v>59</v>
      </c>
      <c r="AC8" s="23" t="s">
        <v>59</v>
      </c>
      <c r="AD8" s="23" t="s">
        <v>59</v>
      </c>
      <c r="AE8" s="23" t="s">
        <v>59</v>
      </c>
      <c r="AF8" s="23" t="s">
        <v>59</v>
      </c>
      <c r="AG8" s="23" t="s">
        <v>59</v>
      </c>
      <c r="AH8" s="23" t="s">
        <v>59</v>
      </c>
      <c r="AI8" s="23" t="s">
        <v>59</v>
      </c>
      <c r="AJ8" s="23" t="s">
        <v>59</v>
      </c>
      <c r="AK8" s="23" t="s">
        <v>60</v>
      </c>
      <c r="AL8" s="23" t="s">
        <v>60</v>
      </c>
      <c r="AM8" s="23" t="s">
        <v>60</v>
      </c>
      <c r="AN8" s="23" t="s">
        <v>60</v>
      </c>
      <c r="AO8" s="23" t="s">
        <v>60</v>
      </c>
      <c r="AP8" s="23" t="s">
        <v>60</v>
      </c>
      <c r="AQ8" s="23" t="s">
        <v>60</v>
      </c>
      <c r="AR8" s="23" t="s">
        <v>60</v>
      </c>
      <c r="AS8" s="23" t="s">
        <v>60</v>
      </c>
      <c r="AT8" s="23" t="s">
        <v>60</v>
      </c>
      <c r="AU8" s="23" t="s">
        <v>60</v>
      </c>
      <c r="AV8" s="23" t="s">
        <v>60</v>
      </c>
    </row>
    <row r="9" spans="1:48" s="33" customFormat="1" ht="17.25">
      <c r="A9" s="18" t="s">
        <v>61</v>
      </c>
      <c r="B9" s="19" t="s">
        <v>62</v>
      </c>
      <c r="C9" s="19" t="s">
        <v>63</v>
      </c>
      <c r="D9" s="26"/>
      <c r="E9" s="19" t="s">
        <v>64</v>
      </c>
      <c r="F9" s="19"/>
      <c r="G9" s="19"/>
      <c r="H9" s="19"/>
      <c r="I9" s="31" t="s">
        <v>65</v>
      </c>
      <c r="J9" s="31"/>
      <c r="K9" s="31"/>
      <c r="L9" s="31" t="s">
        <v>66</v>
      </c>
      <c r="M9" s="32" t="str">
        <f>+$F$2</f>
        <v>Svalövs BK 2</v>
      </c>
      <c r="N9" s="32" t="str">
        <f>+$F$3</f>
        <v>Kågeröds BoIF</v>
      </c>
      <c r="O9" s="32" t="str">
        <f>+$F$4</f>
        <v>Ekeby GIF</v>
      </c>
      <c r="P9" s="32" t="str">
        <f>+$F$5</f>
        <v>Marieholms IS</v>
      </c>
      <c r="Q9" s="32" t="str">
        <f>+$F$6</f>
        <v>Teckomatorps SK</v>
      </c>
      <c r="R9" s="32">
        <f>F7</f>
      </c>
      <c r="S9" s="32">
        <f>F8</f>
      </c>
      <c r="T9" s="32" t="str">
        <f>+$H$2</f>
        <v>Svalövs BK 1</v>
      </c>
      <c r="U9" s="32" t="str">
        <f>+$H$3</f>
        <v>Billeberga GIF</v>
      </c>
      <c r="V9" s="32" t="str">
        <f>+$H$4</f>
        <v>Gantofta IF</v>
      </c>
      <c r="W9" s="32" t="str">
        <f>+$H$5</f>
        <v>IK Wormo</v>
      </c>
      <c r="X9" s="32" t="str">
        <f>+H$6</f>
        <v>Eskilsminne IF</v>
      </c>
      <c r="Y9" s="32" t="str">
        <f>+$F$2</f>
        <v>Svalövs BK 2</v>
      </c>
      <c r="Z9" s="32" t="str">
        <f>+$F$3</f>
        <v>Kågeröds BoIF</v>
      </c>
      <c r="AA9" s="32" t="str">
        <f>+$F$4</f>
        <v>Ekeby GIF</v>
      </c>
      <c r="AB9" s="32" t="str">
        <f>+$F$5</f>
        <v>Marieholms IS</v>
      </c>
      <c r="AC9" s="32" t="str">
        <f>+$F$6</f>
        <v>Teckomatorps SK</v>
      </c>
      <c r="AD9" s="32">
        <f>F7</f>
      </c>
      <c r="AE9" s="32">
        <f>F8</f>
      </c>
      <c r="AF9" s="32" t="str">
        <f>+$H$2</f>
        <v>Svalövs BK 1</v>
      </c>
      <c r="AG9" s="32" t="str">
        <f>+$H$3</f>
        <v>Billeberga GIF</v>
      </c>
      <c r="AH9" s="32" t="str">
        <f>+$H$4</f>
        <v>Gantofta IF</v>
      </c>
      <c r="AI9" s="32" t="str">
        <f>+$H$5</f>
        <v>IK Wormo</v>
      </c>
      <c r="AJ9" s="32" t="str">
        <f>+$H$6</f>
        <v>Eskilsminne IF</v>
      </c>
      <c r="AK9" s="32" t="str">
        <f>+$F$2</f>
        <v>Svalövs BK 2</v>
      </c>
      <c r="AL9" s="32" t="str">
        <f>+$F$3</f>
        <v>Kågeröds BoIF</v>
      </c>
      <c r="AM9" s="32" t="str">
        <f>+$F$4</f>
        <v>Ekeby GIF</v>
      </c>
      <c r="AN9" s="32" t="str">
        <f>+$F$5</f>
        <v>Marieholms IS</v>
      </c>
      <c r="AO9" s="32" t="str">
        <f>+$F$6</f>
        <v>Teckomatorps SK</v>
      </c>
      <c r="AP9" s="32">
        <f>F7</f>
      </c>
      <c r="AQ9" s="32">
        <f>F8</f>
      </c>
      <c r="AR9" s="32" t="str">
        <f>+$H$2</f>
        <v>Svalövs BK 1</v>
      </c>
      <c r="AS9" s="32" t="str">
        <f>+$H$3</f>
        <v>Billeberga GIF</v>
      </c>
      <c r="AT9" s="32" t="str">
        <f>+$H$4</f>
        <v>Gantofta IF</v>
      </c>
      <c r="AU9" s="32" t="str">
        <f>+$H$5</f>
        <v>IK Wormo</v>
      </c>
      <c r="AV9" s="32" t="str">
        <f>+$H$6</f>
        <v>Eskilsminne IF</v>
      </c>
    </row>
    <row r="10" spans="1:48" s="1" customFormat="1" ht="5.25" customHeight="1">
      <c r="A10" s="34"/>
      <c r="B10" s="35"/>
      <c r="C10" s="36"/>
      <c r="D10" s="37"/>
      <c r="E10" s="36"/>
      <c r="F10" s="38"/>
      <c r="G10" s="37"/>
      <c r="H10" s="38"/>
      <c r="I10" s="38"/>
      <c r="J10" s="37"/>
      <c r="K10" s="38"/>
      <c r="L10" s="3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1:48" ht="17.25">
      <c r="A11" s="40">
        <f>IF(Inställningar!$B$5="JA",Tider!E3,Tider!A3)</f>
        <v>1</v>
      </c>
      <c r="B11" s="41" t="str">
        <f>+VLOOKUP(F11,Grupper!$B$1:$C$12,2,FALSE)</f>
        <v>A</v>
      </c>
      <c r="C11" s="42">
        <f>IF(AND(Lottning!$B$2&gt;0,OR(F11=F10,F11=H10,H11=F10,H11=H10)),Tider!B3+Inställningar!$B$3,Tider!B3)</f>
        <v>0.3333333333333333</v>
      </c>
      <c r="D11" s="21" t="s">
        <v>67</v>
      </c>
      <c r="E11" s="42">
        <f>IF(AND(Lottning!$B$2&gt;0,OR(F11=F10,F11=H10,H11=F10,H11=H10)),Tider!C3+Inställningar!$B$3,Tider!C3)</f>
        <v>0.3416666666666667</v>
      </c>
      <c r="F11" s="20" t="str">
        <f>+VLOOKUP(Spelordning!B2,Lottning!$A$1:$B$13,2,FALSE)</f>
        <v>Svalövs BK 2</v>
      </c>
      <c r="G11" s="21" t="s">
        <v>67</v>
      </c>
      <c r="H11" s="20" t="str">
        <f>+VLOOKUP(Spelordning!C2,Lottning!$A$1:$B$13,2,FALSE)</f>
        <v>Kågeröds BoIF</v>
      </c>
      <c r="J11" s="21" t="s">
        <v>67</v>
      </c>
      <c r="L11" s="43"/>
      <c r="M11" s="23">
        <f aca="true" t="shared" si="0" ref="M11:X18">IF($L11="X",(OR(AND(M$9=$F11,$I11&gt;$K11,$L11="X"),AND(M$9=$H11,$K11&gt;$I11,$L11="X"))),0)</f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23">
        <f t="shared" si="0"/>
        <v>0</v>
      </c>
      <c r="S11" s="23">
        <f t="shared" si="0"/>
        <v>0</v>
      </c>
      <c r="T11" s="23">
        <f t="shared" si="0"/>
        <v>0</v>
      </c>
      <c r="U11" s="23">
        <f t="shared" si="0"/>
        <v>0</v>
      </c>
      <c r="V11" s="23">
        <f t="shared" si="0"/>
        <v>0</v>
      </c>
      <c r="W11" s="23">
        <f t="shared" si="0"/>
        <v>0</v>
      </c>
      <c r="X11" s="23">
        <f t="shared" si="0"/>
        <v>0</v>
      </c>
      <c r="Y11" s="23">
        <f aca="true" t="shared" si="1" ref="Y11:AJ18">IF($L11="X",(OR(AND(Y$9=$F11,$I11&lt;$K11,$L11="X"),AND(Y$9=$H11,$K11&lt;$I11,$L11="X"))),0)</f>
        <v>0</v>
      </c>
      <c r="Z11" s="23">
        <f t="shared" si="1"/>
        <v>0</v>
      </c>
      <c r="AA11" s="23">
        <f t="shared" si="1"/>
        <v>0</v>
      </c>
      <c r="AB11" s="23">
        <f t="shared" si="1"/>
        <v>0</v>
      </c>
      <c r="AC11" s="23">
        <f t="shared" si="1"/>
        <v>0</v>
      </c>
      <c r="AD11" s="23">
        <f t="shared" si="1"/>
        <v>0</v>
      </c>
      <c r="AE11" s="23">
        <f t="shared" si="1"/>
        <v>0</v>
      </c>
      <c r="AF11" s="23">
        <f t="shared" si="1"/>
        <v>0</v>
      </c>
      <c r="AG11" s="23">
        <f t="shared" si="1"/>
        <v>0</v>
      </c>
      <c r="AH11" s="23">
        <f t="shared" si="1"/>
        <v>0</v>
      </c>
      <c r="AI11" s="23">
        <f t="shared" si="1"/>
        <v>0</v>
      </c>
      <c r="AJ11" s="23">
        <f t="shared" si="1"/>
        <v>0</v>
      </c>
      <c r="AK11" s="23">
        <f aca="true" t="shared" si="2" ref="AK11:AV18">IF($L11="X",(OR(AND(AK$9=$F11,$I11=$K11,$L11="X"),AND(AK$9=$H11,$K11=$I11,$L11="X"))),0)</f>
        <v>0</v>
      </c>
      <c r="AL11" s="23">
        <f t="shared" si="2"/>
        <v>0</v>
      </c>
      <c r="AM11" s="23">
        <f t="shared" si="2"/>
        <v>0</v>
      </c>
      <c r="AN11" s="23">
        <f t="shared" si="2"/>
        <v>0</v>
      </c>
      <c r="AO11" s="23">
        <f t="shared" si="2"/>
        <v>0</v>
      </c>
      <c r="AP11" s="23">
        <f t="shared" si="2"/>
        <v>0</v>
      </c>
      <c r="AQ11" s="23">
        <f t="shared" si="2"/>
        <v>0</v>
      </c>
      <c r="AR11" s="23">
        <f t="shared" si="2"/>
        <v>0</v>
      </c>
      <c r="AS11" s="23">
        <f t="shared" si="2"/>
        <v>0</v>
      </c>
      <c r="AT11" s="23">
        <f t="shared" si="2"/>
        <v>0</v>
      </c>
      <c r="AU11" s="23">
        <f t="shared" si="2"/>
        <v>0</v>
      </c>
      <c r="AV11" s="23">
        <f t="shared" si="2"/>
        <v>0</v>
      </c>
    </row>
    <row r="12" spans="1:48" ht="17.25">
      <c r="A12" s="40">
        <f>IF(Inställningar!$B$5="JA",Tider!E4,Tider!A4)</f>
        <v>2</v>
      </c>
      <c r="B12" s="41" t="str">
        <f>+VLOOKUP(F12,Grupper!$B$1:$C$12,2,FALSE)</f>
        <v>A</v>
      </c>
      <c r="C12" s="42">
        <f>IF(AND(Lottning!$B$2&gt;0,OR(F12=F11,F12=H11,H12=F11,H12=H11)),Tider!B4+Inställningar!$B$3,Tider!B4)</f>
        <v>0.3423611111111111</v>
      </c>
      <c r="D12" s="21" t="s">
        <v>67</v>
      </c>
      <c r="E12" s="42">
        <f>IF(AND(Lottning!$B$2&gt;0,OR(F12=F11,F12=H11,H12=F11,H12=H11)),Tider!C4+Inställningar!$B$3,Tider!C4)</f>
        <v>0.3506944444444445</v>
      </c>
      <c r="F12" s="20" t="str">
        <f>+VLOOKUP(Spelordning!B3,Lottning!$A$1:$B$13,2,FALSE)</f>
        <v>Ekeby GIF</v>
      </c>
      <c r="G12" s="21" t="s">
        <v>67</v>
      </c>
      <c r="H12" s="20" t="str">
        <f>+VLOOKUP(Spelordning!C3,Lottning!$A$1:$B$13,2,FALSE)</f>
        <v>Marieholms IS</v>
      </c>
      <c r="J12" s="21" t="s">
        <v>67</v>
      </c>
      <c r="L12" s="43"/>
      <c r="M12" s="23">
        <f t="shared" si="0"/>
        <v>0</v>
      </c>
      <c r="N12" s="23">
        <f t="shared" si="0"/>
        <v>0</v>
      </c>
      <c r="O12" s="23">
        <f t="shared" si="0"/>
        <v>0</v>
      </c>
      <c r="P12" s="23">
        <f t="shared" si="0"/>
        <v>0</v>
      </c>
      <c r="Q12" s="23">
        <f t="shared" si="0"/>
        <v>0</v>
      </c>
      <c r="R12" s="23">
        <f t="shared" si="0"/>
        <v>0</v>
      </c>
      <c r="S12" s="23">
        <f t="shared" si="0"/>
        <v>0</v>
      </c>
      <c r="T12" s="23">
        <f t="shared" si="0"/>
        <v>0</v>
      </c>
      <c r="U12" s="23">
        <f t="shared" si="0"/>
        <v>0</v>
      </c>
      <c r="V12" s="23">
        <f t="shared" si="0"/>
        <v>0</v>
      </c>
      <c r="W12" s="23">
        <f t="shared" si="0"/>
        <v>0</v>
      </c>
      <c r="X12" s="23">
        <f t="shared" si="0"/>
        <v>0</v>
      </c>
      <c r="Y12" s="23">
        <f t="shared" si="1"/>
        <v>0</v>
      </c>
      <c r="Z12" s="23">
        <f t="shared" si="1"/>
        <v>0</v>
      </c>
      <c r="AA12" s="23">
        <f t="shared" si="1"/>
        <v>0</v>
      </c>
      <c r="AB12" s="23">
        <f t="shared" si="1"/>
        <v>0</v>
      </c>
      <c r="AC12" s="23">
        <f t="shared" si="1"/>
        <v>0</v>
      </c>
      <c r="AD12" s="23">
        <f t="shared" si="1"/>
        <v>0</v>
      </c>
      <c r="AE12" s="23">
        <f t="shared" si="1"/>
        <v>0</v>
      </c>
      <c r="AF12" s="23">
        <f t="shared" si="1"/>
        <v>0</v>
      </c>
      <c r="AG12" s="23">
        <f t="shared" si="1"/>
        <v>0</v>
      </c>
      <c r="AH12" s="23">
        <f t="shared" si="1"/>
        <v>0</v>
      </c>
      <c r="AI12" s="23">
        <f t="shared" si="1"/>
        <v>0</v>
      </c>
      <c r="AJ12" s="23">
        <f t="shared" si="1"/>
        <v>0</v>
      </c>
      <c r="AK12" s="23">
        <f t="shared" si="2"/>
        <v>0</v>
      </c>
      <c r="AL12" s="23">
        <f t="shared" si="2"/>
        <v>0</v>
      </c>
      <c r="AM12" s="23">
        <f t="shared" si="2"/>
        <v>0</v>
      </c>
      <c r="AN12" s="23">
        <f t="shared" si="2"/>
        <v>0</v>
      </c>
      <c r="AO12" s="23">
        <f t="shared" si="2"/>
        <v>0</v>
      </c>
      <c r="AP12" s="23">
        <f t="shared" si="2"/>
        <v>0</v>
      </c>
      <c r="AQ12" s="23">
        <f t="shared" si="2"/>
        <v>0</v>
      </c>
      <c r="AR12" s="23">
        <f t="shared" si="2"/>
        <v>0</v>
      </c>
      <c r="AS12" s="23">
        <f t="shared" si="2"/>
        <v>0</v>
      </c>
      <c r="AT12" s="23">
        <f t="shared" si="2"/>
        <v>0</v>
      </c>
      <c r="AU12" s="23">
        <f t="shared" si="2"/>
        <v>0</v>
      </c>
      <c r="AV12" s="23">
        <f t="shared" si="2"/>
        <v>0</v>
      </c>
    </row>
    <row r="13" spans="1:48" ht="17.25">
      <c r="A13" s="40">
        <f>IF(Inställningar!$B$5="JA",Tider!E5,Tider!A5)</f>
        <v>3</v>
      </c>
      <c r="B13" s="41" t="str">
        <f>+VLOOKUP(F13,Grupper!$B$1:$C$12,2,FALSE)</f>
        <v>B</v>
      </c>
      <c r="C13" s="42">
        <f>IF(AND(Lottning!$B$2&gt;0,OR(F13=F12,F13=H12,H13=F12,H13=H12)),Tider!B5+Inställningar!$B$3,Tider!B5)</f>
        <v>0.3513888888888889</v>
      </c>
      <c r="D13" s="21" t="s">
        <v>67</v>
      </c>
      <c r="E13" s="42">
        <f>IF(AND(Lottning!$B$2&gt;0,OR(F13=F12,F13=H12,H13=F12,H13=H12)),Tider!C5+Inställningar!$B$3,Tider!C5)</f>
        <v>0.3597222222222223</v>
      </c>
      <c r="F13" s="20" t="str">
        <f>+VLOOKUP(Spelordning!B4,Lottning!$A$1:$B$13,2,FALSE)</f>
        <v>Svalövs BK 1</v>
      </c>
      <c r="G13" s="21" t="s">
        <v>67</v>
      </c>
      <c r="H13" s="20" t="str">
        <f>+VLOOKUP(Spelordning!C4,Lottning!$A$1:$B$13,2,FALSE)</f>
        <v>Billeberga GIF</v>
      </c>
      <c r="J13" s="21" t="s">
        <v>67</v>
      </c>
      <c r="L13" s="43"/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0</v>
      </c>
      <c r="U13" s="23">
        <f t="shared" si="0"/>
        <v>0</v>
      </c>
      <c r="V13" s="23">
        <f t="shared" si="0"/>
        <v>0</v>
      </c>
      <c r="W13" s="23">
        <f t="shared" si="0"/>
        <v>0</v>
      </c>
      <c r="X13" s="23">
        <f t="shared" si="0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3">
        <f t="shared" si="1"/>
        <v>0</v>
      </c>
      <c r="AI13" s="23">
        <f t="shared" si="1"/>
        <v>0</v>
      </c>
      <c r="AJ13" s="23">
        <f t="shared" si="1"/>
        <v>0</v>
      </c>
      <c r="AK13" s="23">
        <f t="shared" si="2"/>
        <v>0</v>
      </c>
      <c r="AL13" s="23">
        <f t="shared" si="2"/>
        <v>0</v>
      </c>
      <c r="AM13" s="23">
        <f t="shared" si="2"/>
        <v>0</v>
      </c>
      <c r="AN13" s="23">
        <f t="shared" si="2"/>
        <v>0</v>
      </c>
      <c r="AO13" s="23">
        <f t="shared" si="2"/>
        <v>0</v>
      </c>
      <c r="AP13" s="23">
        <f t="shared" si="2"/>
        <v>0</v>
      </c>
      <c r="AQ13" s="23">
        <f t="shared" si="2"/>
        <v>0</v>
      </c>
      <c r="AR13" s="23">
        <f t="shared" si="2"/>
        <v>0</v>
      </c>
      <c r="AS13" s="23">
        <f t="shared" si="2"/>
        <v>0</v>
      </c>
      <c r="AT13" s="23">
        <f t="shared" si="2"/>
        <v>0</v>
      </c>
      <c r="AU13" s="23">
        <f t="shared" si="2"/>
        <v>0</v>
      </c>
      <c r="AV13" s="23">
        <f t="shared" si="2"/>
        <v>0</v>
      </c>
    </row>
    <row r="14" spans="1:48" ht="17.25">
      <c r="A14" s="40">
        <f>IF(Inställningar!$B$5="JA",Tider!E6,Tider!A6)</f>
        <v>4</v>
      </c>
      <c r="B14" s="41" t="str">
        <f>+VLOOKUP(F14,Grupper!$B$1:$C$12,2,FALSE)</f>
        <v>B</v>
      </c>
      <c r="C14" s="42">
        <f>IF(AND(Lottning!$B$2&gt;0,OR(F14=F13,F14=H13,H14=F13,H14=H13)),Tider!B6+Inställningar!$B$3,Tider!B6)</f>
        <v>0.3604166666666667</v>
      </c>
      <c r="D14" s="21" t="s">
        <v>67</v>
      </c>
      <c r="E14" s="42">
        <f>IF(AND(Lottning!$B$2&gt;0,OR(F14=F13,F14=H13,H14=F13,H14=H13)),Tider!C6+Inställningar!$B$3,Tider!C6)</f>
        <v>0.3687500000000001</v>
      </c>
      <c r="F14" s="20" t="str">
        <f>+VLOOKUP(Spelordning!B5,Lottning!$A$1:$B$13,2,FALSE)</f>
        <v>Gantofta IF</v>
      </c>
      <c r="G14" s="21" t="s">
        <v>67</v>
      </c>
      <c r="H14" s="20" t="str">
        <f>+VLOOKUP(Spelordning!C5,Lottning!$A$1:$B$13,2,FALSE)</f>
        <v>IK Wormo</v>
      </c>
      <c r="J14" s="21" t="s">
        <v>67</v>
      </c>
      <c r="L14" s="43"/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23">
        <f t="shared" si="0"/>
        <v>0</v>
      </c>
      <c r="T14" s="23">
        <f t="shared" si="0"/>
        <v>0</v>
      </c>
      <c r="U14" s="23">
        <f t="shared" si="0"/>
        <v>0</v>
      </c>
      <c r="V14" s="23">
        <f t="shared" si="0"/>
        <v>0</v>
      </c>
      <c r="W14" s="23">
        <f t="shared" si="0"/>
        <v>0</v>
      </c>
      <c r="X14" s="23">
        <f t="shared" si="0"/>
        <v>0</v>
      </c>
      <c r="Y14" s="23">
        <f t="shared" si="1"/>
        <v>0</v>
      </c>
      <c r="Z14" s="23">
        <f t="shared" si="1"/>
        <v>0</v>
      </c>
      <c r="AA14" s="23">
        <f t="shared" si="1"/>
        <v>0</v>
      </c>
      <c r="AB14" s="23">
        <f t="shared" si="1"/>
        <v>0</v>
      </c>
      <c r="AC14" s="23">
        <f t="shared" si="1"/>
        <v>0</v>
      </c>
      <c r="AD14" s="23">
        <f t="shared" si="1"/>
        <v>0</v>
      </c>
      <c r="AE14" s="23">
        <f t="shared" si="1"/>
        <v>0</v>
      </c>
      <c r="AF14" s="23">
        <f t="shared" si="1"/>
        <v>0</v>
      </c>
      <c r="AG14" s="23">
        <f t="shared" si="1"/>
        <v>0</v>
      </c>
      <c r="AH14" s="23">
        <f t="shared" si="1"/>
        <v>0</v>
      </c>
      <c r="AI14" s="23">
        <f t="shared" si="1"/>
        <v>0</v>
      </c>
      <c r="AJ14" s="23">
        <f t="shared" si="1"/>
        <v>0</v>
      </c>
      <c r="AK14" s="23">
        <f t="shared" si="2"/>
        <v>0</v>
      </c>
      <c r="AL14" s="23">
        <f t="shared" si="2"/>
        <v>0</v>
      </c>
      <c r="AM14" s="23">
        <f t="shared" si="2"/>
        <v>0</v>
      </c>
      <c r="AN14" s="23">
        <f t="shared" si="2"/>
        <v>0</v>
      </c>
      <c r="AO14" s="23">
        <f t="shared" si="2"/>
        <v>0</v>
      </c>
      <c r="AP14" s="23">
        <f t="shared" si="2"/>
        <v>0</v>
      </c>
      <c r="AQ14" s="23">
        <f t="shared" si="2"/>
        <v>0</v>
      </c>
      <c r="AR14" s="23">
        <f t="shared" si="2"/>
        <v>0</v>
      </c>
      <c r="AS14" s="23">
        <f t="shared" si="2"/>
        <v>0</v>
      </c>
      <c r="AT14" s="23">
        <f t="shared" si="2"/>
        <v>0</v>
      </c>
      <c r="AU14" s="23">
        <f t="shared" si="2"/>
        <v>0</v>
      </c>
      <c r="AV14" s="23">
        <f t="shared" si="2"/>
        <v>0</v>
      </c>
    </row>
    <row r="15" spans="1:48" s="1" customFormat="1" ht="5.25" customHeight="1">
      <c r="A15" s="34"/>
      <c r="B15" s="35"/>
      <c r="C15" s="36"/>
      <c r="D15" s="37"/>
      <c r="E15" s="36"/>
      <c r="F15" s="38"/>
      <c r="G15" s="37"/>
      <c r="H15" s="38"/>
      <c r="I15" s="38"/>
      <c r="J15" s="37"/>
      <c r="K15" s="38"/>
      <c r="L15" s="38"/>
      <c r="M15" s="23">
        <f t="shared" si="0"/>
        <v>0</v>
      </c>
      <c r="N15" s="23">
        <f t="shared" si="0"/>
        <v>0</v>
      </c>
      <c r="O15" s="23">
        <f t="shared" si="0"/>
        <v>0</v>
      </c>
      <c r="P15" s="23">
        <f t="shared" si="0"/>
        <v>0</v>
      </c>
      <c r="Q15" s="23">
        <f t="shared" si="0"/>
        <v>0</v>
      </c>
      <c r="R15" s="23">
        <f t="shared" si="0"/>
        <v>0</v>
      </c>
      <c r="S15" s="23">
        <f t="shared" si="0"/>
        <v>0</v>
      </c>
      <c r="T15" s="23">
        <f t="shared" si="0"/>
        <v>0</v>
      </c>
      <c r="U15" s="23">
        <f t="shared" si="0"/>
        <v>0</v>
      </c>
      <c r="V15" s="23">
        <f t="shared" si="0"/>
        <v>0</v>
      </c>
      <c r="W15" s="23">
        <f t="shared" si="0"/>
        <v>0</v>
      </c>
      <c r="X15" s="23">
        <f t="shared" si="0"/>
        <v>0</v>
      </c>
      <c r="Y15" s="23">
        <f t="shared" si="1"/>
        <v>0</v>
      </c>
      <c r="Z15" s="23">
        <f t="shared" si="1"/>
        <v>0</v>
      </c>
      <c r="AA15" s="23">
        <f t="shared" si="1"/>
        <v>0</v>
      </c>
      <c r="AB15" s="23">
        <f t="shared" si="1"/>
        <v>0</v>
      </c>
      <c r="AC15" s="23">
        <f t="shared" si="1"/>
        <v>0</v>
      </c>
      <c r="AD15" s="23">
        <f t="shared" si="1"/>
        <v>0</v>
      </c>
      <c r="AE15" s="23">
        <f t="shared" si="1"/>
        <v>0</v>
      </c>
      <c r="AF15" s="23">
        <f t="shared" si="1"/>
        <v>0</v>
      </c>
      <c r="AG15" s="23">
        <f t="shared" si="1"/>
        <v>0</v>
      </c>
      <c r="AH15" s="23">
        <f t="shared" si="1"/>
        <v>0</v>
      </c>
      <c r="AI15" s="23">
        <f t="shared" si="1"/>
        <v>0</v>
      </c>
      <c r="AJ15" s="23">
        <f t="shared" si="1"/>
        <v>0</v>
      </c>
      <c r="AK15" s="23">
        <f t="shared" si="2"/>
        <v>0</v>
      </c>
      <c r="AL15" s="23">
        <f t="shared" si="2"/>
        <v>0</v>
      </c>
      <c r="AM15" s="23">
        <f t="shared" si="2"/>
        <v>0</v>
      </c>
      <c r="AN15" s="23">
        <f t="shared" si="2"/>
        <v>0</v>
      </c>
      <c r="AO15" s="23">
        <f t="shared" si="2"/>
        <v>0</v>
      </c>
      <c r="AP15" s="23">
        <f t="shared" si="2"/>
        <v>0</v>
      </c>
      <c r="AQ15" s="23">
        <f t="shared" si="2"/>
        <v>0</v>
      </c>
      <c r="AR15" s="23">
        <f t="shared" si="2"/>
        <v>0</v>
      </c>
      <c r="AS15" s="23">
        <f t="shared" si="2"/>
        <v>0</v>
      </c>
      <c r="AT15" s="23">
        <f t="shared" si="2"/>
        <v>0</v>
      </c>
      <c r="AU15" s="23">
        <f t="shared" si="2"/>
        <v>0</v>
      </c>
      <c r="AV15" s="23">
        <f t="shared" si="2"/>
        <v>0</v>
      </c>
    </row>
    <row r="16" spans="1:48" ht="17.25">
      <c r="A16" s="40">
        <f>IF(Inställningar!$B$5="JA",Tider!E7,Tider!A7)</f>
        <v>5</v>
      </c>
      <c r="B16" s="41" t="str">
        <f>+VLOOKUP(F16,Grupper!$B$1:$C$12,2,FALSE)</f>
        <v>A</v>
      </c>
      <c r="C16" s="42">
        <f>IF(AND(Lottning!$B$2&gt;0,OR(F16=F15,F16=H15,H16=F15,H16=H15)),Tider!B7+Inställningar!$B$3,Tider!B7)</f>
        <v>0.3694444444444445</v>
      </c>
      <c r="D16" s="21" t="s">
        <v>67</v>
      </c>
      <c r="E16" s="42">
        <f>IF(AND(Lottning!$B$2&gt;0,OR(F16=F15,F16=H15,H16=F15,H16=H15)),Tider!C7+Inställningar!$B$3,Tider!C7)</f>
        <v>0.3777777777777779</v>
      </c>
      <c r="F16" s="20" t="str">
        <f>+VLOOKUP(Spelordning!B6,Lottning!$A$1:$B$13,2,FALSE)</f>
        <v>Teckomatorps SK</v>
      </c>
      <c r="G16" s="21" t="s">
        <v>67</v>
      </c>
      <c r="H16" s="20" t="str">
        <f>+VLOOKUP(Spelordning!C6,Lottning!$A$1:$B$13,2,FALSE)</f>
        <v>Svalövs BK 2</v>
      </c>
      <c r="J16" s="21" t="s">
        <v>67</v>
      </c>
      <c r="L16" s="43"/>
      <c r="M16" s="23">
        <f t="shared" si="0"/>
        <v>0</v>
      </c>
      <c r="N16" s="23">
        <f t="shared" si="0"/>
        <v>0</v>
      </c>
      <c r="O16" s="23">
        <f t="shared" si="0"/>
        <v>0</v>
      </c>
      <c r="P16" s="23">
        <f t="shared" si="0"/>
        <v>0</v>
      </c>
      <c r="Q16" s="23">
        <f t="shared" si="0"/>
        <v>0</v>
      </c>
      <c r="R16" s="23">
        <f t="shared" si="0"/>
        <v>0</v>
      </c>
      <c r="S16" s="23">
        <f t="shared" si="0"/>
        <v>0</v>
      </c>
      <c r="T16" s="23">
        <f t="shared" si="0"/>
        <v>0</v>
      </c>
      <c r="U16" s="23">
        <f t="shared" si="0"/>
        <v>0</v>
      </c>
      <c r="V16" s="23">
        <f t="shared" si="0"/>
        <v>0</v>
      </c>
      <c r="W16" s="23">
        <f t="shared" si="0"/>
        <v>0</v>
      </c>
      <c r="X16" s="23">
        <f t="shared" si="0"/>
        <v>0</v>
      </c>
      <c r="Y16" s="23">
        <f t="shared" si="1"/>
        <v>0</v>
      </c>
      <c r="Z16" s="23">
        <f t="shared" si="1"/>
        <v>0</v>
      </c>
      <c r="AA16" s="23">
        <f t="shared" si="1"/>
        <v>0</v>
      </c>
      <c r="AB16" s="23">
        <f t="shared" si="1"/>
        <v>0</v>
      </c>
      <c r="AC16" s="23">
        <f t="shared" si="1"/>
        <v>0</v>
      </c>
      <c r="AD16" s="23">
        <f t="shared" si="1"/>
        <v>0</v>
      </c>
      <c r="AE16" s="23">
        <f t="shared" si="1"/>
        <v>0</v>
      </c>
      <c r="AF16" s="23">
        <f t="shared" si="1"/>
        <v>0</v>
      </c>
      <c r="AG16" s="23">
        <f t="shared" si="1"/>
        <v>0</v>
      </c>
      <c r="AH16" s="23">
        <f t="shared" si="1"/>
        <v>0</v>
      </c>
      <c r="AI16" s="23">
        <f t="shared" si="1"/>
        <v>0</v>
      </c>
      <c r="AJ16" s="23">
        <f t="shared" si="1"/>
        <v>0</v>
      </c>
      <c r="AK16" s="23">
        <f t="shared" si="2"/>
        <v>0</v>
      </c>
      <c r="AL16" s="23">
        <f t="shared" si="2"/>
        <v>0</v>
      </c>
      <c r="AM16" s="23">
        <f t="shared" si="2"/>
        <v>0</v>
      </c>
      <c r="AN16" s="23">
        <f t="shared" si="2"/>
        <v>0</v>
      </c>
      <c r="AO16" s="23">
        <f t="shared" si="2"/>
        <v>0</v>
      </c>
      <c r="AP16" s="23">
        <f t="shared" si="2"/>
        <v>0</v>
      </c>
      <c r="AQ16" s="23">
        <f t="shared" si="2"/>
        <v>0</v>
      </c>
      <c r="AR16" s="23">
        <f t="shared" si="2"/>
        <v>0</v>
      </c>
      <c r="AS16" s="23">
        <f t="shared" si="2"/>
        <v>0</v>
      </c>
      <c r="AT16" s="23">
        <f t="shared" si="2"/>
        <v>0</v>
      </c>
      <c r="AU16" s="23">
        <f t="shared" si="2"/>
        <v>0</v>
      </c>
      <c r="AV16" s="23">
        <f t="shared" si="2"/>
        <v>0</v>
      </c>
    </row>
    <row r="17" spans="1:48" ht="17.25">
      <c r="A17" s="40">
        <f>IF(Inställningar!$B$5="JA",Tider!E8,Tider!A8)</f>
        <v>6</v>
      </c>
      <c r="B17" s="41" t="str">
        <f>+VLOOKUP(F17,Grupper!$B$1:$C$12,2,FALSE)</f>
        <v>A</v>
      </c>
      <c r="C17" s="42">
        <f>IF(AND(Lottning!$B$2&gt;0,OR(F17=F16,F17=H16,H17=F16,H17=H16)),Tider!B8+Inställningar!$B$3,Tider!B8)</f>
        <v>0.3784722222222223</v>
      </c>
      <c r="D17" s="21" t="s">
        <v>67</v>
      </c>
      <c r="E17" s="42">
        <f>IF(AND(Lottning!$B$2&gt;0,OR(F17=F16,F17=H16,H17=F16,H17=H16)),Tider!C8+Inställningar!$B$3,Tider!C8)</f>
        <v>0.3868055555555557</v>
      </c>
      <c r="F17" s="20" t="str">
        <f>+VLOOKUP(Spelordning!B7,Lottning!$A$1:$B$13,2,FALSE)</f>
        <v>Kågeröds BoIF</v>
      </c>
      <c r="G17" s="21" t="s">
        <v>67</v>
      </c>
      <c r="H17" s="20" t="str">
        <f>+VLOOKUP(Spelordning!C7,Lottning!$A$1:$B$13,2,FALSE)</f>
        <v>Ekeby GIF</v>
      </c>
      <c r="J17" s="21" t="s">
        <v>67</v>
      </c>
      <c r="L17" s="43"/>
      <c r="M17" s="23">
        <f t="shared" si="0"/>
        <v>0</v>
      </c>
      <c r="N17" s="23">
        <f t="shared" si="0"/>
        <v>0</v>
      </c>
      <c r="O17" s="23">
        <f t="shared" si="0"/>
        <v>0</v>
      </c>
      <c r="P17" s="23">
        <f t="shared" si="0"/>
        <v>0</v>
      </c>
      <c r="Q17" s="23">
        <f t="shared" si="0"/>
        <v>0</v>
      </c>
      <c r="R17" s="23">
        <f t="shared" si="0"/>
        <v>0</v>
      </c>
      <c r="S17" s="23">
        <f t="shared" si="0"/>
        <v>0</v>
      </c>
      <c r="T17" s="23">
        <f t="shared" si="0"/>
        <v>0</v>
      </c>
      <c r="U17" s="23">
        <f t="shared" si="0"/>
        <v>0</v>
      </c>
      <c r="V17" s="23">
        <f t="shared" si="0"/>
        <v>0</v>
      </c>
      <c r="W17" s="23">
        <f t="shared" si="0"/>
        <v>0</v>
      </c>
      <c r="X17" s="23">
        <f t="shared" si="0"/>
        <v>0</v>
      </c>
      <c r="Y17" s="23">
        <f t="shared" si="1"/>
        <v>0</v>
      </c>
      <c r="Z17" s="23">
        <f t="shared" si="1"/>
        <v>0</v>
      </c>
      <c r="AA17" s="23">
        <f t="shared" si="1"/>
        <v>0</v>
      </c>
      <c r="AB17" s="23">
        <f t="shared" si="1"/>
        <v>0</v>
      </c>
      <c r="AC17" s="23">
        <f t="shared" si="1"/>
        <v>0</v>
      </c>
      <c r="AD17" s="23">
        <f t="shared" si="1"/>
        <v>0</v>
      </c>
      <c r="AE17" s="23">
        <f t="shared" si="1"/>
        <v>0</v>
      </c>
      <c r="AF17" s="23">
        <f t="shared" si="1"/>
        <v>0</v>
      </c>
      <c r="AG17" s="23">
        <f t="shared" si="1"/>
        <v>0</v>
      </c>
      <c r="AH17" s="23">
        <f t="shared" si="1"/>
        <v>0</v>
      </c>
      <c r="AI17" s="23">
        <f t="shared" si="1"/>
        <v>0</v>
      </c>
      <c r="AJ17" s="23">
        <f t="shared" si="1"/>
        <v>0</v>
      </c>
      <c r="AK17" s="23">
        <f t="shared" si="2"/>
        <v>0</v>
      </c>
      <c r="AL17" s="23">
        <f t="shared" si="2"/>
        <v>0</v>
      </c>
      <c r="AM17" s="23">
        <f t="shared" si="2"/>
        <v>0</v>
      </c>
      <c r="AN17" s="23">
        <f t="shared" si="2"/>
        <v>0</v>
      </c>
      <c r="AO17" s="23">
        <f t="shared" si="2"/>
        <v>0</v>
      </c>
      <c r="AP17" s="23">
        <f t="shared" si="2"/>
        <v>0</v>
      </c>
      <c r="AQ17" s="23">
        <f t="shared" si="2"/>
        <v>0</v>
      </c>
      <c r="AR17" s="23">
        <f t="shared" si="2"/>
        <v>0</v>
      </c>
      <c r="AS17" s="23">
        <f t="shared" si="2"/>
        <v>0</v>
      </c>
      <c r="AT17" s="23">
        <f t="shared" si="2"/>
        <v>0</v>
      </c>
      <c r="AU17" s="23">
        <f t="shared" si="2"/>
        <v>0</v>
      </c>
      <c r="AV17" s="23">
        <f t="shared" si="2"/>
        <v>0</v>
      </c>
    </row>
    <row r="18" spans="1:48" ht="17.25">
      <c r="A18" s="40">
        <f>IF(Inställningar!$B$5="JA",Tider!E9,Tider!A9)</f>
        <v>7</v>
      </c>
      <c r="B18" s="41" t="str">
        <f>+VLOOKUP(F18,Grupper!$B$1:$C$12,2,FALSE)</f>
        <v>B</v>
      </c>
      <c r="C18" s="42">
        <f>IF(AND(Lottning!$B$2&gt;0,OR(F18=F17,F18=H17,H18=F17,H18=H17)),Tider!B9+Inställningar!$B$3,Tider!B9)</f>
        <v>0.3875000000000001</v>
      </c>
      <c r="D18" s="21" t="s">
        <v>67</v>
      </c>
      <c r="E18" s="42">
        <f>IF(AND(Lottning!$B$2&gt;0,OR(F18=F17,F18=H17,H18=F17,H18=H17)),Tider!C9+Inställningar!$B$3,Tider!C9)</f>
        <v>0.3958333333333335</v>
      </c>
      <c r="F18" s="20" t="str">
        <f>+VLOOKUP(Spelordning!B8,Lottning!$A$1:$B$13,2,FALSE)</f>
        <v>Eskilsminne IF</v>
      </c>
      <c r="G18" s="21" t="s">
        <v>67</v>
      </c>
      <c r="H18" s="20" t="str">
        <f>+VLOOKUP(Spelordning!C8,Lottning!$A$1:$B$13,2,FALSE)</f>
        <v>Svalövs BK 1</v>
      </c>
      <c r="J18" s="21" t="s">
        <v>67</v>
      </c>
      <c r="L18" s="43"/>
      <c r="M18" s="23">
        <f t="shared" si="0"/>
        <v>0</v>
      </c>
      <c r="N18" s="23">
        <f t="shared" si="0"/>
        <v>0</v>
      </c>
      <c r="O18" s="23">
        <f t="shared" si="0"/>
        <v>0</v>
      </c>
      <c r="P18" s="23">
        <f t="shared" si="0"/>
        <v>0</v>
      </c>
      <c r="Q18" s="23">
        <f t="shared" si="0"/>
        <v>0</v>
      </c>
      <c r="R18" s="23">
        <f t="shared" si="0"/>
        <v>0</v>
      </c>
      <c r="S18" s="23">
        <f t="shared" si="0"/>
        <v>0</v>
      </c>
      <c r="T18" s="23">
        <f t="shared" si="0"/>
        <v>0</v>
      </c>
      <c r="U18" s="23">
        <f t="shared" si="0"/>
        <v>0</v>
      </c>
      <c r="V18" s="23">
        <f t="shared" si="0"/>
        <v>0</v>
      </c>
      <c r="W18" s="23">
        <f t="shared" si="0"/>
        <v>0</v>
      </c>
      <c r="X18" s="23">
        <f t="shared" si="0"/>
        <v>0</v>
      </c>
      <c r="Y18" s="23">
        <f t="shared" si="1"/>
        <v>0</v>
      </c>
      <c r="Z18" s="23">
        <f t="shared" si="1"/>
        <v>0</v>
      </c>
      <c r="AA18" s="23">
        <f t="shared" si="1"/>
        <v>0</v>
      </c>
      <c r="AB18" s="23">
        <f t="shared" si="1"/>
        <v>0</v>
      </c>
      <c r="AC18" s="23">
        <f t="shared" si="1"/>
        <v>0</v>
      </c>
      <c r="AD18" s="23">
        <f t="shared" si="1"/>
        <v>0</v>
      </c>
      <c r="AE18" s="23">
        <f t="shared" si="1"/>
        <v>0</v>
      </c>
      <c r="AF18" s="23">
        <f t="shared" si="1"/>
        <v>0</v>
      </c>
      <c r="AG18" s="23">
        <f t="shared" si="1"/>
        <v>0</v>
      </c>
      <c r="AH18" s="23">
        <f t="shared" si="1"/>
        <v>0</v>
      </c>
      <c r="AI18" s="23">
        <f t="shared" si="1"/>
        <v>0</v>
      </c>
      <c r="AJ18" s="23">
        <f t="shared" si="1"/>
        <v>0</v>
      </c>
      <c r="AK18" s="23">
        <f t="shared" si="2"/>
        <v>0</v>
      </c>
      <c r="AL18" s="23">
        <f t="shared" si="2"/>
        <v>0</v>
      </c>
      <c r="AM18" s="23">
        <f t="shared" si="2"/>
        <v>0</v>
      </c>
      <c r="AN18" s="23">
        <f t="shared" si="2"/>
        <v>0</v>
      </c>
      <c r="AO18" s="23">
        <f t="shared" si="2"/>
        <v>0</v>
      </c>
      <c r="AP18" s="23">
        <f t="shared" si="2"/>
        <v>0</v>
      </c>
      <c r="AQ18" s="23">
        <f t="shared" si="2"/>
        <v>0</v>
      </c>
      <c r="AR18" s="23">
        <f t="shared" si="2"/>
        <v>0</v>
      </c>
      <c r="AS18" s="23">
        <f t="shared" si="2"/>
        <v>0</v>
      </c>
      <c r="AT18" s="23">
        <f t="shared" si="2"/>
        <v>0</v>
      </c>
      <c r="AU18" s="23">
        <f t="shared" si="2"/>
        <v>0</v>
      </c>
      <c r="AV18" s="23">
        <f t="shared" si="2"/>
        <v>0</v>
      </c>
    </row>
    <row r="19" spans="1:48" ht="17.25">
      <c r="A19" s="40">
        <f>IF(Inställningar!$B$5="JA",Tider!E10,Tider!A10)</f>
        <v>8</v>
      </c>
      <c r="B19" s="41" t="str">
        <f>+VLOOKUP(F19,Grupper!$B$1:$C$12,2,FALSE)</f>
        <v>B</v>
      </c>
      <c r="C19" s="42">
        <f>IF(AND(Lottning!$B$2&gt;0,OR(F19=F18,F19=H18,H19=F18,H19=H18)),Tider!B10+Inställningar!$B$3,Tider!B10)</f>
        <v>0.3965277777777779</v>
      </c>
      <c r="D19" s="21" t="s">
        <v>67</v>
      </c>
      <c r="E19" s="42">
        <f>IF(AND(Lottning!$B$2&gt;0,OR(F19=F18,F19=H18,H19=F18,H19=H18)),Tider!C10+Inställningar!$B$3,Tider!C10)</f>
        <v>0.4048611111111113</v>
      </c>
      <c r="F19" s="20" t="str">
        <f>+VLOOKUP(Spelordning!B9,Lottning!$A$1:$B$13,2,FALSE)</f>
        <v>Billeberga GIF</v>
      </c>
      <c r="G19" s="21" t="s">
        <v>67</v>
      </c>
      <c r="H19" s="20" t="str">
        <f>+VLOOKUP(Spelordning!C9,Lottning!$A$1:$B$13,2,FALSE)</f>
        <v>Gantofta IF</v>
      </c>
      <c r="J19" s="21" t="s">
        <v>67</v>
      </c>
      <c r="L19" s="43"/>
      <c r="M19" s="23">
        <f>IF($L19="X",(OR(AND(M$9=$F19,$I19&gt;$K19,$L19="X"),AND(M$9=$H19,$K19&gt;$I19,$L19="X"))),0)</f>
        <v>0</v>
      </c>
      <c r="N19" s="23">
        <f>IF($L19="X",(OR(AND(N$9=$F19,$I19&gt;$K19,$L19="X"),AND(N$9=$H19,$K19&gt;$I19,$L19="X"))),0)</f>
        <v>0</v>
      </c>
      <c r="O19" s="23">
        <f>IF($L19="X",(OR(AND(O$9=$F19,$I19&gt;$K19,$L19="X"),AND(O$9=$H19,$K19&gt;$I19,$L19="X"))),0)</f>
        <v>0</v>
      </c>
      <c r="P19" s="23">
        <f aca="true" t="shared" si="3" ref="N19:X37">IF($L19="X",(OR(AND(P$9=$F19,$I19&gt;$K19,$L19="X"),AND(P$9=$H19,$K19&gt;$I19,$L19="X"))),0)</f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>IF($L19="X",(OR(AND(Y$9=$F19,$I19&lt;$K19,$L19="X"),AND(Y$9=$H19,$K19&lt;$I19,$L19="X"))),0)</f>
        <v>0</v>
      </c>
      <c r="Z19" s="23">
        <f>IF($L19="X",(OR(AND(Z$9=$F19,$I19&lt;$K19,$L19="X"),AND(Z$9=$H19,$K19&lt;$I19,$L19="X"))),0)</f>
        <v>0</v>
      </c>
      <c r="AA19" s="23">
        <f>IF($L19="X",(OR(AND(AA$9=$F19,$I19&lt;$K19,$L19="X"),AND(AA$9=$H19,$K19&lt;$I19,$L19="X"))),0)</f>
        <v>0</v>
      </c>
      <c r="AB19" s="23">
        <f aca="true" t="shared" si="4" ref="Z19:AJ37">IF($L19="X",(OR(AND(AB$9=$F19,$I19&lt;$K19,$L19="X"),AND(AB$9=$H19,$K19&lt;$I19,$L19="X"))),0)</f>
        <v>0</v>
      </c>
      <c r="AC19" s="23">
        <f t="shared" si="4"/>
        <v>0</v>
      </c>
      <c r="AD19" s="23">
        <f t="shared" si="4"/>
        <v>0</v>
      </c>
      <c r="AE19" s="23">
        <f t="shared" si="4"/>
        <v>0</v>
      </c>
      <c r="AF19" s="23">
        <f t="shared" si="4"/>
        <v>0</v>
      </c>
      <c r="AG19" s="23">
        <f t="shared" si="4"/>
        <v>0</v>
      </c>
      <c r="AH19" s="23">
        <f t="shared" si="4"/>
        <v>0</v>
      </c>
      <c r="AI19" s="23">
        <f t="shared" si="4"/>
        <v>0</v>
      </c>
      <c r="AJ19" s="23">
        <f t="shared" si="4"/>
        <v>0</v>
      </c>
      <c r="AK19" s="23">
        <f>IF($L19="X",(OR(AND(AK$9=$F19,$I19=$K19,$L19="X"),AND(AK$9=$H19,$K19=$I19,$L19="X"))),0)</f>
        <v>0</v>
      </c>
      <c r="AL19" s="23">
        <f>IF($L19="X",(OR(AND(AL$9=$F19,$I19=$K19,$L19="X"),AND(AL$9=$H19,$K19=$I19,$L19="X"))),0)</f>
        <v>0</v>
      </c>
      <c r="AM19" s="23">
        <f>IF($L19="X",(OR(AND(AM$9=$F19,$I19=$K19,$L19="X"),AND(AM$9=$H19,$K19=$I19,$L19="X"))),0)</f>
        <v>0</v>
      </c>
      <c r="AN19" s="23">
        <f aca="true" t="shared" si="5" ref="AL19:AV37">IF($L19="X",(OR(AND(AN$9=$F19,$I19=$K19,$L19="X"),AND(AN$9=$H19,$K19=$I19,$L19="X"))),0)</f>
        <v>0</v>
      </c>
      <c r="AO19" s="23">
        <f t="shared" si="5"/>
        <v>0</v>
      </c>
      <c r="AP19" s="23">
        <f t="shared" si="5"/>
        <v>0</v>
      </c>
      <c r="AQ19" s="23">
        <f t="shared" si="5"/>
        <v>0</v>
      </c>
      <c r="AR19" s="23">
        <f t="shared" si="5"/>
        <v>0</v>
      </c>
      <c r="AS19" s="23">
        <f t="shared" si="5"/>
        <v>0</v>
      </c>
      <c r="AT19" s="23">
        <f t="shared" si="5"/>
        <v>0</v>
      </c>
      <c r="AU19" s="23">
        <f t="shared" si="5"/>
        <v>0</v>
      </c>
      <c r="AV19" s="23">
        <f t="shared" si="5"/>
        <v>0</v>
      </c>
    </row>
    <row r="20" spans="1:48" s="1" customFormat="1" ht="5.25" customHeight="1">
      <c r="A20" s="34"/>
      <c r="B20" s="35"/>
      <c r="C20" s="36"/>
      <c r="D20" s="37"/>
      <c r="E20" s="36"/>
      <c r="F20" s="38"/>
      <c r="G20" s="37"/>
      <c r="H20" s="38"/>
      <c r="I20" s="38"/>
      <c r="J20" s="37"/>
      <c r="K20" s="38"/>
      <c r="L20" s="38"/>
      <c r="M20" s="23">
        <f aca="true" t="shared" si="6" ref="M20:M37">IF($L20="X",(OR(AND(M$9=$F20,$I20&gt;$K20,$L20="X"),AND(M$9=$H20,$K20&gt;$I20,$L20="X"))),0)</f>
        <v>0</v>
      </c>
      <c r="N20" s="23">
        <f t="shared" si="3"/>
        <v>0</v>
      </c>
      <c r="O20" s="23">
        <f t="shared" si="3"/>
        <v>0</v>
      </c>
      <c r="P20" s="23">
        <f t="shared" si="3"/>
        <v>0</v>
      </c>
      <c r="Q20" s="23">
        <f t="shared" si="3"/>
        <v>0</v>
      </c>
      <c r="R20" s="23">
        <f t="shared" si="3"/>
        <v>0</v>
      </c>
      <c r="S20" s="23">
        <f t="shared" si="3"/>
        <v>0</v>
      </c>
      <c r="T20" s="23">
        <f t="shared" si="3"/>
        <v>0</v>
      </c>
      <c r="U20" s="23">
        <f t="shared" si="3"/>
        <v>0</v>
      </c>
      <c r="V20" s="23">
        <f t="shared" si="3"/>
        <v>0</v>
      </c>
      <c r="W20" s="23">
        <f t="shared" si="3"/>
        <v>0</v>
      </c>
      <c r="X20" s="23">
        <f t="shared" si="3"/>
        <v>0</v>
      </c>
      <c r="Y20" s="23">
        <f aca="true" t="shared" si="7" ref="Y20:Y37">IF($L20="X",(OR(AND(Y$9=$F20,$I20&lt;$K20,$L20="X"),AND(Y$9=$H20,$K20&lt;$I20,$L20="X"))),0)</f>
        <v>0</v>
      </c>
      <c r="Z20" s="23">
        <f t="shared" si="4"/>
        <v>0</v>
      </c>
      <c r="AA20" s="23">
        <f t="shared" si="4"/>
        <v>0</v>
      </c>
      <c r="AB20" s="23">
        <f t="shared" si="4"/>
        <v>0</v>
      </c>
      <c r="AC20" s="23">
        <f t="shared" si="4"/>
        <v>0</v>
      </c>
      <c r="AD20" s="23">
        <f t="shared" si="4"/>
        <v>0</v>
      </c>
      <c r="AE20" s="23">
        <f t="shared" si="4"/>
        <v>0</v>
      </c>
      <c r="AF20" s="23">
        <f t="shared" si="4"/>
        <v>0</v>
      </c>
      <c r="AG20" s="23">
        <f t="shared" si="4"/>
        <v>0</v>
      </c>
      <c r="AH20" s="23">
        <f t="shared" si="4"/>
        <v>0</v>
      </c>
      <c r="AI20" s="23">
        <f t="shared" si="4"/>
        <v>0</v>
      </c>
      <c r="AJ20" s="23">
        <f t="shared" si="4"/>
        <v>0</v>
      </c>
      <c r="AK20" s="23">
        <f aca="true" t="shared" si="8" ref="AK20:AK37">IF($L20="X",(OR(AND(AK$9=$F20,$I20=$K20,$L20="X"),AND(AK$9=$H20,$K20=$I20,$L20="X"))),0)</f>
        <v>0</v>
      </c>
      <c r="AL20" s="23">
        <f t="shared" si="5"/>
        <v>0</v>
      </c>
      <c r="AM20" s="23">
        <f t="shared" si="5"/>
        <v>0</v>
      </c>
      <c r="AN20" s="23">
        <f t="shared" si="5"/>
        <v>0</v>
      </c>
      <c r="AO20" s="23">
        <f t="shared" si="5"/>
        <v>0</v>
      </c>
      <c r="AP20" s="23">
        <f t="shared" si="5"/>
        <v>0</v>
      </c>
      <c r="AQ20" s="23">
        <f t="shared" si="5"/>
        <v>0</v>
      </c>
      <c r="AR20" s="23">
        <f t="shared" si="5"/>
        <v>0</v>
      </c>
      <c r="AS20" s="23">
        <f t="shared" si="5"/>
        <v>0</v>
      </c>
      <c r="AT20" s="23">
        <f t="shared" si="5"/>
        <v>0</v>
      </c>
      <c r="AU20" s="23">
        <f t="shared" si="5"/>
        <v>0</v>
      </c>
      <c r="AV20" s="23">
        <f t="shared" si="5"/>
        <v>0</v>
      </c>
    </row>
    <row r="21" spans="1:48" ht="17.25">
      <c r="A21" s="40">
        <f>IF(Inställningar!$B$5="JA",Tider!E11,Tider!A11)</f>
        <v>9</v>
      </c>
      <c r="B21" s="41" t="str">
        <f>+VLOOKUP(F21,Grupper!$B$1:$C$12,2,FALSE)</f>
        <v>A</v>
      </c>
      <c r="C21" s="42">
        <f>IF(AND(Lottning!$B$2&gt;0,OR(F21=F20,F21=H20,H21=F20,H21=H20)),Tider!B11+Inställningar!$B$3,Tider!B11)</f>
        <v>0.4055555555555557</v>
      </c>
      <c r="D21" s="21" t="s">
        <v>67</v>
      </c>
      <c r="E21" s="42">
        <f>IF(AND(Lottning!$B$2&gt;0,OR(F21=F20,F21=H20,H21=F20,H21=H20)),Tider!C11+Inställningar!$B$3,Tider!C11)</f>
        <v>0.4138888888888891</v>
      </c>
      <c r="F21" s="20" t="str">
        <f>+VLOOKUP(Spelordning!B10,Lottning!$A$1:$B$13,2,FALSE)</f>
        <v>Marieholms IS</v>
      </c>
      <c r="G21" s="21" t="s">
        <v>67</v>
      </c>
      <c r="H21" s="20" t="str">
        <f>+VLOOKUP(Spelordning!C10,Lottning!$A$1:$B$13,2,FALSE)</f>
        <v>Teckomatorps SK</v>
      </c>
      <c r="J21" s="21" t="s">
        <v>67</v>
      </c>
      <c r="L21" s="43"/>
      <c r="M21" s="23">
        <f t="shared" si="6"/>
        <v>0</v>
      </c>
      <c r="N21" s="23">
        <f t="shared" si="3"/>
        <v>0</v>
      </c>
      <c r="O21" s="23">
        <f t="shared" si="3"/>
        <v>0</v>
      </c>
      <c r="P21" s="23">
        <f t="shared" si="3"/>
        <v>0</v>
      </c>
      <c r="Q21" s="23">
        <f t="shared" si="3"/>
        <v>0</v>
      </c>
      <c r="R21" s="23">
        <f t="shared" si="3"/>
        <v>0</v>
      </c>
      <c r="S21" s="23">
        <f t="shared" si="3"/>
        <v>0</v>
      </c>
      <c r="T21" s="23">
        <f t="shared" si="3"/>
        <v>0</v>
      </c>
      <c r="U21" s="23">
        <f t="shared" si="3"/>
        <v>0</v>
      </c>
      <c r="V21" s="23">
        <f t="shared" si="3"/>
        <v>0</v>
      </c>
      <c r="W21" s="23">
        <f t="shared" si="3"/>
        <v>0</v>
      </c>
      <c r="X21" s="23">
        <f t="shared" si="3"/>
        <v>0</v>
      </c>
      <c r="Y21" s="23">
        <f t="shared" si="7"/>
        <v>0</v>
      </c>
      <c r="Z21" s="23">
        <f t="shared" si="4"/>
        <v>0</v>
      </c>
      <c r="AA21" s="23">
        <f t="shared" si="4"/>
        <v>0</v>
      </c>
      <c r="AB21" s="23">
        <f t="shared" si="4"/>
        <v>0</v>
      </c>
      <c r="AC21" s="23">
        <f t="shared" si="4"/>
        <v>0</v>
      </c>
      <c r="AD21" s="23">
        <f t="shared" si="4"/>
        <v>0</v>
      </c>
      <c r="AE21" s="23">
        <f t="shared" si="4"/>
        <v>0</v>
      </c>
      <c r="AF21" s="23">
        <f t="shared" si="4"/>
        <v>0</v>
      </c>
      <c r="AG21" s="23">
        <f t="shared" si="4"/>
        <v>0</v>
      </c>
      <c r="AH21" s="23">
        <f t="shared" si="4"/>
        <v>0</v>
      </c>
      <c r="AI21" s="23">
        <f t="shared" si="4"/>
        <v>0</v>
      </c>
      <c r="AJ21" s="23">
        <f t="shared" si="4"/>
        <v>0</v>
      </c>
      <c r="AK21" s="23">
        <f t="shared" si="8"/>
        <v>0</v>
      </c>
      <c r="AL21" s="23">
        <f t="shared" si="5"/>
        <v>0</v>
      </c>
      <c r="AM21" s="23">
        <f t="shared" si="5"/>
        <v>0</v>
      </c>
      <c r="AN21" s="23">
        <f t="shared" si="5"/>
        <v>0</v>
      </c>
      <c r="AO21" s="23">
        <f t="shared" si="5"/>
        <v>0</v>
      </c>
      <c r="AP21" s="23">
        <f t="shared" si="5"/>
        <v>0</v>
      </c>
      <c r="AQ21" s="23">
        <f t="shared" si="5"/>
        <v>0</v>
      </c>
      <c r="AR21" s="23">
        <f t="shared" si="5"/>
        <v>0</v>
      </c>
      <c r="AS21" s="23">
        <f t="shared" si="5"/>
        <v>0</v>
      </c>
      <c r="AT21" s="23">
        <f t="shared" si="5"/>
        <v>0</v>
      </c>
      <c r="AU21" s="23">
        <f t="shared" si="5"/>
        <v>0</v>
      </c>
      <c r="AV21" s="23">
        <f t="shared" si="5"/>
        <v>0</v>
      </c>
    </row>
    <row r="22" spans="1:48" ht="17.25">
      <c r="A22" s="40">
        <f>IF(Inställningar!$B$5="JA",Tider!E12,Tider!A12)</f>
        <v>10</v>
      </c>
      <c r="B22" s="41" t="str">
        <f>+VLOOKUP(F22,Grupper!$B$1:$C$12,2,FALSE)</f>
        <v>A</v>
      </c>
      <c r="C22" s="42">
        <f>IF(AND(Lottning!$B$2&gt;0,OR(F22=F21,F22=H21,H22=F21,H22=H21)),Tider!B12+Inställningar!$B$3,Tider!B12)</f>
        <v>0.4145833333333335</v>
      </c>
      <c r="D22" s="21" t="s">
        <v>67</v>
      </c>
      <c r="E22" s="42">
        <f>IF(AND(Lottning!$B$2&gt;0,OR(F22=F21,F22=H21,H22=F21,H22=H21)),Tider!C12+Inställningar!$B$3,Tider!C12)</f>
        <v>0.4229166666666669</v>
      </c>
      <c r="F22" s="20" t="str">
        <f>+VLOOKUP(Spelordning!B11,Lottning!$A$1:$B$13,2,FALSE)</f>
        <v>Svalövs BK 2</v>
      </c>
      <c r="G22" s="21" t="s">
        <v>67</v>
      </c>
      <c r="H22" s="20" t="str">
        <f>+VLOOKUP(Spelordning!C11,Lottning!$A$1:$B$13,2,FALSE)</f>
        <v>Ekeby GIF</v>
      </c>
      <c r="J22" s="21" t="s">
        <v>67</v>
      </c>
      <c r="L22" s="43"/>
      <c r="M22" s="23">
        <f t="shared" si="6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  <c r="T22" s="23">
        <f t="shared" si="3"/>
        <v>0</v>
      </c>
      <c r="U22" s="23">
        <f t="shared" si="3"/>
        <v>0</v>
      </c>
      <c r="V22" s="23">
        <f t="shared" si="3"/>
        <v>0</v>
      </c>
      <c r="W22" s="23">
        <f t="shared" si="3"/>
        <v>0</v>
      </c>
      <c r="X22" s="23">
        <f t="shared" si="3"/>
        <v>0</v>
      </c>
      <c r="Y22" s="23">
        <f t="shared" si="7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>
        <f t="shared" si="4"/>
        <v>0</v>
      </c>
      <c r="AD22" s="23">
        <f t="shared" si="4"/>
        <v>0</v>
      </c>
      <c r="AE22" s="23">
        <f t="shared" si="4"/>
        <v>0</v>
      </c>
      <c r="AF22" s="23">
        <f t="shared" si="4"/>
        <v>0</v>
      </c>
      <c r="AG22" s="23">
        <f t="shared" si="4"/>
        <v>0</v>
      </c>
      <c r="AH22" s="23">
        <f t="shared" si="4"/>
        <v>0</v>
      </c>
      <c r="AI22" s="23">
        <f t="shared" si="4"/>
        <v>0</v>
      </c>
      <c r="AJ22" s="23">
        <f t="shared" si="4"/>
        <v>0</v>
      </c>
      <c r="AK22" s="23">
        <f t="shared" si="8"/>
        <v>0</v>
      </c>
      <c r="AL22" s="23">
        <f t="shared" si="5"/>
        <v>0</v>
      </c>
      <c r="AM22" s="23">
        <f t="shared" si="5"/>
        <v>0</v>
      </c>
      <c r="AN22" s="23">
        <f t="shared" si="5"/>
        <v>0</v>
      </c>
      <c r="AO22" s="23">
        <f t="shared" si="5"/>
        <v>0</v>
      </c>
      <c r="AP22" s="23">
        <f t="shared" si="5"/>
        <v>0</v>
      </c>
      <c r="AQ22" s="23">
        <f t="shared" si="5"/>
        <v>0</v>
      </c>
      <c r="AR22" s="23">
        <f t="shared" si="5"/>
        <v>0</v>
      </c>
      <c r="AS22" s="23">
        <f t="shared" si="5"/>
        <v>0</v>
      </c>
      <c r="AT22" s="23">
        <f t="shared" si="5"/>
        <v>0</v>
      </c>
      <c r="AU22" s="23">
        <f t="shared" si="5"/>
        <v>0</v>
      </c>
      <c r="AV22" s="23">
        <f t="shared" si="5"/>
        <v>0</v>
      </c>
    </row>
    <row r="23" spans="1:48" ht="17.25">
      <c r="A23" s="40">
        <f>IF(Inställningar!$B$5="JA",Tider!E13,Tider!A13)</f>
        <v>11</v>
      </c>
      <c r="B23" s="41" t="str">
        <f>+VLOOKUP(F23,Grupper!$B$1:$C$12,2,FALSE)</f>
        <v>B</v>
      </c>
      <c r="C23" s="42">
        <f>IF(AND(Lottning!$B$2&gt;0,OR(F23=F22,F23=H22,H23=F22,H23=H22)),Tider!B13+Inställningar!$B$3,Tider!B13)</f>
        <v>0.4236111111111113</v>
      </c>
      <c r="D23" s="21" t="s">
        <v>67</v>
      </c>
      <c r="E23" s="42">
        <f>IF(AND(Lottning!$B$2&gt;0,OR(F23=F22,F23=H22,H23=F22,H23=H22)),Tider!C13+Inställningar!$B$3,Tider!C13)</f>
        <v>0.4319444444444447</v>
      </c>
      <c r="F23" s="20" t="str">
        <f>+VLOOKUP(Spelordning!B12,Lottning!$A$1:$B$13,2,FALSE)</f>
        <v>IK Wormo</v>
      </c>
      <c r="G23" s="21" t="s">
        <v>67</v>
      </c>
      <c r="H23" s="20" t="str">
        <f>+VLOOKUP(Spelordning!C12,Lottning!$A$1:$B$13,2,FALSE)</f>
        <v>Eskilsminne IF</v>
      </c>
      <c r="J23" s="21" t="s">
        <v>67</v>
      </c>
      <c r="L23" s="43"/>
      <c r="M23" s="23">
        <f t="shared" si="6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  <c r="T23" s="23">
        <f t="shared" si="3"/>
        <v>0</v>
      </c>
      <c r="U23" s="23">
        <f t="shared" si="3"/>
        <v>0</v>
      </c>
      <c r="V23" s="23">
        <f t="shared" si="3"/>
        <v>0</v>
      </c>
      <c r="W23" s="23">
        <f t="shared" si="3"/>
        <v>0</v>
      </c>
      <c r="X23" s="23">
        <f t="shared" si="3"/>
        <v>0</v>
      </c>
      <c r="Y23" s="23">
        <f t="shared" si="7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>
        <f t="shared" si="4"/>
        <v>0</v>
      </c>
      <c r="AF23" s="23">
        <f t="shared" si="4"/>
        <v>0</v>
      </c>
      <c r="AG23" s="23">
        <f t="shared" si="4"/>
        <v>0</v>
      </c>
      <c r="AH23" s="23">
        <f t="shared" si="4"/>
        <v>0</v>
      </c>
      <c r="AI23" s="23">
        <f t="shared" si="4"/>
        <v>0</v>
      </c>
      <c r="AJ23" s="23">
        <f t="shared" si="4"/>
        <v>0</v>
      </c>
      <c r="AK23" s="23">
        <f t="shared" si="8"/>
        <v>0</v>
      </c>
      <c r="AL23" s="23">
        <f t="shared" si="5"/>
        <v>0</v>
      </c>
      <c r="AM23" s="23">
        <f t="shared" si="5"/>
        <v>0</v>
      </c>
      <c r="AN23" s="23">
        <f t="shared" si="5"/>
        <v>0</v>
      </c>
      <c r="AO23" s="23">
        <f t="shared" si="5"/>
        <v>0</v>
      </c>
      <c r="AP23" s="23">
        <f t="shared" si="5"/>
        <v>0</v>
      </c>
      <c r="AQ23" s="23">
        <f t="shared" si="5"/>
        <v>0</v>
      </c>
      <c r="AR23" s="23">
        <f t="shared" si="5"/>
        <v>0</v>
      </c>
      <c r="AS23" s="23">
        <f t="shared" si="5"/>
        <v>0</v>
      </c>
      <c r="AT23" s="23">
        <f t="shared" si="5"/>
        <v>0</v>
      </c>
      <c r="AU23" s="23">
        <f t="shared" si="5"/>
        <v>0</v>
      </c>
      <c r="AV23" s="23">
        <f t="shared" si="5"/>
        <v>0</v>
      </c>
    </row>
    <row r="24" spans="1:48" ht="17.25">
      <c r="A24" s="40">
        <f>IF(Inställningar!$B$5="JA",Tider!E14,Tider!A14)</f>
        <v>12</v>
      </c>
      <c r="B24" s="41" t="str">
        <f>+VLOOKUP(F24,Grupper!$B$1:$C$12,2,FALSE)</f>
        <v>B</v>
      </c>
      <c r="C24" s="42">
        <f>IF(AND(Lottning!$B$2&gt;0,OR(F24=F23,F24=H23,H24=F23,H24=H23)),Tider!B14+Inställningar!$B$3,Tider!B14)</f>
        <v>0.43263888888888913</v>
      </c>
      <c r="D24" s="21" t="s">
        <v>67</v>
      </c>
      <c r="E24" s="42">
        <f>IF(AND(Lottning!$B$2&gt;0,OR(F24=F23,F24=H23,H24=F23,H24=H23)),Tider!C14+Inställningar!$B$3,Tider!C14)</f>
        <v>0.4409722222222225</v>
      </c>
      <c r="F24" s="20" t="str">
        <f>+VLOOKUP(Spelordning!B13,Lottning!$A$1:$B$13,2,FALSE)</f>
        <v>Svalövs BK 1</v>
      </c>
      <c r="G24" s="21" t="s">
        <v>67</v>
      </c>
      <c r="H24" s="20" t="str">
        <f>+VLOOKUP(Spelordning!C13,Lottning!$A$1:$B$13,2,FALSE)</f>
        <v>Gantofta IF</v>
      </c>
      <c r="J24" s="21" t="s">
        <v>67</v>
      </c>
      <c r="L24" s="43"/>
      <c r="M24" s="23">
        <f t="shared" si="6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  <c r="T24" s="23">
        <f t="shared" si="3"/>
        <v>0</v>
      </c>
      <c r="U24" s="23">
        <f t="shared" si="3"/>
        <v>0</v>
      </c>
      <c r="V24" s="23">
        <f t="shared" si="3"/>
        <v>0</v>
      </c>
      <c r="W24" s="23">
        <f t="shared" si="3"/>
        <v>0</v>
      </c>
      <c r="X24" s="23">
        <f t="shared" si="3"/>
        <v>0</v>
      </c>
      <c r="Y24" s="23">
        <f t="shared" si="7"/>
        <v>0</v>
      </c>
      <c r="Z24" s="23">
        <f t="shared" si="4"/>
        <v>0</v>
      </c>
      <c r="AA24" s="23">
        <f t="shared" si="4"/>
        <v>0</v>
      </c>
      <c r="AB24" s="23">
        <f t="shared" si="4"/>
        <v>0</v>
      </c>
      <c r="AC24" s="23">
        <f t="shared" si="4"/>
        <v>0</v>
      </c>
      <c r="AD24" s="23">
        <f t="shared" si="4"/>
        <v>0</v>
      </c>
      <c r="AE24" s="23">
        <f t="shared" si="4"/>
        <v>0</v>
      </c>
      <c r="AF24" s="23">
        <f t="shared" si="4"/>
        <v>0</v>
      </c>
      <c r="AG24" s="23">
        <f t="shared" si="4"/>
        <v>0</v>
      </c>
      <c r="AH24" s="23">
        <f t="shared" si="4"/>
        <v>0</v>
      </c>
      <c r="AI24" s="23">
        <f t="shared" si="4"/>
        <v>0</v>
      </c>
      <c r="AJ24" s="23">
        <f t="shared" si="4"/>
        <v>0</v>
      </c>
      <c r="AK24" s="23">
        <f t="shared" si="8"/>
        <v>0</v>
      </c>
      <c r="AL24" s="23">
        <f t="shared" si="5"/>
        <v>0</v>
      </c>
      <c r="AM24" s="23">
        <f t="shared" si="5"/>
        <v>0</v>
      </c>
      <c r="AN24" s="23">
        <f t="shared" si="5"/>
        <v>0</v>
      </c>
      <c r="AO24" s="23">
        <f t="shared" si="5"/>
        <v>0</v>
      </c>
      <c r="AP24" s="23">
        <f t="shared" si="5"/>
        <v>0</v>
      </c>
      <c r="AQ24" s="23">
        <f t="shared" si="5"/>
        <v>0</v>
      </c>
      <c r="AR24" s="23">
        <f t="shared" si="5"/>
        <v>0</v>
      </c>
      <c r="AS24" s="23">
        <f t="shared" si="5"/>
        <v>0</v>
      </c>
      <c r="AT24" s="23">
        <f t="shared" si="5"/>
        <v>0</v>
      </c>
      <c r="AU24" s="23">
        <f t="shared" si="5"/>
        <v>0</v>
      </c>
      <c r="AV24" s="23">
        <f t="shared" si="5"/>
        <v>0</v>
      </c>
    </row>
    <row r="25" spans="1:48" s="1" customFormat="1" ht="5.25" customHeight="1">
      <c r="A25" s="34"/>
      <c r="B25" s="35"/>
      <c r="C25" s="36"/>
      <c r="D25" s="37"/>
      <c r="E25" s="36"/>
      <c r="F25" s="38"/>
      <c r="G25" s="37"/>
      <c r="H25" s="38"/>
      <c r="I25" s="38"/>
      <c r="J25" s="37"/>
      <c r="K25" s="38"/>
      <c r="L25" s="38"/>
      <c r="M25" s="23">
        <f t="shared" si="6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  <c r="T25" s="23">
        <f t="shared" si="3"/>
        <v>0</v>
      </c>
      <c r="U25" s="23">
        <f t="shared" si="3"/>
        <v>0</v>
      </c>
      <c r="V25" s="23">
        <f t="shared" si="3"/>
        <v>0</v>
      </c>
      <c r="W25" s="23">
        <f t="shared" si="3"/>
        <v>0</v>
      </c>
      <c r="X25" s="23">
        <f t="shared" si="3"/>
        <v>0</v>
      </c>
      <c r="Y25" s="23">
        <f t="shared" si="7"/>
        <v>0</v>
      </c>
      <c r="Z25" s="23">
        <f t="shared" si="4"/>
        <v>0</v>
      </c>
      <c r="AA25" s="23">
        <f t="shared" si="4"/>
        <v>0</v>
      </c>
      <c r="AB25" s="23">
        <f t="shared" si="4"/>
        <v>0</v>
      </c>
      <c r="AC25" s="23">
        <f t="shared" si="4"/>
        <v>0</v>
      </c>
      <c r="AD25" s="23">
        <f t="shared" si="4"/>
        <v>0</v>
      </c>
      <c r="AE25" s="23">
        <f t="shared" si="4"/>
        <v>0</v>
      </c>
      <c r="AF25" s="23">
        <f t="shared" si="4"/>
        <v>0</v>
      </c>
      <c r="AG25" s="23">
        <f t="shared" si="4"/>
        <v>0</v>
      </c>
      <c r="AH25" s="23">
        <f t="shared" si="4"/>
        <v>0</v>
      </c>
      <c r="AI25" s="23">
        <f t="shared" si="4"/>
        <v>0</v>
      </c>
      <c r="AJ25" s="23">
        <f t="shared" si="4"/>
        <v>0</v>
      </c>
      <c r="AK25" s="23">
        <f t="shared" si="8"/>
        <v>0</v>
      </c>
      <c r="AL25" s="23">
        <f t="shared" si="5"/>
        <v>0</v>
      </c>
      <c r="AM25" s="23">
        <f t="shared" si="5"/>
        <v>0</v>
      </c>
      <c r="AN25" s="23">
        <f t="shared" si="5"/>
        <v>0</v>
      </c>
      <c r="AO25" s="23">
        <f t="shared" si="5"/>
        <v>0</v>
      </c>
      <c r="AP25" s="23">
        <f t="shared" si="5"/>
        <v>0</v>
      </c>
      <c r="AQ25" s="23">
        <f t="shared" si="5"/>
        <v>0</v>
      </c>
      <c r="AR25" s="23">
        <f t="shared" si="5"/>
        <v>0</v>
      </c>
      <c r="AS25" s="23">
        <f t="shared" si="5"/>
        <v>0</v>
      </c>
      <c r="AT25" s="23">
        <f t="shared" si="5"/>
        <v>0</v>
      </c>
      <c r="AU25" s="23">
        <f t="shared" si="5"/>
        <v>0</v>
      </c>
      <c r="AV25" s="23">
        <f t="shared" si="5"/>
        <v>0</v>
      </c>
    </row>
    <row r="26" spans="1:48" ht="17.25">
      <c r="A26" s="40">
        <f>IF(Inställningar!$B$5="JA",Tider!E15,Tider!A15)</f>
        <v>13</v>
      </c>
      <c r="B26" s="41" t="str">
        <f>+VLOOKUP(F26,Grupper!$B$1:$C$12,2,FALSE)</f>
        <v>A</v>
      </c>
      <c r="C26" s="42">
        <f>IF(AND(Lottning!$B$2&gt;0,OR(F26=F25,F26=H25,H26=F25,H26=H25)),Tider!B15+Inställningar!$B$3,Tider!B15)</f>
        <v>0.44166666666666693</v>
      </c>
      <c r="D26" s="21" t="s">
        <v>67</v>
      </c>
      <c r="E26" s="42">
        <f>IF(AND(Lottning!$B$2&gt;0,OR(F26=F25,F26=H25,H26=F25,H26=H25)),Tider!C15+Inställningar!$B$3,Tider!C15)</f>
        <v>0.4500000000000003</v>
      </c>
      <c r="F26" s="20" t="str">
        <f>+VLOOKUP(Spelordning!B14,Lottning!$A$1:$B$13,2,FALSE)</f>
        <v>Teckomatorps SK</v>
      </c>
      <c r="G26" s="21" t="s">
        <v>67</v>
      </c>
      <c r="H26" s="20" t="str">
        <f>+VLOOKUP(Spelordning!C14,Lottning!$A$1:$B$13,2,FALSE)</f>
        <v>Kågeröds BoIF</v>
      </c>
      <c r="J26" s="21" t="s">
        <v>67</v>
      </c>
      <c r="L26" s="43"/>
      <c r="M26" s="23">
        <f t="shared" si="6"/>
        <v>0</v>
      </c>
      <c r="N26" s="23">
        <f t="shared" si="3"/>
        <v>0</v>
      </c>
      <c r="O26" s="23">
        <f t="shared" si="3"/>
        <v>0</v>
      </c>
      <c r="P26" s="23">
        <f t="shared" si="3"/>
        <v>0</v>
      </c>
      <c r="Q26" s="23">
        <f t="shared" si="3"/>
        <v>0</v>
      </c>
      <c r="R26" s="23">
        <f t="shared" si="3"/>
        <v>0</v>
      </c>
      <c r="S26" s="23">
        <f t="shared" si="3"/>
        <v>0</v>
      </c>
      <c r="T26" s="23">
        <f t="shared" si="3"/>
        <v>0</v>
      </c>
      <c r="U26" s="23">
        <f t="shared" si="3"/>
        <v>0</v>
      </c>
      <c r="V26" s="23">
        <f t="shared" si="3"/>
        <v>0</v>
      </c>
      <c r="W26" s="23">
        <f t="shared" si="3"/>
        <v>0</v>
      </c>
      <c r="X26" s="23">
        <f t="shared" si="3"/>
        <v>0</v>
      </c>
      <c r="Y26" s="23">
        <f t="shared" si="7"/>
        <v>0</v>
      </c>
      <c r="Z26" s="23">
        <f t="shared" si="4"/>
        <v>0</v>
      </c>
      <c r="AA26" s="23">
        <f t="shared" si="4"/>
        <v>0</v>
      </c>
      <c r="AB26" s="23">
        <f t="shared" si="4"/>
        <v>0</v>
      </c>
      <c r="AC26" s="23">
        <f t="shared" si="4"/>
        <v>0</v>
      </c>
      <c r="AD26" s="23">
        <f t="shared" si="4"/>
        <v>0</v>
      </c>
      <c r="AE26" s="23">
        <f t="shared" si="4"/>
        <v>0</v>
      </c>
      <c r="AF26" s="23">
        <f t="shared" si="4"/>
        <v>0</v>
      </c>
      <c r="AG26" s="23">
        <f t="shared" si="4"/>
        <v>0</v>
      </c>
      <c r="AH26" s="23">
        <f t="shared" si="4"/>
        <v>0</v>
      </c>
      <c r="AI26" s="23">
        <f t="shared" si="4"/>
        <v>0</v>
      </c>
      <c r="AJ26" s="23">
        <f t="shared" si="4"/>
        <v>0</v>
      </c>
      <c r="AK26" s="23">
        <f t="shared" si="8"/>
        <v>0</v>
      </c>
      <c r="AL26" s="23">
        <f t="shared" si="5"/>
        <v>0</v>
      </c>
      <c r="AM26" s="23">
        <f t="shared" si="5"/>
        <v>0</v>
      </c>
      <c r="AN26" s="23">
        <f t="shared" si="5"/>
        <v>0</v>
      </c>
      <c r="AO26" s="23">
        <f t="shared" si="5"/>
        <v>0</v>
      </c>
      <c r="AP26" s="23">
        <f t="shared" si="5"/>
        <v>0</v>
      </c>
      <c r="AQ26" s="23">
        <f t="shared" si="5"/>
        <v>0</v>
      </c>
      <c r="AR26" s="23">
        <f t="shared" si="5"/>
        <v>0</v>
      </c>
      <c r="AS26" s="23">
        <f t="shared" si="5"/>
        <v>0</v>
      </c>
      <c r="AT26" s="23">
        <f t="shared" si="5"/>
        <v>0</v>
      </c>
      <c r="AU26" s="23">
        <f t="shared" si="5"/>
        <v>0</v>
      </c>
      <c r="AV26" s="23">
        <f t="shared" si="5"/>
        <v>0</v>
      </c>
    </row>
    <row r="27" spans="1:48" ht="17.25">
      <c r="A27" s="40">
        <f>IF(Inställningar!$B$5="JA",Tider!E16,Tider!A16)</f>
        <v>14</v>
      </c>
      <c r="B27" s="41" t="str">
        <f>+VLOOKUP(F27,Grupper!$B$1:$C$12,2,FALSE)</f>
        <v>A</v>
      </c>
      <c r="C27" s="42">
        <f>IF(AND(Lottning!$B$2&gt;0,OR(F27=F26,F27=H26,H27=F26,H27=H26)),Tider!B16+Inställningar!$B$3,Tider!B16)</f>
        <v>0.45069444444444473</v>
      </c>
      <c r="D27" s="21" t="s">
        <v>67</v>
      </c>
      <c r="E27" s="42">
        <f>IF(AND(Lottning!$B$2&gt;0,OR(F27=F26,F27=H26,H27=F26,H27=H26)),Tider!C16+Inställningar!$B$3,Tider!C16)</f>
        <v>0.4590277777777781</v>
      </c>
      <c r="F27" s="20" t="str">
        <f>+VLOOKUP(Spelordning!B15,Lottning!$A$1:$B$13,2,FALSE)</f>
        <v>Marieholms IS</v>
      </c>
      <c r="G27" s="21" t="s">
        <v>67</v>
      </c>
      <c r="H27" s="20" t="str">
        <f>+VLOOKUP(Spelordning!C15,Lottning!$A$1:$B$13,2,FALSE)</f>
        <v>Svalövs BK 2</v>
      </c>
      <c r="J27" s="21" t="s">
        <v>67</v>
      </c>
      <c r="L27" s="43"/>
      <c r="M27" s="23">
        <f t="shared" si="6"/>
        <v>0</v>
      </c>
      <c r="N27" s="23">
        <f t="shared" si="3"/>
        <v>0</v>
      </c>
      <c r="O27" s="23">
        <f t="shared" si="3"/>
        <v>0</v>
      </c>
      <c r="P27" s="23">
        <f t="shared" si="3"/>
        <v>0</v>
      </c>
      <c r="Q27" s="23">
        <f t="shared" si="3"/>
        <v>0</v>
      </c>
      <c r="R27" s="23">
        <f t="shared" si="3"/>
        <v>0</v>
      </c>
      <c r="S27" s="23">
        <f t="shared" si="3"/>
        <v>0</v>
      </c>
      <c r="T27" s="23">
        <f t="shared" si="3"/>
        <v>0</v>
      </c>
      <c r="U27" s="23">
        <f t="shared" si="3"/>
        <v>0</v>
      </c>
      <c r="V27" s="23">
        <f t="shared" si="3"/>
        <v>0</v>
      </c>
      <c r="W27" s="23">
        <f t="shared" si="3"/>
        <v>0</v>
      </c>
      <c r="X27" s="23">
        <f t="shared" si="3"/>
        <v>0</v>
      </c>
      <c r="Y27" s="23">
        <f t="shared" si="7"/>
        <v>0</v>
      </c>
      <c r="Z27" s="23">
        <f t="shared" si="4"/>
        <v>0</v>
      </c>
      <c r="AA27" s="23">
        <f t="shared" si="4"/>
        <v>0</v>
      </c>
      <c r="AB27" s="23">
        <f t="shared" si="4"/>
        <v>0</v>
      </c>
      <c r="AC27" s="23">
        <f t="shared" si="4"/>
        <v>0</v>
      </c>
      <c r="AD27" s="23">
        <f t="shared" si="4"/>
        <v>0</v>
      </c>
      <c r="AE27" s="23">
        <f t="shared" si="4"/>
        <v>0</v>
      </c>
      <c r="AF27" s="23">
        <f t="shared" si="4"/>
        <v>0</v>
      </c>
      <c r="AG27" s="23">
        <f t="shared" si="4"/>
        <v>0</v>
      </c>
      <c r="AH27" s="23">
        <f t="shared" si="4"/>
        <v>0</v>
      </c>
      <c r="AI27" s="23">
        <f t="shared" si="4"/>
        <v>0</v>
      </c>
      <c r="AJ27" s="23">
        <f t="shared" si="4"/>
        <v>0</v>
      </c>
      <c r="AK27" s="23">
        <f t="shared" si="8"/>
        <v>0</v>
      </c>
      <c r="AL27" s="23">
        <f t="shared" si="5"/>
        <v>0</v>
      </c>
      <c r="AM27" s="23">
        <f t="shared" si="5"/>
        <v>0</v>
      </c>
      <c r="AN27" s="23">
        <f t="shared" si="5"/>
        <v>0</v>
      </c>
      <c r="AO27" s="23">
        <f t="shared" si="5"/>
        <v>0</v>
      </c>
      <c r="AP27" s="23">
        <f t="shared" si="5"/>
        <v>0</v>
      </c>
      <c r="AQ27" s="23">
        <f t="shared" si="5"/>
        <v>0</v>
      </c>
      <c r="AR27" s="23">
        <f t="shared" si="5"/>
        <v>0</v>
      </c>
      <c r="AS27" s="23">
        <f t="shared" si="5"/>
        <v>0</v>
      </c>
      <c r="AT27" s="23">
        <f t="shared" si="5"/>
        <v>0</v>
      </c>
      <c r="AU27" s="23">
        <f t="shared" si="5"/>
        <v>0</v>
      </c>
      <c r="AV27" s="23">
        <f t="shared" si="5"/>
        <v>0</v>
      </c>
    </row>
    <row r="28" spans="1:48" ht="17.25">
      <c r="A28" s="40">
        <f>IF(Inställningar!$B$5="JA",Tider!E17,Tider!A17)</f>
        <v>15</v>
      </c>
      <c r="B28" s="41" t="str">
        <f>+VLOOKUP(F28,Grupper!$B$1:$C$12,2,FALSE)</f>
        <v>B</v>
      </c>
      <c r="C28" s="42">
        <f>IF(AND(Lottning!$B$2&gt;0,OR(F28=F27,F28=H27,H28=F27,H28=H27)),Tider!B17+Inställningar!$B$3,Tider!B17)</f>
        <v>0.45972222222222253</v>
      </c>
      <c r="D28" s="21" t="s">
        <v>67</v>
      </c>
      <c r="E28" s="42">
        <f>IF(AND(Lottning!$B$2&gt;0,OR(F28=F27,F28=H27,H28=F27,H28=H27)),Tider!C17+Inställningar!$B$3,Tider!C17)</f>
        <v>0.4680555555555559</v>
      </c>
      <c r="F28" s="20" t="str">
        <f>+VLOOKUP(Spelordning!B16,Lottning!$A$1:$B$13,2,FALSE)</f>
        <v>Eskilsminne IF</v>
      </c>
      <c r="G28" s="21" t="s">
        <v>67</v>
      </c>
      <c r="H28" s="20" t="str">
        <f>+VLOOKUP(Spelordning!C16,Lottning!$A$1:$B$13,2,FALSE)</f>
        <v>Billeberga GIF</v>
      </c>
      <c r="J28" s="21" t="s">
        <v>67</v>
      </c>
      <c r="L28" s="43"/>
      <c r="M28" s="23">
        <f t="shared" si="6"/>
        <v>0</v>
      </c>
      <c r="N28" s="23">
        <f t="shared" si="3"/>
        <v>0</v>
      </c>
      <c r="O28" s="23">
        <f t="shared" si="3"/>
        <v>0</v>
      </c>
      <c r="P28" s="23">
        <f t="shared" si="3"/>
        <v>0</v>
      </c>
      <c r="Q28" s="23">
        <f t="shared" si="3"/>
        <v>0</v>
      </c>
      <c r="R28" s="23">
        <f t="shared" si="3"/>
        <v>0</v>
      </c>
      <c r="S28" s="23">
        <f t="shared" si="3"/>
        <v>0</v>
      </c>
      <c r="T28" s="23">
        <f t="shared" si="3"/>
        <v>0</v>
      </c>
      <c r="U28" s="23">
        <f t="shared" si="3"/>
        <v>0</v>
      </c>
      <c r="V28" s="23">
        <f t="shared" si="3"/>
        <v>0</v>
      </c>
      <c r="W28" s="23">
        <f t="shared" si="3"/>
        <v>0</v>
      </c>
      <c r="X28" s="23">
        <f t="shared" si="3"/>
        <v>0</v>
      </c>
      <c r="Y28" s="23">
        <f t="shared" si="7"/>
        <v>0</v>
      </c>
      <c r="Z28" s="23">
        <f t="shared" si="4"/>
        <v>0</v>
      </c>
      <c r="AA28" s="23">
        <f t="shared" si="4"/>
        <v>0</v>
      </c>
      <c r="AB28" s="23">
        <f t="shared" si="4"/>
        <v>0</v>
      </c>
      <c r="AC28" s="23">
        <f t="shared" si="4"/>
        <v>0</v>
      </c>
      <c r="AD28" s="23">
        <f t="shared" si="4"/>
        <v>0</v>
      </c>
      <c r="AE28" s="23">
        <f t="shared" si="4"/>
        <v>0</v>
      </c>
      <c r="AF28" s="23">
        <f t="shared" si="4"/>
        <v>0</v>
      </c>
      <c r="AG28" s="23">
        <f t="shared" si="4"/>
        <v>0</v>
      </c>
      <c r="AH28" s="23">
        <f t="shared" si="4"/>
        <v>0</v>
      </c>
      <c r="AI28" s="23">
        <f t="shared" si="4"/>
        <v>0</v>
      </c>
      <c r="AJ28" s="23">
        <f t="shared" si="4"/>
        <v>0</v>
      </c>
      <c r="AK28" s="23">
        <f t="shared" si="8"/>
        <v>0</v>
      </c>
      <c r="AL28" s="23">
        <f t="shared" si="5"/>
        <v>0</v>
      </c>
      <c r="AM28" s="23">
        <f t="shared" si="5"/>
        <v>0</v>
      </c>
      <c r="AN28" s="23">
        <f t="shared" si="5"/>
        <v>0</v>
      </c>
      <c r="AO28" s="23">
        <f t="shared" si="5"/>
        <v>0</v>
      </c>
      <c r="AP28" s="23">
        <f t="shared" si="5"/>
        <v>0</v>
      </c>
      <c r="AQ28" s="23">
        <f t="shared" si="5"/>
        <v>0</v>
      </c>
      <c r="AR28" s="23">
        <f t="shared" si="5"/>
        <v>0</v>
      </c>
      <c r="AS28" s="23">
        <f t="shared" si="5"/>
        <v>0</v>
      </c>
      <c r="AT28" s="23">
        <f t="shared" si="5"/>
        <v>0</v>
      </c>
      <c r="AU28" s="23">
        <f t="shared" si="5"/>
        <v>0</v>
      </c>
      <c r="AV28" s="23">
        <f t="shared" si="5"/>
        <v>0</v>
      </c>
    </row>
    <row r="29" spans="1:48" ht="17.25">
      <c r="A29" s="40">
        <f>IF(Inställningar!$B$5="JA",Tider!E18,Tider!A18)</f>
        <v>16</v>
      </c>
      <c r="B29" s="41" t="str">
        <f>+VLOOKUP(F29,Grupper!$B$1:$C$12,2,FALSE)</f>
        <v>B</v>
      </c>
      <c r="C29" s="42">
        <f>IF(AND(Lottning!$B$2&gt;0,OR(F29=F28,F29=H28,H29=F28,H29=H28)),Tider!B18+Inställningar!$B$3,Tider!B18)</f>
        <v>0.46875000000000033</v>
      </c>
      <c r="D29" s="21" t="s">
        <v>67</v>
      </c>
      <c r="E29" s="42">
        <f>IF(AND(Lottning!$B$2&gt;0,OR(F29=F28,F29=H28,H29=F28,H29=H28)),Tider!C18+Inställningar!$B$3,Tider!C18)</f>
        <v>0.4770833333333337</v>
      </c>
      <c r="F29" s="20" t="str">
        <f>+VLOOKUP(Spelordning!B17,Lottning!$A$1:$B$13,2,FALSE)</f>
        <v>IK Wormo</v>
      </c>
      <c r="G29" s="21" t="s">
        <v>67</v>
      </c>
      <c r="H29" s="20" t="str">
        <f>+VLOOKUP(Spelordning!C17,Lottning!$A$1:$B$13,2,FALSE)</f>
        <v>Svalövs BK 1</v>
      </c>
      <c r="J29" s="21" t="s">
        <v>67</v>
      </c>
      <c r="L29" s="43"/>
      <c r="M29" s="23">
        <f t="shared" si="6"/>
        <v>0</v>
      </c>
      <c r="N29" s="23">
        <f t="shared" si="3"/>
        <v>0</v>
      </c>
      <c r="O29" s="23">
        <f t="shared" si="3"/>
        <v>0</v>
      </c>
      <c r="P29" s="23">
        <f t="shared" si="3"/>
        <v>0</v>
      </c>
      <c r="Q29" s="23">
        <f t="shared" si="3"/>
        <v>0</v>
      </c>
      <c r="R29" s="23">
        <f t="shared" si="3"/>
        <v>0</v>
      </c>
      <c r="S29" s="23">
        <f t="shared" si="3"/>
        <v>0</v>
      </c>
      <c r="T29" s="23">
        <f t="shared" si="3"/>
        <v>0</v>
      </c>
      <c r="U29" s="23">
        <f t="shared" si="3"/>
        <v>0</v>
      </c>
      <c r="V29" s="23">
        <f t="shared" si="3"/>
        <v>0</v>
      </c>
      <c r="W29" s="23">
        <f t="shared" si="3"/>
        <v>0</v>
      </c>
      <c r="X29" s="23">
        <f t="shared" si="3"/>
        <v>0</v>
      </c>
      <c r="Y29" s="23">
        <f t="shared" si="7"/>
        <v>0</v>
      </c>
      <c r="Z29" s="23">
        <f t="shared" si="4"/>
        <v>0</v>
      </c>
      <c r="AA29" s="23">
        <f t="shared" si="4"/>
        <v>0</v>
      </c>
      <c r="AB29" s="23">
        <f t="shared" si="4"/>
        <v>0</v>
      </c>
      <c r="AC29" s="23">
        <f t="shared" si="4"/>
        <v>0</v>
      </c>
      <c r="AD29" s="23">
        <f t="shared" si="4"/>
        <v>0</v>
      </c>
      <c r="AE29" s="23">
        <f t="shared" si="4"/>
        <v>0</v>
      </c>
      <c r="AF29" s="23">
        <f t="shared" si="4"/>
        <v>0</v>
      </c>
      <c r="AG29" s="23">
        <f t="shared" si="4"/>
        <v>0</v>
      </c>
      <c r="AH29" s="23">
        <f t="shared" si="4"/>
        <v>0</v>
      </c>
      <c r="AI29" s="23">
        <f t="shared" si="4"/>
        <v>0</v>
      </c>
      <c r="AJ29" s="23">
        <f t="shared" si="4"/>
        <v>0</v>
      </c>
      <c r="AK29" s="23">
        <f t="shared" si="8"/>
        <v>0</v>
      </c>
      <c r="AL29" s="23">
        <f t="shared" si="5"/>
        <v>0</v>
      </c>
      <c r="AM29" s="23">
        <f t="shared" si="5"/>
        <v>0</v>
      </c>
      <c r="AN29" s="23">
        <f t="shared" si="5"/>
        <v>0</v>
      </c>
      <c r="AO29" s="23">
        <f t="shared" si="5"/>
        <v>0</v>
      </c>
      <c r="AP29" s="23">
        <f t="shared" si="5"/>
        <v>0</v>
      </c>
      <c r="AQ29" s="23">
        <f t="shared" si="5"/>
        <v>0</v>
      </c>
      <c r="AR29" s="23">
        <f t="shared" si="5"/>
        <v>0</v>
      </c>
      <c r="AS29" s="23">
        <f t="shared" si="5"/>
        <v>0</v>
      </c>
      <c r="AT29" s="23">
        <f t="shared" si="5"/>
        <v>0</v>
      </c>
      <c r="AU29" s="23">
        <f t="shared" si="5"/>
        <v>0</v>
      </c>
      <c r="AV29" s="23">
        <f t="shared" si="5"/>
        <v>0</v>
      </c>
    </row>
    <row r="30" spans="1:48" s="1" customFormat="1" ht="5.25" customHeight="1">
      <c r="A30" s="34"/>
      <c r="B30" s="35"/>
      <c r="C30" s="36"/>
      <c r="D30" s="37"/>
      <c r="E30" s="36"/>
      <c r="F30" s="38"/>
      <c r="G30" s="37"/>
      <c r="H30" s="38"/>
      <c r="I30" s="38"/>
      <c r="J30" s="37"/>
      <c r="K30" s="38"/>
      <c r="L30" s="38"/>
      <c r="M30" s="23">
        <f t="shared" si="6"/>
        <v>0</v>
      </c>
      <c r="N30" s="23">
        <f t="shared" si="3"/>
        <v>0</v>
      </c>
      <c r="O30" s="23">
        <f t="shared" si="3"/>
        <v>0</v>
      </c>
      <c r="P30" s="23">
        <f t="shared" si="3"/>
        <v>0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  <c r="V30" s="23">
        <f t="shared" si="3"/>
        <v>0</v>
      </c>
      <c r="W30" s="23">
        <f t="shared" si="3"/>
        <v>0</v>
      </c>
      <c r="X30" s="23">
        <f t="shared" si="3"/>
        <v>0</v>
      </c>
      <c r="Y30" s="23">
        <f t="shared" si="7"/>
        <v>0</v>
      </c>
      <c r="Z30" s="23">
        <f t="shared" si="4"/>
        <v>0</v>
      </c>
      <c r="AA30" s="23">
        <f t="shared" si="4"/>
        <v>0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3">
        <f t="shared" si="4"/>
        <v>0</v>
      </c>
      <c r="AF30" s="23">
        <f t="shared" si="4"/>
        <v>0</v>
      </c>
      <c r="AG30" s="23">
        <f t="shared" si="4"/>
        <v>0</v>
      </c>
      <c r="AH30" s="23">
        <f t="shared" si="4"/>
        <v>0</v>
      </c>
      <c r="AI30" s="23">
        <f t="shared" si="4"/>
        <v>0</v>
      </c>
      <c r="AJ30" s="23">
        <f t="shared" si="4"/>
        <v>0</v>
      </c>
      <c r="AK30" s="23">
        <f t="shared" si="8"/>
        <v>0</v>
      </c>
      <c r="AL30" s="23">
        <f t="shared" si="5"/>
        <v>0</v>
      </c>
      <c r="AM30" s="23">
        <f t="shared" si="5"/>
        <v>0</v>
      </c>
      <c r="AN30" s="23">
        <f t="shared" si="5"/>
        <v>0</v>
      </c>
      <c r="AO30" s="23">
        <f t="shared" si="5"/>
        <v>0</v>
      </c>
      <c r="AP30" s="23">
        <f t="shared" si="5"/>
        <v>0</v>
      </c>
      <c r="AQ30" s="23">
        <f t="shared" si="5"/>
        <v>0</v>
      </c>
      <c r="AR30" s="23">
        <f t="shared" si="5"/>
        <v>0</v>
      </c>
      <c r="AS30" s="23">
        <f t="shared" si="5"/>
        <v>0</v>
      </c>
      <c r="AT30" s="23">
        <f t="shared" si="5"/>
        <v>0</v>
      </c>
      <c r="AU30" s="23">
        <f t="shared" si="5"/>
        <v>0</v>
      </c>
      <c r="AV30" s="23">
        <f t="shared" si="5"/>
        <v>0</v>
      </c>
    </row>
    <row r="31" spans="1:48" ht="17.25">
      <c r="A31" s="40">
        <f>IF(Inställningar!$B$5="JA",Tider!E19,Tider!A19)</f>
        <v>17</v>
      </c>
      <c r="B31" s="41" t="str">
        <f>+VLOOKUP(F31,Grupper!$B$1:$C$12,2,FALSE)</f>
        <v>A</v>
      </c>
      <c r="C31" s="42">
        <f>IF(AND(Lottning!$B$2&gt;0,OR(F31=F30,F31=H30,H31=F30,H31=H30)),Tider!B19+Inställningar!$B$3,Tider!B19)</f>
        <v>0.47777777777777813</v>
      </c>
      <c r="D31" s="21" t="s">
        <v>67</v>
      </c>
      <c r="E31" s="42">
        <f>IF(AND(Lottning!$B$2&gt;0,OR(F31=F30,F31=H30,H31=F30,H31=H30)),Tider!C19+Inställningar!$B$3,Tider!C19)</f>
        <v>0.4861111111111115</v>
      </c>
      <c r="F31" s="20" t="str">
        <f>+VLOOKUP(Spelordning!B18,Lottning!$A$1:$B$13,2,FALSE)</f>
        <v>Ekeby GIF</v>
      </c>
      <c r="G31" s="21" t="s">
        <v>67</v>
      </c>
      <c r="H31" s="20" t="str">
        <f>+VLOOKUP(Spelordning!C18,Lottning!$A$1:$B$13,2,FALSE)</f>
        <v>Teckomatorps SK</v>
      </c>
      <c r="J31" s="21" t="s">
        <v>67</v>
      </c>
      <c r="L31" s="43"/>
      <c r="M31" s="23">
        <f t="shared" si="6"/>
        <v>0</v>
      </c>
      <c r="N31" s="23">
        <f t="shared" si="3"/>
        <v>0</v>
      </c>
      <c r="O31" s="23">
        <f t="shared" si="3"/>
        <v>0</v>
      </c>
      <c r="P31" s="23">
        <f t="shared" si="3"/>
        <v>0</v>
      </c>
      <c r="Q31" s="23">
        <f t="shared" si="3"/>
        <v>0</v>
      </c>
      <c r="R31" s="23">
        <f t="shared" si="3"/>
        <v>0</v>
      </c>
      <c r="S31" s="23">
        <f t="shared" si="3"/>
        <v>0</v>
      </c>
      <c r="T31" s="23">
        <f t="shared" si="3"/>
        <v>0</v>
      </c>
      <c r="U31" s="23">
        <f t="shared" si="3"/>
        <v>0</v>
      </c>
      <c r="V31" s="23">
        <f t="shared" si="3"/>
        <v>0</v>
      </c>
      <c r="W31" s="23">
        <f t="shared" si="3"/>
        <v>0</v>
      </c>
      <c r="X31" s="23">
        <f t="shared" si="3"/>
        <v>0</v>
      </c>
      <c r="Y31" s="23">
        <f t="shared" si="7"/>
        <v>0</v>
      </c>
      <c r="Z31" s="23">
        <f t="shared" si="4"/>
        <v>0</v>
      </c>
      <c r="AA31" s="23">
        <f t="shared" si="4"/>
        <v>0</v>
      </c>
      <c r="AB31" s="23">
        <f t="shared" si="4"/>
        <v>0</v>
      </c>
      <c r="AC31" s="23">
        <f t="shared" si="4"/>
        <v>0</v>
      </c>
      <c r="AD31" s="23">
        <f t="shared" si="4"/>
        <v>0</v>
      </c>
      <c r="AE31" s="23">
        <f t="shared" si="4"/>
        <v>0</v>
      </c>
      <c r="AF31" s="23">
        <f t="shared" si="4"/>
        <v>0</v>
      </c>
      <c r="AG31" s="23">
        <f t="shared" si="4"/>
        <v>0</v>
      </c>
      <c r="AH31" s="23">
        <f t="shared" si="4"/>
        <v>0</v>
      </c>
      <c r="AI31" s="23">
        <f t="shared" si="4"/>
        <v>0</v>
      </c>
      <c r="AJ31" s="23">
        <f t="shared" si="4"/>
        <v>0</v>
      </c>
      <c r="AK31" s="23">
        <f t="shared" si="8"/>
        <v>0</v>
      </c>
      <c r="AL31" s="23">
        <f t="shared" si="5"/>
        <v>0</v>
      </c>
      <c r="AM31" s="23">
        <f t="shared" si="5"/>
        <v>0</v>
      </c>
      <c r="AN31" s="23">
        <f t="shared" si="5"/>
        <v>0</v>
      </c>
      <c r="AO31" s="23">
        <f t="shared" si="5"/>
        <v>0</v>
      </c>
      <c r="AP31" s="23">
        <f t="shared" si="5"/>
        <v>0</v>
      </c>
      <c r="AQ31" s="23">
        <f t="shared" si="5"/>
        <v>0</v>
      </c>
      <c r="AR31" s="23">
        <f t="shared" si="5"/>
        <v>0</v>
      </c>
      <c r="AS31" s="23">
        <f t="shared" si="5"/>
        <v>0</v>
      </c>
      <c r="AT31" s="23">
        <f t="shared" si="5"/>
        <v>0</v>
      </c>
      <c r="AU31" s="23">
        <f t="shared" si="5"/>
        <v>0</v>
      </c>
      <c r="AV31" s="23">
        <f t="shared" si="5"/>
        <v>0</v>
      </c>
    </row>
    <row r="32" spans="1:48" ht="17.25">
      <c r="A32" s="40">
        <f>IF(Inställningar!$B$5="JA",Tider!E20,Tider!A20)</f>
        <v>18</v>
      </c>
      <c r="B32" s="41" t="str">
        <f>+VLOOKUP(F32,Grupper!$B$1:$C$12,2,FALSE)</f>
        <v>A</v>
      </c>
      <c r="C32" s="42">
        <f>IF(AND(Lottning!$B$2&gt;0,OR(F32=F31,F32=H31,H32=F31,H32=H31)),Tider!B20+Inställningar!$B$3,Tider!B20)</f>
        <v>0.48680555555555594</v>
      </c>
      <c r="D32" s="21" t="s">
        <v>67</v>
      </c>
      <c r="E32" s="42">
        <f>IF(AND(Lottning!$B$2&gt;0,OR(F32=F31,F32=H31,H32=F31,H32=H31)),Tider!C20+Inställningar!$B$3,Tider!C20)</f>
        <v>0.4951388888888893</v>
      </c>
      <c r="F32" s="20" t="str">
        <f>+VLOOKUP(Spelordning!B19,Lottning!$A$1:$B$13,2,FALSE)</f>
        <v>Kågeröds BoIF</v>
      </c>
      <c r="G32" s="21" t="s">
        <v>67</v>
      </c>
      <c r="H32" s="20" t="str">
        <f>+VLOOKUP(Spelordning!C19,Lottning!$A$1:$B$13,2,FALSE)</f>
        <v>Marieholms IS</v>
      </c>
      <c r="J32" s="21" t="s">
        <v>67</v>
      </c>
      <c r="L32" s="43"/>
      <c r="M32" s="23">
        <f t="shared" si="6"/>
        <v>0</v>
      </c>
      <c r="N32" s="23">
        <f t="shared" si="3"/>
        <v>0</v>
      </c>
      <c r="O32" s="23">
        <f t="shared" si="3"/>
        <v>0</v>
      </c>
      <c r="P32" s="23">
        <f t="shared" si="3"/>
        <v>0</v>
      </c>
      <c r="Q32" s="23">
        <f t="shared" si="3"/>
        <v>0</v>
      </c>
      <c r="R32" s="23">
        <f t="shared" si="3"/>
        <v>0</v>
      </c>
      <c r="S32" s="23">
        <f t="shared" si="3"/>
        <v>0</v>
      </c>
      <c r="T32" s="23">
        <f t="shared" si="3"/>
        <v>0</v>
      </c>
      <c r="U32" s="23">
        <f t="shared" si="3"/>
        <v>0</v>
      </c>
      <c r="V32" s="23">
        <f t="shared" si="3"/>
        <v>0</v>
      </c>
      <c r="W32" s="23">
        <f t="shared" si="3"/>
        <v>0</v>
      </c>
      <c r="X32" s="23">
        <f t="shared" si="3"/>
        <v>0</v>
      </c>
      <c r="Y32" s="23">
        <f t="shared" si="7"/>
        <v>0</v>
      </c>
      <c r="Z32" s="23">
        <f t="shared" si="4"/>
        <v>0</v>
      </c>
      <c r="AA32" s="23">
        <f t="shared" si="4"/>
        <v>0</v>
      </c>
      <c r="AB32" s="23">
        <f t="shared" si="4"/>
        <v>0</v>
      </c>
      <c r="AC32" s="23">
        <f t="shared" si="4"/>
        <v>0</v>
      </c>
      <c r="AD32" s="23">
        <f t="shared" si="4"/>
        <v>0</v>
      </c>
      <c r="AE32" s="23">
        <f t="shared" si="4"/>
        <v>0</v>
      </c>
      <c r="AF32" s="23">
        <f t="shared" si="4"/>
        <v>0</v>
      </c>
      <c r="AG32" s="23">
        <f t="shared" si="4"/>
        <v>0</v>
      </c>
      <c r="AH32" s="23">
        <f t="shared" si="4"/>
        <v>0</v>
      </c>
      <c r="AI32" s="23">
        <f t="shared" si="4"/>
        <v>0</v>
      </c>
      <c r="AJ32" s="23">
        <f t="shared" si="4"/>
        <v>0</v>
      </c>
      <c r="AK32" s="23">
        <f t="shared" si="8"/>
        <v>0</v>
      </c>
      <c r="AL32" s="23">
        <f t="shared" si="5"/>
        <v>0</v>
      </c>
      <c r="AM32" s="23">
        <f t="shared" si="5"/>
        <v>0</v>
      </c>
      <c r="AN32" s="23">
        <f t="shared" si="5"/>
        <v>0</v>
      </c>
      <c r="AO32" s="23">
        <f t="shared" si="5"/>
        <v>0</v>
      </c>
      <c r="AP32" s="23">
        <f t="shared" si="5"/>
        <v>0</v>
      </c>
      <c r="AQ32" s="23">
        <f t="shared" si="5"/>
        <v>0</v>
      </c>
      <c r="AR32" s="23">
        <f t="shared" si="5"/>
        <v>0</v>
      </c>
      <c r="AS32" s="23">
        <f t="shared" si="5"/>
        <v>0</v>
      </c>
      <c r="AT32" s="23">
        <f t="shared" si="5"/>
        <v>0</v>
      </c>
      <c r="AU32" s="23">
        <f t="shared" si="5"/>
        <v>0</v>
      </c>
      <c r="AV32" s="23">
        <f t="shared" si="5"/>
        <v>0</v>
      </c>
    </row>
    <row r="33" spans="1:48" ht="17.25">
      <c r="A33" s="40">
        <f>IF(Inställningar!$B$5="JA",Tider!E21,Tider!A21)</f>
        <v>19</v>
      </c>
      <c r="B33" s="41" t="str">
        <f>+VLOOKUP(F33,Grupper!$B$1:$C$12,2,FALSE)</f>
        <v>B</v>
      </c>
      <c r="C33" s="42">
        <f>IF(AND(Lottning!$B$2&gt;0,OR(F33=F32,F33=H32,H33=F32,H33=H32)),Tider!B21+Inställningar!$B$3,Tider!B21)</f>
        <v>0.49583333333333374</v>
      </c>
      <c r="D33" s="21" t="s">
        <v>67</v>
      </c>
      <c r="E33" s="42">
        <f>IF(AND(Lottning!$B$2&gt;0,OR(F33=F32,F33=H32,H33=F32,H33=H32)),Tider!C21+Inställningar!$B$3,Tider!C21)</f>
        <v>0.5041666666666671</v>
      </c>
      <c r="F33" s="20" t="str">
        <f>+VLOOKUP(Spelordning!B20,Lottning!$A$1:$B$13,2,FALSE)</f>
        <v>Gantofta IF</v>
      </c>
      <c r="G33" s="21" t="s">
        <v>67</v>
      </c>
      <c r="H33" s="20" t="str">
        <f>+VLOOKUP(Spelordning!C20,Lottning!$A$1:$B$13,2,FALSE)</f>
        <v>Eskilsminne IF</v>
      </c>
      <c r="J33" s="21" t="s">
        <v>67</v>
      </c>
      <c r="L33" s="43"/>
      <c r="M33" s="23">
        <f t="shared" si="6"/>
        <v>0</v>
      </c>
      <c r="N33" s="23">
        <f t="shared" si="3"/>
        <v>0</v>
      </c>
      <c r="O33" s="23">
        <f t="shared" si="3"/>
        <v>0</v>
      </c>
      <c r="P33" s="23">
        <f t="shared" si="3"/>
        <v>0</v>
      </c>
      <c r="Q33" s="23">
        <f t="shared" si="3"/>
        <v>0</v>
      </c>
      <c r="R33" s="23">
        <f t="shared" si="3"/>
        <v>0</v>
      </c>
      <c r="S33" s="23">
        <f t="shared" si="3"/>
        <v>0</v>
      </c>
      <c r="T33" s="23">
        <f t="shared" si="3"/>
        <v>0</v>
      </c>
      <c r="U33" s="23">
        <f t="shared" si="3"/>
        <v>0</v>
      </c>
      <c r="V33" s="23">
        <f t="shared" si="3"/>
        <v>0</v>
      </c>
      <c r="W33" s="23">
        <f t="shared" si="3"/>
        <v>0</v>
      </c>
      <c r="X33" s="23">
        <f t="shared" si="3"/>
        <v>0</v>
      </c>
      <c r="Y33" s="23">
        <f t="shared" si="7"/>
        <v>0</v>
      </c>
      <c r="Z33" s="23">
        <f t="shared" si="4"/>
        <v>0</v>
      </c>
      <c r="AA33" s="23">
        <f t="shared" si="4"/>
        <v>0</v>
      </c>
      <c r="AB33" s="23">
        <f t="shared" si="4"/>
        <v>0</v>
      </c>
      <c r="AC33" s="23">
        <f t="shared" si="4"/>
        <v>0</v>
      </c>
      <c r="AD33" s="23">
        <f t="shared" si="4"/>
        <v>0</v>
      </c>
      <c r="AE33" s="23">
        <f t="shared" si="4"/>
        <v>0</v>
      </c>
      <c r="AF33" s="23">
        <f t="shared" si="4"/>
        <v>0</v>
      </c>
      <c r="AG33" s="23">
        <f t="shared" si="4"/>
        <v>0</v>
      </c>
      <c r="AH33" s="23">
        <f t="shared" si="4"/>
        <v>0</v>
      </c>
      <c r="AI33" s="23">
        <f t="shared" si="4"/>
        <v>0</v>
      </c>
      <c r="AJ33" s="23">
        <f t="shared" si="4"/>
        <v>0</v>
      </c>
      <c r="AK33" s="23">
        <f t="shared" si="8"/>
        <v>0</v>
      </c>
      <c r="AL33" s="23">
        <f t="shared" si="5"/>
        <v>0</v>
      </c>
      <c r="AM33" s="23">
        <f t="shared" si="5"/>
        <v>0</v>
      </c>
      <c r="AN33" s="23">
        <f t="shared" si="5"/>
        <v>0</v>
      </c>
      <c r="AO33" s="23">
        <f t="shared" si="5"/>
        <v>0</v>
      </c>
      <c r="AP33" s="23">
        <f t="shared" si="5"/>
        <v>0</v>
      </c>
      <c r="AQ33" s="23">
        <f t="shared" si="5"/>
        <v>0</v>
      </c>
      <c r="AR33" s="23">
        <f t="shared" si="5"/>
        <v>0</v>
      </c>
      <c r="AS33" s="23">
        <f t="shared" si="5"/>
        <v>0</v>
      </c>
      <c r="AT33" s="23">
        <f t="shared" si="5"/>
        <v>0</v>
      </c>
      <c r="AU33" s="23">
        <f t="shared" si="5"/>
        <v>0</v>
      </c>
      <c r="AV33" s="23">
        <f t="shared" si="5"/>
        <v>0</v>
      </c>
    </row>
    <row r="34" spans="1:48" ht="17.25">
      <c r="A34" s="40">
        <f>IF(Inställningar!$B$5="JA",Tider!E22,Tider!A22)</f>
        <v>20</v>
      </c>
      <c r="B34" s="41" t="str">
        <f>+VLOOKUP(F34,Grupper!$B$1:$C$12,2,FALSE)</f>
        <v>B</v>
      </c>
      <c r="C34" s="42">
        <f>IF(AND(Lottning!$B$2&gt;0,OR(F34=F33,F34=H33,H34=F33,H34=H33)),Tider!B22+Inställningar!$B$3,Tider!B22)</f>
        <v>0.5048611111111115</v>
      </c>
      <c r="D34" s="21" t="s">
        <v>67</v>
      </c>
      <c r="E34" s="42">
        <f>IF(AND(Lottning!$B$2&gt;0,OR(F34=F33,F34=H33,H34=F33,H34=H33)),Tider!C22+Inställningar!$B$3,Tider!C22)</f>
        <v>0.5131944444444448</v>
      </c>
      <c r="F34" s="20" t="str">
        <f>+VLOOKUP(Spelordning!B21,Lottning!$A$1:$B$13,2,FALSE)</f>
        <v>Billeberga GIF</v>
      </c>
      <c r="G34" s="21" t="s">
        <v>67</v>
      </c>
      <c r="H34" s="20" t="str">
        <f>+VLOOKUP(Spelordning!C21,Lottning!$A$1:$B$13,2,FALSE)</f>
        <v>IK Wormo</v>
      </c>
      <c r="J34" s="21" t="s">
        <v>67</v>
      </c>
      <c r="L34" s="43"/>
      <c r="M34" s="23">
        <f t="shared" si="6"/>
        <v>0</v>
      </c>
      <c r="N34" s="23">
        <f t="shared" si="3"/>
        <v>0</v>
      </c>
      <c r="O34" s="23">
        <f t="shared" si="3"/>
        <v>0</v>
      </c>
      <c r="P34" s="23">
        <f t="shared" si="3"/>
        <v>0</v>
      </c>
      <c r="Q34" s="23">
        <f t="shared" si="3"/>
        <v>0</v>
      </c>
      <c r="R34" s="23">
        <f t="shared" si="3"/>
        <v>0</v>
      </c>
      <c r="S34" s="23">
        <f t="shared" si="3"/>
        <v>0</v>
      </c>
      <c r="T34" s="23">
        <f t="shared" si="3"/>
        <v>0</v>
      </c>
      <c r="U34" s="23">
        <f t="shared" si="3"/>
        <v>0</v>
      </c>
      <c r="V34" s="23">
        <f t="shared" si="3"/>
        <v>0</v>
      </c>
      <c r="W34" s="23">
        <f t="shared" si="3"/>
        <v>0</v>
      </c>
      <c r="X34" s="23">
        <f t="shared" si="3"/>
        <v>0</v>
      </c>
      <c r="Y34" s="23">
        <f t="shared" si="7"/>
        <v>0</v>
      </c>
      <c r="Z34" s="23">
        <f t="shared" si="4"/>
        <v>0</v>
      </c>
      <c r="AA34" s="23">
        <f t="shared" si="4"/>
        <v>0</v>
      </c>
      <c r="AB34" s="23">
        <f t="shared" si="4"/>
        <v>0</v>
      </c>
      <c r="AC34" s="23">
        <f t="shared" si="4"/>
        <v>0</v>
      </c>
      <c r="AD34" s="23">
        <f t="shared" si="4"/>
        <v>0</v>
      </c>
      <c r="AE34" s="23">
        <f t="shared" si="4"/>
        <v>0</v>
      </c>
      <c r="AF34" s="23">
        <f t="shared" si="4"/>
        <v>0</v>
      </c>
      <c r="AG34" s="23">
        <f t="shared" si="4"/>
        <v>0</v>
      </c>
      <c r="AH34" s="23">
        <f t="shared" si="4"/>
        <v>0</v>
      </c>
      <c r="AI34" s="23">
        <f t="shared" si="4"/>
        <v>0</v>
      </c>
      <c r="AJ34" s="23">
        <f t="shared" si="4"/>
        <v>0</v>
      </c>
      <c r="AK34" s="23">
        <f t="shared" si="8"/>
        <v>0</v>
      </c>
      <c r="AL34" s="23">
        <f t="shared" si="5"/>
        <v>0</v>
      </c>
      <c r="AM34" s="23">
        <f t="shared" si="5"/>
        <v>0</v>
      </c>
      <c r="AN34" s="23">
        <f t="shared" si="5"/>
        <v>0</v>
      </c>
      <c r="AO34" s="23">
        <f t="shared" si="5"/>
        <v>0</v>
      </c>
      <c r="AP34" s="23">
        <f t="shared" si="5"/>
        <v>0</v>
      </c>
      <c r="AQ34" s="23">
        <f t="shared" si="5"/>
        <v>0</v>
      </c>
      <c r="AR34" s="23">
        <f t="shared" si="5"/>
        <v>0</v>
      </c>
      <c r="AS34" s="23">
        <f t="shared" si="5"/>
        <v>0</v>
      </c>
      <c r="AT34" s="23">
        <f t="shared" si="5"/>
        <v>0</v>
      </c>
      <c r="AU34" s="23">
        <f t="shared" si="5"/>
        <v>0</v>
      </c>
      <c r="AV34" s="23">
        <f t="shared" si="5"/>
        <v>0</v>
      </c>
    </row>
    <row r="35" spans="1:48" s="1" customFormat="1" ht="5.25" customHeight="1">
      <c r="A35" s="34"/>
      <c r="B35" s="35"/>
      <c r="C35" s="36"/>
      <c r="D35" s="37"/>
      <c r="E35" s="36"/>
      <c r="F35" s="38"/>
      <c r="G35" s="37"/>
      <c r="H35" s="38"/>
      <c r="I35" s="38"/>
      <c r="J35" s="37"/>
      <c r="K35" s="38"/>
      <c r="L35" s="38"/>
      <c r="M35" s="23">
        <f t="shared" si="6"/>
        <v>0</v>
      </c>
      <c r="N35" s="23">
        <f t="shared" si="3"/>
        <v>0</v>
      </c>
      <c r="O35" s="23">
        <f t="shared" si="3"/>
        <v>0</v>
      </c>
      <c r="P35" s="23">
        <f t="shared" si="3"/>
        <v>0</v>
      </c>
      <c r="Q35" s="23">
        <f t="shared" si="3"/>
        <v>0</v>
      </c>
      <c r="R35" s="23">
        <f t="shared" si="3"/>
        <v>0</v>
      </c>
      <c r="S35" s="23">
        <f t="shared" si="3"/>
        <v>0</v>
      </c>
      <c r="T35" s="23">
        <f t="shared" si="3"/>
        <v>0</v>
      </c>
      <c r="U35" s="23">
        <f t="shared" si="3"/>
        <v>0</v>
      </c>
      <c r="V35" s="23">
        <f t="shared" si="3"/>
        <v>0</v>
      </c>
      <c r="W35" s="23">
        <f t="shared" si="3"/>
        <v>0</v>
      </c>
      <c r="X35" s="23">
        <f t="shared" si="3"/>
        <v>0</v>
      </c>
      <c r="Y35" s="23">
        <f t="shared" si="7"/>
        <v>0</v>
      </c>
      <c r="Z35" s="23">
        <f t="shared" si="4"/>
        <v>0</v>
      </c>
      <c r="AA35" s="23">
        <f t="shared" si="4"/>
        <v>0</v>
      </c>
      <c r="AB35" s="23">
        <f t="shared" si="4"/>
        <v>0</v>
      </c>
      <c r="AC35" s="23">
        <f t="shared" si="4"/>
        <v>0</v>
      </c>
      <c r="AD35" s="23">
        <f t="shared" si="4"/>
        <v>0</v>
      </c>
      <c r="AE35" s="23">
        <f t="shared" si="4"/>
        <v>0</v>
      </c>
      <c r="AF35" s="23">
        <f t="shared" si="4"/>
        <v>0</v>
      </c>
      <c r="AG35" s="23">
        <f t="shared" si="4"/>
        <v>0</v>
      </c>
      <c r="AH35" s="23">
        <f t="shared" si="4"/>
        <v>0</v>
      </c>
      <c r="AI35" s="23">
        <f t="shared" si="4"/>
        <v>0</v>
      </c>
      <c r="AJ35" s="23">
        <f t="shared" si="4"/>
        <v>0</v>
      </c>
      <c r="AK35" s="23">
        <f t="shared" si="8"/>
        <v>0</v>
      </c>
      <c r="AL35" s="23">
        <f t="shared" si="5"/>
        <v>0</v>
      </c>
      <c r="AM35" s="23">
        <f t="shared" si="5"/>
        <v>0</v>
      </c>
      <c r="AN35" s="23">
        <f t="shared" si="5"/>
        <v>0</v>
      </c>
      <c r="AO35" s="23">
        <f t="shared" si="5"/>
        <v>0</v>
      </c>
      <c r="AP35" s="23">
        <f t="shared" si="5"/>
        <v>0</v>
      </c>
      <c r="AQ35" s="23">
        <f t="shared" si="5"/>
        <v>0</v>
      </c>
      <c r="AR35" s="23">
        <f t="shared" si="5"/>
        <v>0</v>
      </c>
      <c r="AS35" s="23">
        <f t="shared" si="5"/>
        <v>0</v>
      </c>
      <c r="AT35" s="23">
        <f t="shared" si="5"/>
        <v>0</v>
      </c>
      <c r="AU35" s="23">
        <f t="shared" si="5"/>
        <v>0</v>
      </c>
      <c r="AV35" s="23">
        <f t="shared" si="5"/>
        <v>0</v>
      </c>
    </row>
    <row r="36" spans="1:48" ht="17.25">
      <c r="A36" s="40">
        <f>IF(Inställningar!$B$5="JA",Tider!E23,0)</f>
        <v>0</v>
      </c>
      <c r="B36" s="41">
        <f>IF(Inställningar!B5="JA",VLOOKUP(F36,Grupper!$B$1:$C$12,2,FALSE),"")</f>
      </c>
      <c r="C36" s="42">
        <f>IF(Inställningar!B5="ja",(IF(AND(Lottning!$B$2&gt;0,OR(F36=F34,F36=H34,H36=F34,H36=H34)),"",VLOOKUP($A36,Tider!$E$3:$G$27,2,FALSE))),"")</f>
      </c>
      <c r="D36" s="21">
        <f>IF(Inställningar!B5="JA","-","")</f>
      </c>
      <c r="E36" s="42">
        <f>IF(Inställningar!B5="ja",(IF(AND(Lottning!$B$2&gt;0,OR(F34=F33,F34=H33,H34=F33,H34=H33)),"",VLOOKUP($A36,Tider!$E$3:$G$27,3,FALSE))),"")</f>
      </c>
      <c r="F36" s="20">
        <f>IF(Inställningar!B5="JA",VLOOKUP(Spelordning!B22,Lottning!$A$1:$B$12,2,FALSE),"")</f>
      </c>
      <c r="G36" s="21">
        <f>IF(Inställningar!B5="JA","-","")</f>
      </c>
      <c r="H36" s="20">
        <f>IF(Inställningar!B5="JA",VLOOKUP(Spelordning!C22,Lottning!$A$1:$B$12,2,FALSE),"")</f>
      </c>
      <c r="J36" s="21">
        <f>IF(Inställningar!B5="JA","-","")</f>
      </c>
      <c r="L36" s="43"/>
      <c r="M36" s="23">
        <f t="shared" si="6"/>
        <v>0</v>
      </c>
      <c r="N36" s="23">
        <f t="shared" si="3"/>
        <v>0</v>
      </c>
      <c r="O36" s="23">
        <f t="shared" si="3"/>
        <v>0</v>
      </c>
      <c r="P36" s="23">
        <f t="shared" si="3"/>
        <v>0</v>
      </c>
      <c r="Q36" s="23">
        <f t="shared" si="3"/>
        <v>0</v>
      </c>
      <c r="R36" s="23">
        <f t="shared" si="3"/>
        <v>0</v>
      </c>
      <c r="S36" s="23">
        <f t="shared" si="3"/>
        <v>0</v>
      </c>
      <c r="T36" s="23">
        <f t="shared" si="3"/>
        <v>0</v>
      </c>
      <c r="U36" s="23">
        <f t="shared" si="3"/>
        <v>0</v>
      </c>
      <c r="V36" s="23">
        <f t="shared" si="3"/>
        <v>0</v>
      </c>
      <c r="W36" s="23">
        <f t="shared" si="3"/>
        <v>0</v>
      </c>
      <c r="X36" s="23">
        <f t="shared" si="3"/>
        <v>0</v>
      </c>
      <c r="Y36" s="23">
        <f t="shared" si="7"/>
        <v>0</v>
      </c>
      <c r="Z36" s="23">
        <f t="shared" si="4"/>
        <v>0</v>
      </c>
      <c r="AA36" s="23">
        <f t="shared" si="4"/>
        <v>0</v>
      </c>
      <c r="AB36" s="23">
        <f t="shared" si="4"/>
        <v>0</v>
      </c>
      <c r="AC36" s="23">
        <f t="shared" si="4"/>
        <v>0</v>
      </c>
      <c r="AD36" s="23">
        <f t="shared" si="4"/>
        <v>0</v>
      </c>
      <c r="AE36" s="23">
        <f t="shared" si="4"/>
        <v>0</v>
      </c>
      <c r="AF36" s="23">
        <f t="shared" si="4"/>
        <v>0</v>
      </c>
      <c r="AG36" s="23">
        <f t="shared" si="4"/>
        <v>0</v>
      </c>
      <c r="AH36" s="23">
        <f t="shared" si="4"/>
        <v>0</v>
      </c>
      <c r="AI36" s="23">
        <f t="shared" si="4"/>
        <v>0</v>
      </c>
      <c r="AJ36" s="23">
        <f t="shared" si="4"/>
        <v>0</v>
      </c>
      <c r="AK36" s="23">
        <f t="shared" si="8"/>
        <v>0</v>
      </c>
      <c r="AL36" s="23">
        <f t="shared" si="5"/>
        <v>0</v>
      </c>
      <c r="AM36" s="23">
        <f t="shared" si="5"/>
        <v>0</v>
      </c>
      <c r="AN36" s="23">
        <f t="shared" si="5"/>
        <v>0</v>
      </c>
      <c r="AO36" s="23">
        <f t="shared" si="5"/>
        <v>0</v>
      </c>
      <c r="AP36" s="23">
        <f t="shared" si="5"/>
        <v>0</v>
      </c>
      <c r="AQ36" s="23">
        <f t="shared" si="5"/>
        <v>0</v>
      </c>
      <c r="AR36" s="23">
        <f t="shared" si="5"/>
        <v>0</v>
      </c>
      <c r="AS36" s="23">
        <f t="shared" si="5"/>
        <v>0</v>
      </c>
      <c r="AT36" s="23">
        <f t="shared" si="5"/>
        <v>0</v>
      </c>
      <c r="AU36" s="23">
        <f t="shared" si="5"/>
        <v>0</v>
      </c>
      <c r="AV36" s="23">
        <f t="shared" si="5"/>
        <v>0</v>
      </c>
    </row>
    <row r="37" spans="1:48" s="1" customFormat="1" ht="5.25" customHeight="1">
      <c r="A37" s="34"/>
      <c r="B37" s="35"/>
      <c r="C37" s="36"/>
      <c r="D37" s="37"/>
      <c r="E37" s="36"/>
      <c r="F37" s="38"/>
      <c r="G37" s="37"/>
      <c r="H37" s="38"/>
      <c r="I37" s="38"/>
      <c r="J37" s="37"/>
      <c r="K37" s="38"/>
      <c r="L37" s="38"/>
      <c r="M37" s="23">
        <f t="shared" si="6"/>
        <v>0</v>
      </c>
      <c r="N37" s="23">
        <f t="shared" si="3"/>
        <v>0</v>
      </c>
      <c r="O37" s="23">
        <f t="shared" si="3"/>
        <v>0</v>
      </c>
      <c r="P37" s="23">
        <f t="shared" si="3"/>
        <v>0</v>
      </c>
      <c r="Q37" s="23">
        <f t="shared" si="3"/>
        <v>0</v>
      </c>
      <c r="R37" s="23">
        <f t="shared" si="3"/>
        <v>0</v>
      </c>
      <c r="S37" s="23">
        <f t="shared" si="3"/>
        <v>0</v>
      </c>
      <c r="T37" s="23">
        <f t="shared" si="3"/>
        <v>0</v>
      </c>
      <c r="U37" s="23">
        <f t="shared" si="3"/>
        <v>0</v>
      </c>
      <c r="V37" s="23">
        <f t="shared" si="3"/>
        <v>0</v>
      </c>
      <c r="W37" s="23">
        <f t="shared" si="3"/>
        <v>0</v>
      </c>
      <c r="X37" s="23">
        <f t="shared" si="3"/>
        <v>0</v>
      </c>
      <c r="Y37" s="23">
        <f t="shared" si="7"/>
        <v>0</v>
      </c>
      <c r="Z37" s="23">
        <f t="shared" si="4"/>
        <v>0</v>
      </c>
      <c r="AA37" s="23">
        <f t="shared" si="4"/>
        <v>0</v>
      </c>
      <c r="AB37" s="23">
        <f t="shared" si="4"/>
        <v>0</v>
      </c>
      <c r="AC37" s="23">
        <f t="shared" si="4"/>
        <v>0</v>
      </c>
      <c r="AD37" s="23">
        <f t="shared" si="4"/>
        <v>0</v>
      </c>
      <c r="AE37" s="23">
        <f t="shared" si="4"/>
        <v>0</v>
      </c>
      <c r="AF37" s="23">
        <f t="shared" si="4"/>
        <v>0</v>
      </c>
      <c r="AG37" s="23">
        <f t="shared" si="4"/>
        <v>0</v>
      </c>
      <c r="AH37" s="23">
        <f t="shared" si="4"/>
        <v>0</v>
      </c>
      <c r="AI37" s="23">
        <f t="shared" si="4"/>
        <v>0</v>
      </c>
      <c r="AJ37" s="23">
        <f t="shared" si="4"/>
        <v>0</v>
      </c>
      <c r="AK37" s="23">
        <f t="shared" si="8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</row>
    <row r="38" spans="1:12" ht="17.25">
      <c r="A38" s="40">
        <f>IF(Inställningar!B4="JA",IF(Inställningar!$B$5="JA",Tider!E24,Tider!A23),"")</f>
      </c>
      <c r="B38" s="41"/>
      <c r="C38" s="42">
        <f>IF(Inställningar!$B$5="JA",Tider!F24,IF(Inställningar!$B$4="JA",Tider!B23,""))</f>
      </c>
      <c r="D38" s="21">
        <f>IF(Inställningar!$B$4="JA","-","")</f>
      </c>
      <c r="E38" s="42">
        <f>IF(Inställningar!$B$5="JA",Tider!G24,IF(Inställningar!$B$4="JA",Tider!C23,""))</f>
      </c>
      <c r="F38" s="44">
        <f>IF(AND(Tabell!L14=Tabell!L15,Tabell!K14=Tabell!K15,Tabell!H14=Tabell!H15,L34="X",Inställningar!B4="JA",Inställningar!B5="NEJ"),Inställningar!B8,(IF(Inställningar!$B$5="NEJ",(IF(Inställningar!$B$4="JA",(IF(L34="x",Tabell!C14,"Vinnare grupp A")),"")),(IF(AND(Inställningar!$B$4="JA"),(IF(AND(L36="x",'Tabell Alla möter alla'!L11='Tabell Alla möter alla'!L12,'Tabell Alla möter alla'!K11='Tabell Alla möter alla'!K12,'Tabell Alla möter alla'!H11='Tabell Alla möter alla'!H12),Inställningar!B12,IF(L36="X",'Tabell Alla möter alla'!C11,"Vinnaren"))))))))</f>
      </c>
      <c r="G38" s="21">
        <f>IF(Inställningar!$B$4="JA","-","")</f>
      </c>
      <c r="H38" s="20">
        <f>IF(AND(Tabell!L19=Tabell!L20,Tabell!K19=Tabell!K20,Tabell!H19=Tabell!H20,L34="X",Inställningar!B4="JA",Inställningar!B5="NEJ"),Inställningar!B11,(IF(Inställningar!$B$5="NEJ",(IF(Inställningar!$B$4="JA",(IF(L34="x",Tabell!C20,"Tvåa grupp B")),"")),(IF(AND(Inställningar!$B$4="JA"),(IF(AND(L36="x",OR('Tabell Alla möter alla'!L13='Tabell Alla möter alla'!L12,'Tabell Alla möter alla'!L13='Tabell Alla möter alla'!L14),OR('Tabell Alla möter alla'!K13='Tabell Alla möter alla'!K12,'Tabell Alla möter alla'!K13='Tabell Alla möter alla'!K14),OR('Tabell Alla möter alla'!H13='Tabell Alla möter alla'!H12,'Tabell Alla möter alla'!H13='Tabell Alla möter alla'!H14)),Inställningar!B14,IF(L36="X",'Tabell Alla möter alla'!C13,"Trean"))))))))</f>
      </c>
      <c r="J38" s="21">
        <f>IF(Inställningar!$B$4="JA","-","")</f>
      </c>
      <c r="L38" s="43"/>
    </row>
    <row r="39" spans="1:12" ht="17.25">
      <c r="A39" s="40">
        <f>IF(Inställningar!B4="JA",IF(Inställningar!$B$5="JA",Tider!E25,Tider!A24),"")</f>
      </c>
      <c r="B39" s="41"/>
      <c r="C39" s="42">
        <f>IF(Inställningar!$B$5="JA",Tider!F25,IF(Inställningar!$B$4="JA",Tider!B24,""))</f>
      </c>
      <c r="D39" s="21">
        <f>IF(Inställningar!$B$4="JA","-","")</f>
      </c>
      <c r="E39" s="42">
        <f>IF(Inställningar!$B$5="JA",Tider!G25,IF(Inställningar!$B$4="JA",Tider!C24,""))</f>
      </c>
      <c r="F39" s="20">
        <f>IF(AND(Tabell!L19=Tabell!L20,Tabell!K19=Tabell!K20,Tabell!H19=Tabell!H20,L34="X",Inställningar!B4="JA",Inställningar!B5="NEJ"),Inställningar!B9,(IF(Inställningar!$B$5="NEJ",(IF(Inställningar!$B$4="JA",(IF(L34="x",Tabell!C19,"Vinnare grupp B")),"")),(IF(AND(Inställningar!$B$4="JA"),(IF(AND(L36="x",OR('Tabell Alla möter alla'!L11='Tabell Alla möter alla'!L12,'Tabell Alla möter alla'!L13='Tabell Alla möter alla'!L12),OR('Tabell Alla möter alla'!K11='Tabell Alla möter alla'!K12,'Tabell Alla möter alla'!K13='Tabell Alla möter alla'!K12),OR('Tabell Alla möter alla'!H11='Tabell Alla möter alla'!H12,'Tabell Alla möter alla'!H13='Tabell Alla möter alla'!H12)),Inställningar!B13,IF(L36="X",'Tabell Alla möter alla'!C12,"Tvåan"))))))))</f>
      </c>
      <c r="G39" s="21">
        <f>IF(Inställningar!$B$4="JA","-","")</f>
      </c>
      <c r="H39" s="20">
        <f>IF(AND(Tabell!L14=Tabell!L15,Tabell!K14=Tabell!K15,Tabell!H14=Tabell!H15,L34="X",Inställningar!B4="JA",Inställningar!B5="NEJ"),Inställningar!B10,(IF(Inställningar!$B$5="NEJ",(IF(Inställningar!$B$4="JA",(IF(L34="x",Tabell!C15,"Tvåa Grupp A")),"")),(IF(AND(Inställningar!$B$4="JA"),(IF(AND(L36="x",OR('Tabell Alla möter alla'!L14='Tabell Alla möter alla'!L15,'Tabell Alla möter alla'!L13='Tabell Alla möter alla'!L14),OR('Tabell Alla möter alla'!K14='Tabell Alla möter alla'!K15,'Tabell Alla möter alla'!K13='Tabell Alla möter alla'!K14),OR('Tabell Alla möter alla'!H14='Tabell Alla möter alla'!H15,'Tabell Alla möter alla'!H13='Tabell Alla möter alla'!H14)),Inställningar!B15,IF(L36="X",'Tabell Alla möter alla'!C14,"Fyran"))))))))</f>
      </c>
      <c r="J39" s="21">
        <f>IF(Inställningar!$B$4="JA","-","")</f>
      </c>
      <c r="L39" s="43"/>
    </row>
    <row r="40" spans="1:12" ht="17.25">
      <c r="A40" s="40">
        <f>IF(Inställningar!B4="JA",IF(Inställningar!$B$5="JA",Tider!E26,Tider!A25),"")</f>
      </c>
      <c r="B40" s="41"/>
      <c r="C40" s="42">
        <f>IF(Inställningar!$B$5="JA",Tider!F26,IF(Inställningar!$B$4="JA",Tider!B25,""))</f>
      </c>
      <c r="D40" s="21">
        <f>IF(Inställningar!$B$4="JA","-","")</f>
      </c>
      <c r="E40" s="42">
        <f>IF(Inställningar!$B$5="JA",Tider!G26,IF(Inställningar!$B$4="JA",Tider!C25,""))</f>
      </c>
      <c r="F40" s="20">
        <f>IF(Inställningar!$B$4="JA",(IF(L38="X",(IF(I38&lt;K38,F38,H38)),"Förlorare semi 1")),"")</f>
      </c>
      <c r="G40" s="21">
        <f>IF(Inställningar!$B$4="JA","-","")</f>
      </c>
      <c r="H40" s="20">
        <f>IF(Inställningar!$B$4="JA",(IF(L39="x",(IF(I39&lt;K39,F39,H39)),"Förlorare semi 2")),"")</f>
      </c>
      <c r="J40" s="21">
        <f>IF(Inställningar!$B$4="JA","-","")</f>
      </c>
      <c r="L40" s="43"/>
    </row>
    <row r="41" spans="1:12" ht="17.25">
      <c r="A41" s="40">
        <f>IF(Inställningar!B4="JA",IF(Inställningar!$B$5="JA",Tider!E27,Tider!A26),"")</f>
      </c>
      <c r="B41" s="41"/>
      <c r="C41" s="42">
        <f>IF(Inställningar!$B$5="JA",Tider!F27,IF(Inställningar!$B$4="JA",Tider!B26,""))</f>
      </c>
      <c r="D41" s="21">
        <f>IF(Inställningar!$B$4="JA","-","")</f>
      </c>
      <c r="E41" s="42">
        <f>IF(Inställningar!$B$5="JA",Tider!G27,IF(Inställningar!$B$4="JA",Tider!C26,""))</f>
      </c>
      <c r="F41" s="20">
        <f>IF(Inställningar!$B$4="JA",(IF(L38="X",(IF(I38&gt;K38,F38,H38)),"Vinnare semi 1")),"")</f>
      </c>
      <c r="G41" s="21">
        <f>IF(Inställningar!$B$4="JA","-","")</f>
      </c>
      <c r="H41" s="20">
        <f>IF(Inställningar!$B$4="JA",(IF(L39="X",(IF(I39&gt;K39,F39,H39)),"Vinnare semi 2")),"")</f>
      </c>
      <c r="J41" s="21">
        <f>IF(Inställningar!$B$4="JA","-","")</f>
      </c>
      <c r="L41" s="43"/>
    </row>
    <row r="42" spans="1:12" ht="24.75">
      <c r="A42" s="45">
        <f>+IF(L41="X","Slutresultat","")</f>
      </c>
      <c r="B42" s="46"/>
      <c r="G42" s="45">
        <f>+IF(L41="X","Cupens lirare","")</f>
      </c>
      <c r="I42" s="20"/>
      <c r="J42" s="20"/>
      <c r="K42" s="20"/>
      <c r="L42" s="20"/>
    </row>
    <row r="43" spans="1:12" ht="22.5">
      <c r="A43" s="47">
        <f>+IF(L41="X","Vinnare","")</f>
      </c>
      <c r="B43" s="48"/>
      <c r="C43" s="49">
        <f>IF(L41="X",(IF(I41&gt;K41,F41,H41)),"")</f>
      </c>
      <c r="D43" s="49"/>
      <c r="E43" s="49"/>
      <c r="F43" s="49"/>
      <c r="G43" s="19">
        <f>IF(L41="x","Namn:","")</f>
      </c>
      <c r="H43" s="50"/>
      <c r="I43" s="50"/>
      <c r="J43" s="50"/>
      <c r="K43" s="50"/>
      <c r="L43" s="51"/>
    </row>
    <row r="44" spans="1:12" ht="22.5">
      <c r="A44" s="47">
        <f>+IF(L41="X","Tvåa","")</f>
      </c>
      <c r="B44" s="48"/>
      <c r="C44" s="49">
        <f>+IF(L41="X",(IF(I41&lt;K41,F41,H41)),"")</f>
      </c>
      <c r="D44" s="49"/>
      <c r="E44" s="49"/>
      <c r="F44" s="49"/>
      <c r="G44" s="19">
        <f>IF(L41="x","Klubb:","")</f>
      </c>
      <c r="H44" s="50"/>
      <c r="I44" s="50"/>
      <c r="J44" s="50"/>
      <c r="K44" s="50"/>
      <c r="L44" s="51"/>
    </row>
    <row r="45" spans="1:12" ht="22.5">
      <c r="A45" s="47">
        <f>+IF(L41="X","Trea","")</f>
      </c>
      <c r="B45" s="48"/>
      <c r="C45" s="49">
        <f>+IF(L41="X",(IF(I40&gt;K40,F40,H40)),"")</f>
      </c>
      <c r="D45" s="49"/>
      <c r="E45" s="49"/>
      <c r="F45" s="49"/>
      <c r="G45" s="49"/>
      <c r="I45" s="20"/>
      <c r="J45" s="20"/>
      <c r="K45" s="20"/>
      <c r="L45" s="20"/>
    </row>
    <row r="46" spans="1:12" ht="22.5">
      <c r="A46" s="52">
        <f>+IF(L41="X","Fyra","")</f>
      </c>
      <c r="B46" s="53"/>
      <c r="C46" s="49">
        <f>++IF(L41="X",(IF(I40&lt;K40,F40,H40)),"")</f>
      </c>
      <c r="D46" s="49"/>
      <c r="E46" s="49"/>
      <c r="F46" s="49"/>
      <c r="G46" s="49"/>
      <c r="I46" s="20"/>
      <c r="J46" s="20"/>
      <c r="K46" s="20"/>
      <c r="L46" s="20"/>
    </row>
    <row r="47" ht="12.75" hidden="1">
      <c r="J47" s="20"/>
    </row>
    <row r="48" ht="12.75" hidden="1">
      <c r="J48" s="20"/>
    </row>
    <row r="49" ht="12.75" hidden="1">
      <c r="J49" s="20"/>
    </row>
    <row r="50" ht="12.75" hidden="1">
      <c r="J50" s="20"/>
    </row>
    <row r="51" ht="12.75" hidden="1">
      <c r="J51" s="20"/>
    </row>
    <row r="52" ht="12.75" hidden="1">
      <c r="J52" s="20"/>
    </row>
    <row r="53" ht="12.75" hidden="1">
      <c r="J53" s="20"/>
    </row>
    <row r="54" ht="12.75" hidden="1">
      <c r="J54" s="20"/>
    </row>
    <row r="55" ht="12.75" hidden="1">
      <c r="J55" s="20"/>
    </row>
    <row r="56" ht="12.75" hidden="1">
      <c r="J56" s="20"/>
    </row>
    <row r="57" ht="12.75" hidden="1">
      <c r="J57" s="20"/>
    </row>
    <row r="58" ht="12.75" hidden="1">
      <c r="J58" s="20"/>
    </row>
    <row r="59" ht="12.75" hidden="1">
      <c r="J59" s="20"/>
    </row>
    <row r="60" ht="12.75" hidden="1">
      <c r="J60" s="20"/>
    </row>
    <row r="61" ht="12.75" hidden="1">
      <c r="J61" s="20"/>
    </row>
    <row r="62" ht="12.75" hidden="1">
      <c r="J62" s="20"/>
    </row>
    <row r="63" ht="12.75" hidden="1">
      <c r="J63" s="20"/>
    </row>
    <row r="64" ht="12.75" hidden="1">
      <c r="J64" s="20"/>
    </row>
    <row r="65" ht="12.75" hidden="1">
      <c r="J65" s="20"/>
    </row>
    <row r="66" ht="12.75" hidden="1">
      <c r="J66" s="20"/>
    </row>
  </sheetData>
  <sheetProtection sheet="1" objects="1" scenarios="1"/>
  <mergeCells count="3">
    <mergeCell ref="I9:K9"/>
    <mergeCell ref="H43:K43"/>
    <mergeCell ref="H44:K44"/>
  </mergeCells>
  <conditionalFormatting sqref="M1:AV65536">
    <cfRule type="cellIs" priority="1" dxfId="1" operator="equal" stopIfTrue="1">
      <formula>TRUE</formula>
    </cfRule>
  </conditionalFormatting>
  <conditionalFormatting sqref="A36">
    <cfRule type="cellIs" priority="2" dxfId="2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/>
  <dimension ref="A1:M23"/>
  <sheetViews>
    <sheetView showGridLines="0" workbookViewId="0" topLeftCell="B13">
      <selection activeCell="B13" sqref="B13"/>
    </sheetView>
  </sheetViews>
  <sheetFormatPr defaultColWidth="1.1484375" defaultRowHeight="12.75" customHeight="1" zeroHeight="1"/>
  <cols>
    <col min="1" max="1" width="0" style="54" hidden="1" customWidth="1"/>
    <col min="2" max="2" width="3.28125" style="54" customWidth="1"/>
    <col min="3" max="3" width="21.57421875" style="54" customWidth="1"/>
    <col min="4" max="8" width="13.00390625" style="54" customWidth="1"/>
    <col min="9" max="9" width="1.57421875" style="54" customWidth="1"/>
    <col min="10" max="12" width="13.00390625" style="54" customWidth="1"/>
    <col min="13" max="13" width="7.140625" style="43" customWidth="1"/>
    <col min="14" max="15" width="0" style="43" hidden="1" customWidth="1"/>
    <col min="16" max="16384" width="0" style="54" hidden="1" customWidth="1"/>
  </cols>
  <sheetData>
    <row r="1" spans="2:12" s="33" customFormat="1" ht="12.75" customHeight="1" hidden="1">
      <c r="B1" s="19"/>
      <c r="C1" s="55"/>
      <c r="D1" s="19" t="s">
        <v>68</v>
      </c>
      <c r="E1" s="19" t="s">
        <v>69</v>
      </c>
      <c r="F1" s="19" t="s">
        <v>70</v>
      </c>
      <c r="G1" s="19" t="s">
        <v>71</v>
      </c>
      <c r="H1" s="19" t="s">
        <v>72</v>
      </c>
      <c r="I1" s="19"/>
      <c r="J1" s="19" t="s">
        <v>73</v>
      </c>
      <c r="K1" s="19" t="s">
        <v>74</v>
      </c>
      <c r="L1" s="19" t="s">
        <v>75</v>
      </c>
    </row>
    <row r="2" spans="1:12" ht="12.75" customHeight="1" hidden="1">
      <c r="A2" s="56">
        <f>+IF(Inställningar!B5="nej","GRUPP A","")</f>
        <v>0</v>
      </c>
      <c r="B2" s="57" t="str">
        <f>+Grupper!A1</f>
        <v>A1</v>
      </c>
      <c r="C2" s="58" t="str">
        <f>+Grupper!B1</f>
        <v>Svalövs BK 2</v>
      </c>
      <c r="D2" s="59">
        <f>+COUNTIF(Schema!M:M,"sant")</f>
        <v>0</v>
      </c>
      <c r="E2" s="59">
        <f>+COUNTIF(Schema!AK:AK,"sant")</f>
        <v>0</v>
      </c>
      <c r="F2" s="59">
        <f>+COUNTIF(Schema!Y:Y,"sant")</f>
        <v>0</v>
      </c>
      <c r="G2" s="60">
        <f>+D2+E2+F2</f>
        <v>0</v>
      </c>
      <c r="H2" s="61">
        <f>+SUMIF(Schema!$F$11:$F$34,Tabell!C2,Schema!$I$11:$I$34)+SUMIF(Schema!$H$11:$H$34,Tabell!C2,Schema!$K$11:$K$34)</f>
        <v>0</v>
      </c>
      <c r="I2" s="59" t="s">
        <v>67</v>
      </c>
      <c r="J2" s="62">
        <f>+SUMIF(Schema!$F$11:$F$34,Tabell!C2,Schema!$K$11:$K$34)+SUMIF(Schema!$H$11:$H$34,Tabell!C2,Schema!$I$11:$I$34)</f>
        <v>0</v>
      </c>
      <c r="K2" s="60">
        <f>+H2-J2</f>
        <v>0</v>
      </c>
      <c r="L2" s="60">
        <f>+D2*3+E2*1+F2*0</f>
        <v>0</v>
      </c>
    </row>
    <row r="3" spans="1:12" ht="12.75" customHeight="1" hidden="1">
      <c r="A3" s="56"/>
      <c r="B3" s="63" t="str">
        <f>+Grupper!A2</f>
        <v>A2</v>
      </c>
      <c r="C3" s="64" t="str">
        <f>+Grupper!B2</f>
        <v>Kågeröds BoIF</v>
      </c>
      <c r="D3" s="65">
        <f>+COUNTIF(Schema!N:N,"SANT")</f>
        <v>0</v>
      </c>
      <c r="E3" s="65">
        <f>+COUNTIF(Schema!AL:AL,"sant")</f>
        <v>0</v>
      </c>
      <c r="F3" s="65">
        <f>+COUNTIF(Schema!Z:Z,"sant")</f>
        <v>0</v>
      </c>
      <c r="G3" s="66">
        <f aca="true" t="shared" si="0" ref="G3:G8">+D3+E3+F3</f>
        <v>0</v>
      </c>
      <c r="H3" s="67">
        <f>+SUMIF(Schema!$F$11:$F$34,Tabell!C3,Schema!$I$11:$I$34)+SUMIF(Schema!$H$11:$H$34,Tabell!C3,Schema!$K$11:$K$34)</f>
        <v>0</v>
      </c>
      <c r="I3" s="65" t="s">
        <v>67</v>
      </c>
      <c r="J3" s="68">
        <f>+SUMIF(Schema!$F$11:$F$34,Tabell!C3,Schema!$K$11:$K$34)+SUMIF(Schema!$H$11:$H$34,Tabell!C3,Schema!$I$11:$I$34)</f>
        <v>0</v>
      </c>
      <c r="K3" s="66">
        <f aca="true" t="shared" si="1" ref="K3:K8">+H3-J3</f>
        <v>0</v>
      </c>
      <c r="L3" s="66">
        <f aca="true" t="shared" si="2" ref="L3:L8">+D3*3+E3*1+F3*0</f>
        <v>0</v>
      </c>
    </row>
    <row r="4" spans="1:12" ht="12.75" customHeight="1" hidden="1">
      <c r="A4" s="56"/>
      <c r="B4" s="63" t="str">
        <f>+Grupper!A3</f>
        <v>A3</v>
      </c>
      <c r="C4" s="64" t="str">
        <f>+Grupper!B3</f>
        <v>Ekeby GIF</v>
      </c>
      <c r="D4" s="65">
        <f>+COUNTIF(Schema!O:O,"SANT")</f>
        <v>0</v>
      </c>
      <c r="E4" s="65">
        <f>+COUNTIF(Schema!AM:AM,"sant")</f>
        <v>0</v>
      </c>
      <c r="F4" s="65">
        <f>+COUNTIF(Schema!AA:AA,"sant")</f>
        <v>0</v>
      </c>
      <c r="G4" s="66">
        <f t="shared" si="0"/>
        <v>0</v>
      </c>
      <c r="H4" s="67">
        <f>+SUMIF(Schema!$F$11:$F$34,Tabell!C4,Schema!$I$11:$I$34)+SUMIF(Schema!$H$11:$H$34,Tabell!C4,Schema!$K$11:$K$34)</f>
        <v>0</v>
      </c>
      <c r="I4" s="65" t="s">
        <v>67</v>
      </c>
      <c r="J4" s="68">
        <f>+SUMIF(Schema!$F$11:$F$34,Tabell!C4,Schema!$K$11:$K$34)+SUMIF(Schema!$H$11:$H$34,Tabell!C4,Schema!$I$11:$I$34)</f>
        <v>0</v>
      </c>
      <c r="K4" s="66">
        <f t="shared" si="1"/>
        <v>0</v>
      </c>
      <c r="L4" s="66">
        <f t="shared" si="2"/>
        <v>0</v>
      </c>
    </row>
    <row r="5" spans="1:12" ht="12.75" customHeight="1" hidden="1">
      <c r="A5" s="56"/>
      <c r="B5" s="63" t="str">
        <f>+Grupper!A4</f>
        <v>A4</v>
      </c>
      <c r="C5" s="64" t="str">
        <f>+Grupper!B4</f>
        <v>Marieholms IS</v>
      </c>
      <c r="D5" s="65">
        <f>+COUNTIF(Schema!P:P,"SANT")</f>
        <v>0</v>
      </c>
      <c r="E5" s="65">
        <f>+COUNTIF(Schema!AN:AN,"sant")</f>
        <v>0</v>
      </c>
      <c r="F5" s="65">
        <f>+COUNTIF(Schema!AB:AB,"sant")</f>
        <v>0</v>
      </c>
      <c r="G5" s="66">
        <f t="shared" si="0"/>
        <v>0</v>
      </c>
      <c r="H5" s="67">
        <f>+SUMIF(Schema!$F$11:$F$34,Tabell!C5,Schema!$I$11:$I$34)+SUMIF(Schema!$H$11:$H$34,Tabell!C5,Schema!$K$11:$K$34)</f>
        <v>0</v>
      </c>
      <c r="I5" s="65" t="s">
        <v>67</v>
      </c>
      <c r="J5" s="68">
        <f>+SUMIF(Schema!$F$11:$F$34,Tabell!C5,Schema!$K$11:$K$34)+SUMIF(Schema!$H$11:$H$34,Tabell!C5,Schema!$I$11:$I$34)</f>
        <v>0</v>
      </c>
      <c r="K5" s="66">
        <f t="shared" si="1"/>
        <v>0</v>
      </c>
      <c r="L5" s="66">
        <f t="shared" si="2"/>
        <v>0</v>
      </c>
    </row>
    <row r="6" spans="1:12" ht="12.75" customHeight="1" hidden="1">
      <c r="A6" s="56"/>
      <c r="B6" s="69" t="str">
        <f>+Grupper!A5</f>
        <v>A5</v>
      </c>
      <c r="C6" s="70" t="str">
        <f>+Grupper!B5</f>
        <v>Teckomatorps SK</v>
      </c>
      <c r="D6" s="71">
        <f>+COUNTIF(Schema!Q:Q,"SANT")</f>
        <v>0</v>
      </c>
      <c r="E6" s="71">
        <f>+COUNTIF(Schema!AO:AO,"sant")</f>
        <v>0</v>
      </c>
      <c r="F6" s="71">
        <f>+COUNTIF(Schema!AC:AC,"sant")</f>
        <v>0</v>
      </c>
      <c r="G6" s="72">
        <f t="shared" si="0"/>
        <v>0</v>
      </c>
      <c r="H6" s="73">
        <f>+SUMIF(Schema!$F$11:$F$34,Tabell!C6,Schema!$I$11:$I$34)+SUMIF(Schema!$H$11:$H$34,Tabell!C6,Schema!$K$11:$K$34)</f>
        <v>0</v>
      </c>
      <c r="I6" s="71" t="s">
        <v>67</v>
      </c>
      <c r="J6" s="74">
        <f>+SUMIF(Schema!$F$11:$F$34,Tabell!C6,Schema!$K$11:$K$34)+SUMIF(Schema!$H$11:$H$34,Tabell!C6,Schema!$I$11:$I$34)</f>
        <v>0</v>
      </c>
      <c r="K6" s="72">
        <f t="shared" si="1"/>
        <v>0</v>
      </c>
      <c r="L6" s="72">
        <f t="shared" si="2"/>
        <v>0</v>
      </c>
    </row>
    <row r="7" spans="1:12" ht="12.75" customHeight="1" hidden="1">
      <c r="A7" s="56">
        <f>+IF(Inställningar!B5="nej","GRUPP B","")</f>
        <v>0</v>
      </c>
      <c r="B7" s="57" t="str">
        <f>+IF(Inställningar!$B$5="nej",Grupper!A8,Grupper!A6)</f>
        <v>B1</v>
      </c>
      <c r="C7" s="58" t="str">
        <f>+IF(Inställningar!$B$5="NEJ",Grupper!B8,Grupper!B6)</f>
        <v>Svalövs BK 1</v>
      </c>
      <c r="D7" s="59">
        <f>+COUNTIF(Schema!T:T,"SANT")</f>
        <v>0</v>
      </c>
      <c r="E7" s="59">
        <f>+COUNTIF(Schema!AR:AR,"sant")</f>
        <v>0</v>
      </c>
      <c r="F7" s="59">
        <f>+COUNTIF(Schema!AF:AF,"sant")</f>
        <v>0</v>
      </c>
      <c r="G7" s="60">
        <f t="shared" si="0"/>
        <v>0</v>
      </c>
      <c r="H7" s="61">
        <f>+SUMIF(Schema!$F$11:$F$34,Tabell!C7,Schema!$I$11:$I$34)+SUMIF(Schema!$H$11:$H$34,Tabell!C7,Schema!$K$11:$K$34)</f>
        <v>0</v>
      </c>
      <c r="I7" s="59" t="s">
        <v>67</v>
      </c>
      <c r="J7" s="62">
        <f>+SUMIF(Schema!$F$11:$F$34,Tabell!C7,Schema!$K$11:$K$34)+SUMIF(Schema!$H$11:$H$34,Tabell!C7,Schema!$I$11:$I$34)</f>
        <v>0</v>
      </c>
      <c r="K7" s="60">
        <f t="shared" si="1"/>
        <v>0</v>
      </c>
      <c r="L7" s="60">
        <f t="shared" si="2"/>
        <v>0</v>
      </c>
    </row>
    <row r="8" spans="1:12" ht="12.75" customHeight="1" hidden="1">
      <c r="A8" s="56"/>
      <c r="B8" s="57" t="str">
        <f>+IF(Inställningar!$B$5="nej",Grupper!A9,Grupper!A7)</f>
        <v>B2</v>
      </c>
      <c r="C8" s="58" t="str">
        <f>+IF(Inställningar!$B$5="NEJ",Grupper!B9,Grupper!B7)</f>
        <v>Billeberga GIF</v>
      </c>
      <c r="D8" s="65">
        <f>+COUNTIF(Schema!U:U,"SANT")</f>
        <v>0</v>
      </c>
      <c r="E8" s="65">
        <f>+COUNTIF(Schema!AS:AS,"sant")</f>
        <v>0</v>
      </c>
      <c r="F8" s="65">
        <f>+COUNTIF(Schema!AG:AG,"sant")</f>
        <v>0</v>
      </c>
      <c r="G8" s="66">
        <f t="shared" si="0"/>
        <v>0</v>
      </c>
      <c r="H8" s="67">
        <f>+SUMIF(Schema!$F$11:$F$34,Tabell!C8,Schema!$I$11:$I$34)+SUMIF(Schema!$H$11:$H$34,Tabell!C8,Schema!$K$11:$K$34)</f>
        <v>0</v>
      </c>
      <c r="I8" s="65" t="s">
        <v>67</v>
      </c>
      <c r="J8" s="68">
        <f>+SUMIF(Schema!$F$11:$F$34,Tabell!C8,Schema!$K$11:$K$34)+SUMIF(Schema!$H$11:$H$34,Tabell!C8,Schema!$I$11:$I$34)</f>
        <v>0</v>
      </c>
      <c r="K8" s="66">
        <f t="shared" si="1"/>
        <v>0</v>
      </c>
      <c r="L8" s="66">
        <f t="shared" si="2"/>
        <v>0</v>
      </c>
    </row>
    <row r="9" spans="1:12" ht="12.75" customHeight="1" hidden="1">
      <c r="A9" s="56"/>
      <c r="B9" s="57" t="str">
        <f>+IF(Inställningar!$B$5="nej",Grupper!A10,"")</f>
        <v>B3</v>
      </c>
      <c r="C9" s="58" t="str">
        <f>+IF(Inställningar!$B$5="NEJ",Grupper!B10,"")</f>
        <v>Gantofta IF</v>
      </c>
      <c r="D9" s="65">
        <f>IF(Inställningar!$B$5="NEJ",COUNTIF(Schema!V:V,"SANT"),"")</f>
        <v>0</v>
      </c>
      <c r="E9" s="65">
        <f>IF(Inställningar!$B$5="NEJ",COUNTIF(Schema!AT:AT,"sant"),"")</f>
        <v>0</v>
      </c>
      <c r="F9" s="65">
        <f>IF(Inställningar!$B$5="NEJ",COUNTIF(Schema!AH:AH,"sant"),"")</f>
        <v>0</v>
      </c>
      <c r="G9" s="66">
        <f>IF(Inställningar!$B$5="NEJ",(D9+E9+F9),"")</f>
        <v>0</v>
      </c>
      <c r="H9" s="67">
        <f>IF(Inställningar!$B$5="NEJ",(SUMIF(Schema!$F$11:$F$34,Tabell!C9,Schema!$I$11:$I$34)+SUMIF(Schema!$H$11:$H$34,Tabell!C9,Schema!$K$11:$K$34)),"")</f>
        <v>0</v>
      </c>
      <c r="I9" s="65" t="str">
        <f>IF(Inställningar!$B$5="NEJ","-","")</f>
        <v>-</v>
      </c>
      <c r="J9" s="68">
        <f>IF(Inställningar!$B$5="NEJ",(SUMIF(Schema!$F$11:$F$34,Tabell!C9,Schema!$K$11:$K$34)+SUMIF(Schema!$H$11:$H$34,Tabell!C9,Schema!$I$11:$I$34)),"")</f>
        <v>0</v>
      </c>
      <c r="K9" s="66">
        <f>IF(Inställningar!$B$5="NEJ",H9-J9,"")</f>
        <v>0</v>
      </c>
      <c r="L9" s="66">
        <f>IF(Inställningar!$B$5="NEJ",(D9*3+E9*1+F9*0),"")</f>
        <v>0</v>
      </c>
    </row>
    <row r="10" spans="1:12" ht="12.75" customHeight="1" hidden="1">
      <c r="A10" s="56"/>
      <c r="B10" s="57" t="str">
        <f>+IF(Inställningar!$B$5="nej",Grupper!A11,"")</f>
        <v>B4</v>
      </c>
      <c r="C10" s="58" t="str">
        <f>+IF(Inställningar!$B$5="NEJ",Grupper!B11,"")</f>
        <v>IK Wormo</v>
      </c>
      <c r="D10" s="65">
        <f>IF(Inställningar!$B$5="NEJ",COUNTIF(Schema!W:W,"SANT"),"")</f>
        <v>0</v>
      </c>
      <c r="E10" s="65">
        <f>IF(Inställningar!$B$5="NEJ",COUNTIF(Schema!AU:AU,"sant"),"")</f>
        <v>0</v>
      </c>
      <c r="F10" s="65">
        <f>IF(Inställningar!$B$5="NEJ",COUNTIF(Schema!AI:AI,"sant"),"")</f>
        <v>0</v>
      </c>
      <c r="G10" s="66">
        <f>IF(Inställningar!$B$5="NEJ",(D10+E10+F10),"")</f>
        <v>0</v>
      </c>
      <c r="H10" s="67">
        <f>IF(Inställningar!$B$5="NEJ",(SUMIF(Schema!$F$11:$F$34,Tabell!C10,Schema!$I$11:$I$34)+SUMIF(Schema!$H$11:$H$34,Tabell!C10,Schema!$K$11:$K$34)),"")</f>
        <v>0</v>
      </c>
      <c r="I10" s="65" t="str">
        <f>IF(Inställningar!$B$5="NEJ","-","")</f>
        <v>-</v>
      </c>
      <c r="J10" s="68">
        <f>IF(Inställningar!$B$5="NEJ",(SUMIF(Schema!$F$11:$F$34,Tabell!C10,Schema!$K$11:$K$34)+SUMIF(Schema!$H$11:$H$34,Tabell!C10,Schema!$I$11:$I$34)),"")</f>
        <v>0</v>
      </c>
      <c r="K10" s="66">
        <f>IF(Inställningar!$B$5="NEJ",H10-J10,"")</f>
        <v>0</v>
      </c>
      <c r="L10" s="66">
        <f>IF(Inställningar!$B$5="NEJ",(D10*3+E10*1+F10*0),"")</f>
        <v>0</v>
      </c>
    </row>
    <row r="11" spans="1:12" ht="12.75" customHeight="1" hidden="1">
      <c r="A11" s="56"/>
      <c r="B11" s="57" t="str">
        <f>+IF(Inställningar!$B$5="nej",Grupper!A12,"")</f>
        <v>B5</v>
      </c>
      <c r="C11" s="58" t="str">
        <f>+IF(Inställningar!$B$5="NEJ",Grupper!B12,"")</f>
        <v>Eskilsminne IF</v>
      </c>
      <c r="D11" s="71">
        <f>IF(Inställningar!$B$5="NEJ",COUNTIF(Schema!X:X,"SANT"),"")</f>
        <v>0</v>
      </c>
      <c r="E11" s="71">
        <f>IF(Inställningar!$B$5="NEJ",COUNTIF(Schema!AV:AV,"sant"),"")</f>
        <v>0</v>
      </c>
      <c r="F11" s="71">
        <f>IF(Inställningar!$B$5="NEJ",COUNTIF(Schema!AJ:AJ,"sant"),"")</f>
        <v>0</v>
      </c>
      <c r="G11" s="72">
        <f>IF(Inställningar!$B$5="NEJ",(D11+E11+F11),"")</f>
        <v>0</v>
      </c>
      <c r="H11" s="73">
        <f>IF(Inställningar!$B$5="NEJ",(SUMIF(Schema!$F$11:$F$34,Tabell!C11,Schema!$I$11:$I$34)+SUMIF(Schema!$H$11:$H$34,Tabell!C11,Schema!$K$11:$K$34)),"")</f>
        <v>0</v>
      </c>
      <c r="I11" s="71" t="str">
        <f>IF(Inställningar!$B$5="NEJ","-","")</f>
        <v>-</v>
      </c>
      <c r="J11" s="74">
        <f>IF(Inställningar!$B$5="NEJ",(SUMIF(Schema!$F$11:$F$34,Tabell!C11,Schema!$K$11:$K$34)+SUMIF(Schema!$H$11:$H$34,Tabell!C11,Schema!$I$11:$I$34)),"")</f>
        <v>0</v>
      </c>
      <c r="K11" s="72">
        <f>IF(Inställningar!$B$5="NEJ",H11-J11,"")</f>
        <v>0</v>
      </c>
      <c r="L11" s="72">
        <f>IF(Inställningar!$B$5="NEJ",(D11*3+E11*1+F11*0),"")</f>
        <v>0</v>
      </c>
    </row>
    <row r="12" spans="3:12" ht="12.75" customHeight="1" hidden="1">
      <c r="C12" s="75"/>
      <c r="D12" s="76"/>
      <c r="E12" s="76"/>
      <c r="F12" s="76"/>
      <c r="G12" s="76"/>
      <c r="H12" s="43"/>
      <c r="I12" s="76"/>
      <c r="J12" s="43"/>
      <c r="K12" s="43"/>
      <c r="L12" s="43"/>
    </row>
    <row r="13" spans="1:13" ht="29.25" customHeight="1">
      <c r="A13" s="33"/>
      <c r="B13" s="19"/>
      <c r="C13" s="55"/>
      <c r="D13" s="19" t="s">
        <v>68</v>
      </c>
      <c r="E13" s="19" t="s">
        <v>69</v>
      </c>
      <c r="F13" s="19" t="s">
        <v>70</v>
      </c>
      <c r="G13" s="19" t="s">
        <v>71</v>
      </c>
      <c r="H13" s="19" t="s">
        <v>72</v>
      </c>
      <c r="I13" s="19"/>
      <c r="J13" s="19" t="s">
        <v>73</v>
      </c>
      <c r="K13" s="19" t="s">
        <v>74</v>
      </c>
      <c r="L13" s="19" t="s">
        <v>75</v>
      </c>
      <c r="M13" s="33"/>
    </row>
    <row r="14" spans="1:12" ht="29.25" customHeight="1">
      <c r="A14" s="56"/>
      <c r="B14" s="77" t="s">
        <v>27</v>
      </c>
      <c r="C14" s="78">
        <v>0</v>
      </c>
      <c r="D14" s="79">
        <v>0</v>
      </c>
      <c r="E14" s="79">
        <v>0</v>
      </c>
      <c r="F14" s="79">
        <v>0</v>
      </c>
      <c r="G14" s="80">
        <v>0</v>
      </c>
      <c r="H14" s="81">
        <v>0</v>
      </c>
      <c r="I14" s="79" t="s">
        <v>67</v>
      </c>
      <c r="J14" s="82">
        <v>0</v>
      </c>
      <c r="K14" s="80">
        <v>0</v>
      </c>
      <c r="L14" s="80">
        <v>0</v>
      </c>
    </row>
    <row r="15" spans="1:12" ht="29.25" customHeight="1">
      <c r="A15" s="56"/>
      <c r="B15" s="83" t="s">
        <v>29</v>
      </c>
      <c r="C15" s="84">
        <v>0</v>
      </c>
      <c r="D15" s="85">
        <v>0</v>
      </c>
      <c r="E15" s="85">
        <v>0</v>
      </c>
      <c r="F15" s="85">
        <v>0</v>
      </c>
      <c r="G15" s="86">
        <v>0</v>
      </c>
      <c r="H15" s="87">
        <v>0</v>
      </c>
      <c r="I15" s="85" t="s">
        <v>67</v>
      </c>
      <c r="J15" s="88">
        <v>0</v>
      </c>
      <c r="K15" s="86">
        <v>0</v>
      </c>
      <c r="L15" s="86">
        <v>0</v>
      </c>
    </row>
    <row r="16" spans="1:12" ht="29.25" customHeight="1">
      <c r="A16" s="56"/>
      <c r="B16" s="83" t="s">
        <v>31</v>
      </c>
      <c r="C16" s="84">
        <v>0</v>
      </c>
      <c r="D16" s="85">
        <v>0</v>
      </c>
      <c r="E16" s="85">
        <v>0</v>
      </c>
      <c r="F16" s="85">
        <v>0</v>
      </c>
      <c r="G16" s="86">
        <v>0</v>
      </c>
      <c r="H16" s="87">
        <v>0</v>
      </c>
      <c r="I16" s="85" t="s">
        <v>67</v>
      </c>
      <c r="J16" s="88">
        <v>0</v>
      </c>
      <c r="K16" s="86">
        <v>0</v>
      </c>
      <c r="L16" s="86">
        <v>0</v>
      </c>
    </row>
    <row r="17" spans="1:12" ht="29.25" customHeight="1">
      <c r="A17" s="56"/>
      <c r="B17" s="83" t="s">
        <v>33</v>
      </c>
      <c r="C17" s="84">
        <v>0</v>
      </c>
      <c r="D17" s="85">
        <v>0</v>
      </c>
      <c r="E17" s="85">
        <v>0</v>
      </c>
      <c r="F17" s="85">
        <v>0</v>
      </c>
      <c r="G17" s="86">
        <v>0</v>
      </c>
      <c r="H17" s="87">
        <v>0</v>
      </c>
      <c r="I17" s="85" t="s">
        <v>67</v>
      </c>
      <c r="J17" s="88">
        <v>0</v>
      </c>
      <c r="K17" s="86">
        <v>0</v>
      </c>
      <c r="L17" s="86">
        <v>0</v>
      </c>
    </row>
    <row r="18" spans="1:12" ht="29.25" customHeight="1">
      <c r="A18" s="56"/>
      <c r="B18" s="89" t="s">
        <v>35</v>
      </c>
      <c r="C18" s="90">
        <v>0</v>
      </c>
      <c r="D18" s="91">
        <v>0</v>
      </c>
      <c r="E18" s="91">
        <v>0</v>
      </c>
      <c r="F18" s="91">
        <v>0</v>
      </c>
      <c r="G18" s="92">
        <v>0</v>
      </c>
      <c r="H18" s="93">
        <v>0</v>
      </c>
      <c r="I18" s="91" t="s">
        <v>67</v>
      </c>
      <c r="J18" s="94">
        <v>0</v>
      </c>
      <c r="K18" s="92">
        <v>0</v>
      </c>
      <c r="L18" s="92">
        <v>0</v>
      </c>
    </row>
    <row r="19" spans="1:12" ht="29.25" customHeight="1">
      <c r="A19" s="56"/>
      <c r="B19" s="95" t="s">
        <v>39</v>
      </c>
      <c r="C19" s="96">
        <v>0</v>
      </c>
      <c r="D19" s="97">
        <v>0</v>
      </c>
      <c r="E19" s="97">
        <v>0</v>
      </c>
      <c r="F19" s="97">
        <v>0</v>
      </c>
      <c r="G19" s="98">
        <v>0</v>
      </c>
      <c r="H19" s="99">
        <v>0</v>
      </c>
      <c r="I19" s="97" t="s">
        <v>67</v>
      </c>
      <c r="J19" s="100">
        <v>0</v>
      </c>
      <c r="K19" s="98">
        <v>0</v>
      </c>
      <c r="L19" s="98">
        <v>0</v>
      </c>
    </row>
    <row r="20" spans="1:12" ht="29.25" customHeight="1">
      <c r="A20" s="56"/>
      <c r="B20" s="83" t="s">
        <v>41</v>
      </c>
      <c r="C20" s="84">
        <v>0</v>
      </c>
      <c r="D20" s="85">
        <v>0</v>
      </c>
      <c r="E20" s="85">
        <v>0</v>
      </c>
      <c r="F20" s="85">
        <v>0</v>
      </c>
      <c r="G20" s="86">
        <v>0</v>
      </c>
      <c r="H20" s="87">
        <v>0</v>
      </c>
      <c r="I20" s="85" t="s">
        <v>67</v>
      </c>
      <c r="J20" s="88">
        <v>0</v>
      </c>
      <c r="K20" s="86">
        <v>0</v>
      </c>
      <c r="L20" s="86">
        <v>0</v>
      </c>
    </row>
    <row r="21" spans="1:12" ht="29.25" customHeight="1">
      <c r="A21" s="56"/>
      <c r="B21" s="83" t="s">
        <v>43</v>
      </c>
      <c r="C21" s="84">
        <v>0</v>
      </c>
      <c r="D21" s="85">
        <v>0</v>
      </c>
      <c r="E21" s="85">
        <v>0</v>
      </c>
      <c r="F21" s="85">
        <v>0</v>
      </c>
      <c r="G21" s="86">
        <v>0</v>
      </c>
      <c r="H21" s="87">
        <v>0</v>
      </c>
      <c r="I21" s="85" t="s">
        <v>67</v>
      </c>
      <c r="J21" s="88">
        <v>0</v>
      </c>
      <c r="K21" s="86">
        <v>0</v>
      </c>
      <c r="L21" s="86">
        <v>0</v>
      </c>
    </row>
    <row r="22" spans="1:12" ht="29.25" customHeight="1">
      <c r="A22" s="56"/>
      <c r="B22" s="83" t="s">
        <v>45</v>
      </c>
      <c r="C22" s="84">
        <v>0</v>
      </c>
      <c r="D22" s="85">
        <v>0</v>
      </c>
      <c r="E22" s="85">
        <v>0</v>
      </c>
      <c r="F22" s="85">
        <v>0</v>
      </c>
      <c r="G22" s="86">
        <v>0</v>
      </c>
      <c r="H22" s="87">
        <v>0</v>
      </c>
      <c r="I22" s="85" t="s">
        <v>67</v>
      </c>
      <c r="J22" s="88">
        <v>0</v>
      </c>
      <c r="K22" s="86">
        <v>0</v>
      </c>
      <c r="L22" s="86">
        <v>0</v>
      </c>
    </row>
    <row r="23" spans="1:12" ht="29.25" customHeight="1">
      <c r="A23" s="56"/>
      <c r="B23" s="89" t="s">
        <v>47</v>
      </c>
      <c r="C23" s="90">
        <v>0</v>
      </c>
      <c r="D23" s="91">
        <v>0</v>
      </c>
      <c r="E23" s="91">
        <v>0</v>
      </c>
      <c r="F23" s="91">
        <v>0</v>
      </c>
      <c r="G23" s="92">
        <v>0</v>
      </c>
      <c r="H23" s="93">
        <v>0</v>
      </c>
      <c r="I23" s="91" t="s">
        <v>67</v>
      </c>
      <c r="J23" s="94">
        <v>0</v>
      </c>
      <c r="K23" s="92">
        <v>0</v>
      </c>
      <c r="L23" s="92">
        <v>0</v>
      </c>
    </row>
  </sheetData>
  <sheetProtection sheet="1" objects="1" scenarios="1"/>
  <mergeCells count="2">
    <mergeCell ref="A14:A18"/>
    <mergeCell ref="A19:A23"/>
  </mergeCells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0"/>
  <dimension ref="A1:L17"/>
  <sheetViews>
    <sheetView showGridLines="0" workbookViewId="0" topLeftCell="B10">
      <selection activeCell="B10" sqref="B10"/>
    </sheetView>
  </sheetViews>
  <sheetFormatPr defaultColWidth="1.1484375" defaultRowHeight="12.75" customHeight="1" zeroHeight="1"/>
  <cols>
    <col min="1" max="1" width="0" style="54" hidden="1" customWidth="1"/>
    <col min="2" max="2" width="3.28125" style="54" customWidth="1"/>
    <col min="3" max="3" width="20.7109375" style="54" customWidth="1"/>
    <col min="4" max="8" width="13.00390625" style="54" customWidth="1"/>
    <col min="9" max="9" width="1.57421875" style="54" customWidth="1"/>
    <col min="10" max="12" width="13.00390625" style="54" customWidth="1"/>
    <col min="13" max="13" width="7.140625" style="43" customWidth="1"/>
    <col min="14" max="15" width="0" style="43" hidden="1" customWidth="1"/>
    <col min="16" max="16384" width="0" style="54" hidden="1" customWidth="1"/>
  </cols>
  <sheetData>
    <row r="1" spans="2:12" s="33" customFormat="1" ht="12.75" customHeight="1" hidden="1">
      <c r="B1" s="19"/>
      <c r="C1" s="55"/>
      <c r="D1" s="19" t="s">
        <v>68</v>
      </c>
      <c r="E1" s="19" t="s">
        <v>69</v>
      </c>
      <c r="F1" s="19" t="s">
        <v>70</v>
      </c>
      <c r="G1" s="19" t="s">
        <v>71</v>
      </c>
      <c r="H1" s="19" t="s">
        <v>72</v>
      </c>
      <c r="I1" s="19"/>
      <c r="J1" s="19" t="s">
        <v>73</v>
      </c>
      <c r="K1" s="19" t="s">
        <v>74</v>
      </c>
      <c r="L1" s="19" t="s">
        <v>75</v>
      </c>
    </row>
    <row r="2" spans="1:12" ht="12.75" customHeight="1" hidden="1">
      <c r="A2" s="56">
        <f>+IF(Inställningar!B5="nej","GRUPP A","")</f>
        <v>0</v>
      </c>
      <c r="B2" s="57" t="str">
        <f>+Grupper!A1</f>
        <v>A1</v>
      </c>
      <c r="C2" s="58" t="str">
        <f>+Grupper!B1</f>
        <v>Svalövs BK 2</v>
      </c>
      <c r="D2" s="61">
        <f>+COUNTIF(Schema!M:M,"sant")</f>
        <v>0</v>
      </c>
      <c r="E2" s="59">
        <f>+COUNTIF(Schema!AK:AK,"sant")</f>
        <v>0</v>
      </c>
      <c r="F2" s="62">
        <f>+COUNTIF(Schema!Y:Y,"sant")</f>
        <v>0</v>
      </c>
      <c r="G2" s="60">
        <f aca="true" t="shared" si="0" ref="G2:G8">+D2+E2+F2</f>
        <v>0</v>
      </c>
      <c r="H2" s="61">
        <f>+SUMIF(Schema!$F$11:$F$34,'Tabell Alla möter alla'!C2,Schema!$I$11:$I$34)+SUMIF(Schema!$H$11:$H$34,'Tabell Alla möter alla'!C2,Schema!$K$11:$K$34)</f>
        <v>0</v>
      </c>
      <c r="I2" s="59" t="s">
        <v>67</v>
      </c>
      <c r="J2" s="62">
        <f>+SUMIF(Schema!$F$11:$F$34,'Tabell Alla möter alla'!C2,Schema!$K$11:$K$34)+SUMIF(Schema!$H$11:$H$34,'Tabell Alla möter alla'!C2,Schema!$I$11:$I$34)</f>
        <v>0</v>
      </c>
      <c r="K2" s="60">
        <f aca="true" t="shared" si="1" ref="K2:K8">+H2-J2</f>
        <v>0</v>
      </c>
      <c r="L2" s="60">
        <f aca="true" t="shared" si="2" ref="L2:L8">+D2*3+E2*1+F2*0</f>
        <v>0</v>
      </c>
    </row>
    <row r="3" spans="1:12" ht="12.75" customHeight="1" hidden="1">
      <c r="A3" s="56"/>
      <c r="B3" s="63" t="str">
        <f>+Grupper!A2</f>
        <v>A2</v>
      </c>
      <c r="C3" s="64" t="str">
        <f>+Grupper!B2</f>
        <v>Kågeröds BoIF</v>
      </c>
      <c r="D3" s="67">
        <f>+COUNTIF(Schema!N:N,"SANT")</f>
        <v>0</v>
      </c>
      <c r="E3" s="65">
        <f>+COUNTIF(Schema!AL:AL,"sant")</f>
        <v>0</v>
      </c>
      <c r="F3" s="68">
        <f>+COUNTIF(Schema!Z:Z,"sant")</f>
        <v>0</v>
      </c>
      <c r="G3" s="66">
        <f t="shared" si="0"/>
        <v>0</v>
      </c>
      <c r="H3" s="67">
        <f>+SUMIF(Schema!$F$11:$F$34,'Tabell Alla möter alla'!C3,Schema!$I$11:$I$34)+SUMIF(Schema!$H$11:$H$34,'Tabell Alla möter alla'!C3,Schema!$K$11:$K$34)</f>
        <v>0</v>
      </c>
      <c r="I3" s="65" t="s">
        <v>67</v>
      </c>
      <c r="J3" s="68">
        <f>+SUMIF(Schema!$F$11:$F$34,'Tabell Alla möter alla'!C3,Schema!$K$11:$K$34)+SUMIF(Schema!$H$11:$H$34,'Tabell Alla möter alla'!C3,Schema!$I$11:$I$34)</f>
        <v>0</v>
      </c>
      <c r="K3" s="66">
        <f t="shared" si="1"/>
        <v>0</v>
      </c>
      <c r="L3" s="66">
        <f t="shared" si="2"/>
        <v>0</v>
      </c>
    </row>
    <row r="4" spans="1:12" ht="12.75" customHeight="1" hidden="1">
      <c r="A4" s="56"/>
      <c r="B4" s="63" t="str">
        <f>+Grupper!A3</f>
        <v>A3</v>
      </c>
      <c r="C4" s="64" t="str">
        <f>+Grupper!B3</f>
        <v>Ekeby GIF</v>
      </c>
      <c r="D4" s="67">
        <f>+COUNTIF(Schema!O:O,"SANT")</f>
        <v>0</v>
      </c>
      <c r="E4" s="65">
        <f>+COUNTIF(Schema!AM:AM,"sant")</f>
        <v>0</v>
      </c>
      <c r="F4" s="68">
        <f>+COUNTIF(Schema!AA:AA,"sant")</f>
        <v>0</v>
      </c>
      <c r="G4" s="66">
        <f t="shared" si="0"/>
        <v>0</v>
      </c>
      <c r="H4" s="67">
        <f>+SUMIF(Schema!$F$11:$F$34,'Tabell Alla möter alla'!C4,Schema!$I$11:$I$34)+SUMIF(Schema!$H$11:$H$34,'Tabell Alla möter alla'!C4,Schema!$K$11:$K$34)</f>
        <v>0</v>
      </c>
      <c r="I4" s="65" t="s">
        <v>67</v>
      </c>
      <c r="J4" s="68">
        <f>+SUMIF(Schema!$F$11:$F$34,'Tabell Alla möter alla'!C4,Schema!$K$11:$K$34)+SUMIF(Schema!$H$11:$H$34,'Tabell Alla möter alla'!C4,Schema!$I$11:$I$34)</f>
        <v>0</v>
      </c>
      <c r="K4" s="66">
        <f t="shared" si="1"/>
        <v>0</v>
      </c>
      <c r="L4" s="66">
        <f t="shared" si="2"/>
        <v>0</v>
      </c>
    </row>
    <row r="5" spans="1:12" ht="12.75" customHeight="1" hidden="1">
      <c r="A5" s="56"/>
      <c r="B5" s="63" t="str">
        <f>+Grupper!A4</f>
        <v>A4</v>
      </c>
      <c r="C5" s="64" t="str">
        <f>+Grupper!B4</f>
        <v>Marieholms IS</v>
      </c>
      <c r="D5" s="67">
        <f>+COUNTIF(Schema!P:P,"SANT")</f>
        <v>0</v>
      </c>
      <c r="E5" s="65">
        <f>+COUNTIF(Schema!AN:AN,"sant")</f>
        <v>0</v>
      </c>
      <c r="F5" s="68">
        <f>+COUNTIF(Schema!AB:AB,"sant")</f>
        <v>0</v>
      </c>
      <c r="G5" s="66">
        <f t="shared" si="0"/>
        <v>0</v>
      </c>
      <c r="H5" s="67">
        <f>+SUMIF(Schema!$F$11:$F$34,'Tabell Alla möter alla'!C5,Schema!$I$11:$I$34)+SUMIF(Schema!$H$11:$H$34,'Tabell Alla möter alla'!C5,Schema!$K$11:$K$34)</f>
        <v>0</v>
      </c>
      <c r="I5" s="65" t="s">
        <v>67</v>
      </c>
      <c r="J5" s="68">
        <f>+SUMIF(Schema!$F$11:$F$34,'Tabell Alla möter alla'!C5,Schema!$K$11:$K$34)+SUMIF(Schema!$H$11:$H$34,'Tabell Alla möter alla'!C5,Schema!$I$11:$I$34)</f>
        <v>0</v>
      </c>
      <c r="K5" s="66">
        <f t="shared" si="1"/>
        <v>0</v>
      </c>
      <c r="L5" s="66">
        <f t="shared" si="2"/>
        <v>0</v>
      </c>
    </row>
    <row r="6" spans="1:12" ht="12.75" customHeight="1" hidden="1">
      <c r="A6" s="56"/>
      <c r="B6" s="63" t="str">
        <f>+Grupper!A5</f>
        <v>A5</v>
      </c>
      <c r="C6" s="64" t="str">
        <f>+Grupper!B5</f>
        <v>Teckomatorps SK</v>
      </c>
      <c r="D6" s="67">
        <f>+COUNTIF(Schema!Q:Q,"SANT")</f>
        <v>0</v>
      </c>
      <c r="E6" s="65">
        <f>+COUNTIF(Schema!AO:AO,"sant")</f>
        <v>0</v>
      </c>
      <c r="F6" s="68">
        <f>+COUNTIF(Schema!AC:AC,"sant")</f>
        <v>0</v>
      </c>
      <c r="G6" s="66">
        <f t="shared" si="0"/>
        <v>0</v>
      </c>
      <c r="H6" s="67">
        <f>+SUMIF(Schema!$F$11:$F$34,'Tabell Alla möter alla'!C6,Schema!$I$11:$I$34)+SUMIF(Schema!$H$11:$H$34,'Tabell Alla möter alla'!C6,Schema!$K$11:$K$34)</f>
        <v>0</v>
      </c>
      <c r="I6" s="65" t="s">
        <v>67</v>
      </c>
      <c r="J6" s="68">
        <f>+SUMIF(Schema!$F$11:$F$34,'Tabell Alla möter alla'!C6,Schema!$K$11:$K$34)+SUMIF(Schema!$H$11:$H$34,'Tabell Alla möter alla'!C6,Schema!$I$11:$I$34)</f>
        <v>0</v>
      </c>
      <c r="K6" s="66">
        <f t="shared" si="1"/>
        <v>0</v>
      </c>
      <c r="L6" s="66">
        <f t="shared" si="2"/>
        <v>0</v>
      </c>
    </row>
    <row r="7" spans="1:12" ht="12.75" customHeight="1" hidden="1">
      <c r="A7" s="56">
        <f>+IF(Inställningar!B5="nej","GRUPP B","")</f>
        <v>0</v>
      </c>
      <c r="B7" s="63" t="str">
        <f>+IF(Inställningar!$B$5="nej",Grupper!A8,Grupper!A6)</f>
        <v>B1</v>
      </c>
      <c r="C7" s="64" t="str">
        <f>+IF(Inställningar!$B$5="NEJ",Grupper!B8,Grupper!B6)</f>
        <v>Svalövs BK 1</v>
      </c>
      <c r="D7" s="67">
        <f>+COUNTIF(Schema!R:R,"SANT")</f>
        <v>0</v>
      </c>
      <c r="E7" s="65">
        <f>+COUNTIF(Schema!AP:AP,"sant")</f>
        <v>0</v>
      </c>
      <c r="F7" s="68">
        <f>+COUNTIF(Schema!AD:AD,"sant")</f>
        <v>0</v>
      </c>
      <c r="G7" s="66">
        <f t="shared" si="0"/>
        <v>0</v>
      </c>
      <c r="H7" s="67">
        <f>+SUMIF(Schema!$F$11:$F$34,'Tabell Alla möter alla'!C7,Schema!$I$11:$I$34)+SUMIF(Schema!$H$11:$H$34,'Tabell Alla möter alla'!C7,Schema!$K$11:$K$34)</f>
        <v>0</v>
      </c>
      <c r="I7" s="65" t="s">
        <v>67</v>
      </c>
      <c r="J7" s="68">
        <f>+SUMIF(Schema!$F$11:$F$34,'Tabell Alla möter alla'!C7,Schema!$K$11:$K$34)+SUMIF(Schema!$H$11:$H$34,'Tabell Alla möter alla'!C7,Schema!$I$11:$I$34)</f>
        <v>0</v>
      </c>
      <c r="K7" s="66">
        <f t="shared" si="1"/>
        <v>0</v>
      </c>
      <c r="L7" s="66">
        <f t="shared" si="2"/>
        <v>0</v>
      </c>
    </row>
    <row r="8" spans="1:12" ht="12.75" customHeight="1" hidden="1">
      <c r="A8" s="56"/>
      <c r="B8" s="69" t="str">
        <f>+IF(Inställningar!$B$5="nej",Grupper!A9,Grupper!A7)</f>
        <v>B2</v>
      </c>
      <c r="C8" s="101" t="str">
        <f>+IF(Inställningar!$B$5="NEJ",Grupper!B9,Grupper!B7)</f>
        <v>Billeberga GIF</v>
      </c>
      <c r="D8" s="73">
        <f>+COUNTIF(Schema!S:S,"SANT")</f>
        <v>0</v>
      </c>
      <c r="E8" s="71">
        <f>+COUNTIF(Schema!AQ:AQ,"sant")</f>
        <v>0</v>
      </c>
      <c r="F8" s="74">
        <f>+COUNTIF(Schema!AE:AE,"sant")</f>
        <v>0</v>
      </c>
      <c r="G8" s="72">
        <f t="shared" si="0"/>
        <v>0</v>
      </c>
      <c r="H8" s="73">
        <f>+SUMIF(Schema!$F$11:$F$34,'Tabell Alla möter alla'!C8,Schema!$I$11:$I$34)+SUMIF(Schema!$H$11:$H$34,'Tabell Alla möter alla'!C8,Schema!$K$11:$K$34)</f>
        <v>0</v>
      </c>
      <c r="I8" s="71" t="s">
        <v>67</v>
      </c>
      <c r="J8" s="74">
        <f>+SUMIF(Schema!$F$11:$F$34,'Tabell Alla möter alla'!C8,Schema!$K$11:$K$34)+SUMIF(Schema!$H$11:$H$34,'Tabell Alla möter alla'!C8,Schema!$I$11:$I$34)</f>
        <v>0</v>
      </c>
      <c r="K8" s="72">
        <f t="shared" si="1"/>
        <v>0</v>
      </c>
      <c r="L8" s="72">
        <f t="shared" si="2"/>
        <v>0</v>
      </c>
    </row>
    <row r="9" spans="3:12" ht="12.75" customHeight="1" hidden="1">
      <c r="C9" s="75"/>
      <c r="D9" s="76"/>
      <c r="E9" s="76"/>
      <c r="F9" s="76"/>
      <c r="G9" s="76"/>
      <c r="H9" s="43"/>
      <c r="I9" s="76"/>
      <c r="J9" s="43"/>
      <c r="K9" s="43"/>
      <c r="L9" s="43"/>
    </row>
    <row r="10" spans="2:12" ht="29.25" customHeight="1">
      <c r="B10" s="33"/>
      <c r="C10" s="102"/>
      <c r="D10" s="33" t="s">
        <v>68</v>
      </c>
      <c r="E10" s="33" t="s">
        <v>69</v>
      </c>
      <c r="F10" s="33" t="s">
        <v>70</v>
      </c>
      <c r="G10" s="33" t="s">
        <v>71</v>
      </c>
      <c r="H10" s="33" t="s">
        <v>72</v>
      </c>
      <c r="I10" s="33"/>
      <c r="J10" s="33" t="s">
        <v>73</v>
      </c>
      <c r="K10" s="33" t="s">
        <v>74</v>
      </c>
      <c r="L10" s="33" t="s">
        <v>75</v>
      </c>
    </row>
    <row r="11" spans="2:12" ht="29.25" customHeight="1">
      <c r="B11" s="77" t="s">
        <v>27</v>
      </c>
      <c r="C11" s="78">
        <v>0</v>
      </c>
      <c r="D11" s="81">
        <v>0</v>
      </c>
      <c r="E11" s="79">
        <v>0</v>
      </c>
      <c r="F11" s="82">
        <v>0</v>
      </c>
      <c r="G11" s="80">
        <v>0</v>
      </c>
      <c r="H11" s="81">
        <v>0</v>
      </c>
      <c r="I11" s="79" t="s">
        <v>67</v>
      </c>
      <c r="J11" s="82">
        <v>0</v>
      </c>
      <c r="K11" s="80">
        <v>0</v>
      </c>
      <c r="L11" s="80">
        <v>0</v>
      </c>
    </row>
    <row r="12" spans="2:12" ht="29.25" customHeight="1">
      <c r="B12" s="83" t="s">
        <v>29</v>
      </c>
      <c r="C12" s="84">
        <v>0</v>
      </c>
      <c r="D12" s="87">
        <v>0</v>
      </c>
      <c r="E12" s="85">
        <v>0</v>
      </c>
      <c r="F12" s="88">
        <v>0</v>
      </c>
      <c r="G12" s="86">
        <v>0</v>
      </c>
      <c r="H12" s="87">
        <v>0</v>
      </c>
      <c r="I12" s="85" t="s">
        <v>67</v>
      </c>
      <c r="J12" s="88">
        <v>0</v>
      </c>
      <c r="K12" s="86">
        <v>0</v>
      </c>
      <c r="L12" s="86">
        <v>0</v>
      </c>
    </row>
    <row r="13" spans="2:12" ht="29.25" customHeight="1">
      <c r="B13" s="83" t="s">
        <v>31</v>
      </c>
      <c r="C13" s="84">
        <v>0</v>
      </c>
      <c r="D13" s="87">
        <v>0</v>
      </c>
      <c r="E13" s="85">
        <v>0</v>
      </c>
      <c r="F13" s="88">
        <v>0</v>
      </c>
      <c r="G13" s="86">
        <v>0</v>
      </c>
      <c r="H13" s="87">
        <v>0</v>
      </c>
      <c r="I13" s="85" t="s">
        <v>67</v>
      </c>
      <c r="J13" s="88">
        <v>0</v>
      </c>
      <c r="K13" s="86">
        <v>0</v>
      </c>
      <c r="L13" s="86">
        <v>0</v>
      </c>
    </row>
    <row r="14" spans="2:12" ht="29.25" customHeight="1">
      <c r="B14" s="83" t="s">
        <v>33</v>
      </c>
      <c r="C14" s="84">
        <v>0</v>
      </c>
      <c r="D14" s="87">
        <v>0</v>
      </c>
      <c r="E14" s="85">
        <v>0</v>
      </c>
      <c r="F14" s="88">
        <v>0</v>
      </c>
      <c r="G14" s="86">
        <v>0</v>
      </c>
      <c r="H14" s="87">
        <v>0</v>
      </c>
      <c r="I14" s="85" t="s">
        <v>67</v>
      </c>
      <c r="J14" s="88">
        <v>0</v>
      </c>
      <c r="K14" s="86">
        <v>0</v>
      </c>
      <c r="L14" s="86">
        <v>0</v>
      </c>
    </row>
    <row r="15" spans="2:12" ht="29.25" customHeight="1">
      <c r="B15" s="83" t="s">
        <v>35</v>
      </c>
      <c r="C15" s="84">
        <v>0</v>
      </c>
      <c r="D15" s="87">
        <v>0</v>
      </c>
      <c r="E15" s="85">
        <v>0</v>
      </c>
      <c r="F15" s="88">
        <v>0</v>
      </c>
      <c r="G15" s="86">
        <v>0</v>
      </c>
      <c r="H15" s="87">
        <v>0</v>
      </c>
      <c r="I15" s="85" t="s">
        <v>67</v>
      </c>
      <c r="J15" s="88">
        <v>0</v>
      </c>
      <c r="K15" s="86">
        <v>0</v>
      </c>
      <c r="L15" s="86">
        <v>0</v>
      </c>
    </row>
    <row r="16" spans="2:12" ht="29.25" customHeight="1">
      <c r="B16" s="83" t="s">
        <v>39</v>
      </c>
      <c r="C16" s="84">
        <v>0</v>
      </c>
      <c r="D16" s="87">
        <v>0</v>
      </c>
      <c r="E16" s="85">
        <v>0</v>
      </c>
      <c r="F16" s="88">
        <v>0</v>
      </c>
      <c r="G16" s="86">
        <v>0</v>
      </c>
      <c r="H16" s="87">
        <v>0</v>
      </c>
      <c r="I16" s="85" t="s">
        <v>67</v>
      </c>
      <c r="J16" s="88">
        <v>0</v>
      </c>
      <c r="K16" s="86">
        <v>0</v>
      </c>
      <c r="L16" s="86">
        <v>0</v>
      </c>
    </row>
    <row r="17" spans="2:12" ht="29.25" customHeight="1">
      <c r="B17" s="89" t="s">
        <v>41</v>
      </c>
      <c r="C17" s="103">
        <v>0</v>
      </c>
      <c r="D17" s="93">
        <v>0</v>
      </c>
      <c r="E17" s="91">
        <v>0</v>
      </c>
      <c r="F17" s="94">
        <v>0</v>
      </c>
      <c r="G17" s="92">
        <v>0</v>
      </c>
      <c r="H17" s="93">
        <v>0</v>
      </c>
      <c r="I17" s="91" t="s">
        <v>67</v>
      </c>
      <c r="J17" s="94">
        <v>0</v>
      </c>
      <c r="K17" s="92">
        <v>0</v>
      </c>
      <c r="L17" s="92">
        <v>0</v>
      </c>
    </row>
  </sheetData>
  <sheetProtection sheet="1" objects="1" scenarios="1"/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W50"/>
  <sheetViews>
    <sheetView showGridLines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"/>
    </sheetView>
  </sheetViews>
  <sheetFormatPr defaultColWidth="1.1484375" defaultRowHeight="12.75" customHeight="1" zeroHeight="1"/>
  <cols>
    <col min="1" max="1" width="11.28125" style="18" customWidth="1"/>
    <col min="2" max="2" width="6.57421875" style="19" customWidth="1"/>
    <col min="3" max="3" width="9.7109375" style="20" customWidth="1"/>
    <col min="4" max="4" width="1.57421875" style="21" customWidth="1"/>
    <col min="5" max="5" width="9.140625" style="20" customWidth="1"/>
    <col min="6" max="6" width="17.8515625" style="20" customWidth="1"/>
    <col min="7" max="7" width="5.421875" style="20" customWidth="1"/>
    <col min="8" max="8" width="17.8515625" style="20" customWidth="1"/>
    <col min="9" max="9" width="9.140625" style="20" customWidth="1"/>
    <col min="10" max="10" width="3.421875" style="22" customWidth="1"/>
    <col min="11" max="12" width="9.140625" style="22" customWidth="1"/>
    <col min="13" max="48" width="0" style="23" hidden="1" customWidth="1"/>
    <col min="49" max="16384" width="0" style="24" hidden="1" customWidth="1"/>
  </cols>
  <sheetData>
    <row r="1" spans="1:48" s="22" customFormat="1" ht="18" customHeight="1">
      <c r="A1" s="25"/>
      <c r="B1" s="25"/>
      <c r="C1" s="20"/>
      <c r="D1" s="21"/>
      <c r="E1" s="20"/>
      <c r="F1" s="26" t="str">
        <f>+IF(Vakant!E1&gt;0,Vakant!E1,"")</f>
        <v>GRUPP A</v>
      </c>
      <c r="G1" s="26"/>
      <c r="H1" s="26" t="str">
        <f>+IF(Vakant!G1&gt;0,Vakant!G1,"")</f>
        <v>GRUPP B</v>
      </c>
      <c r="I1" s="20"/>
      <c r="J1" s="20"/>
      <c r="K1" s="20"/>
      <c r="L1" s="104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12" ht="18" customHeight="1">
      <c r="A2" s="25"/>
      <c r="B2" s="25"/>
      <c r="F2" s="29" t="str">
        <f>IF(Vakant!E2="VAKANT","",(IF(Vakant!E2&gt;0,Vakant!E2,"")))</f>
        <v>Svalövs BK 2</v>
      </c>
      <c r="G2" s="29"/>
      <c r="H2" s="29" t="str">
        <f>IF(Vakant!G2="VAKANT","",(IF(Vakant!G2&gt;0,Vakant!G2,"")))</f>
        <v>Svalövs BK 1</v>
      </c>
      <c r="I2" s="30"/>
      <c r="J2" s="20"/>
      <c r="K2" s="20"/>
      <c r="L2" s="104"/>
    </row>
    <row r="3" spans="1:12" ht="18" customHeight="1">
      <c r="A3" s="25"/>
      <c r="B3" s="25"/>
      <c r="F3" s="29" t="str">
        <f>IF(Vakant!E3="VAKANT","",(IF(Vakant!E3&gt;0,Vakant!E3,"")))</f>
        <v>Kågeröds BoIF</v>
      </c>
      <c r="G3" s="29"/>
      <c r="H3" s="29" t="str">
        <f>IF(Vakant!G3="VAKANT","",(IF(Vakant!G3&gt;0,Vakant!G3,"")))</f>
        <v>Billeberga GIF</v>
      </c>
      <c r="I3" s="30"/>
      <c r="J3" s="20"/>
      <c r="K3" s="20"/>
      <c r="L3" s="104"/>
    </row>
    <row r="4" spans="1:12" ht="18" customHeight="1">
      <c r="A4" s="25"/>
      <c r="B4" s="25"/>
      <c r="F4" s="29" t="str">
        <f>IF(Vakant!E4="VAKANT","",(IF(Vakant!E4&gt;0,Vakant!E4,"")))</f>
        <v>Ekeby GIF</v>
      </c>
      <c r="G4" s="29"/>
      <c r="H4" s="29" t="str">
        <f>IF(Vakant!G4="VAKANT","",(IF(Vakant!G4&gt;0,Vakant!G4,"")))</f>
        <v>Gantofta IF</v>
      </c>
      <c r="I4" s="30"/>
      <c r="J4" s="20"/>
      <c r="K4" s="20"/>
      <c r="L4" s="104"/>
    </row>
    <row r="5" spans="1:12" ht="18" customHeight="1">
      <c r="A5" s="25"/>
      <c r="B5" s="25"/>
      <c r="F5" s="29" t="str">
        <f>IF(Vakant!E5="VAKANT","",(IF(Vakant!E5&gt;0,Vakant!E5,"")))</f>
        <v>Marieholms IS</v>
      </c>
      <c r="G5" s="29"/>
      <c r="H5" s="29" t="str">
        <f>IF(Vakant!G5="VAKANT","",(IF(Vakant!G5&gt;0,Vakant!G5,"")))</f>
        <v>IK Wormo</v>
      </c>
      <c r="I5" s="30"/>
      <c r="J5" s="20"/>
      <c r="K5" s="20"/>
      <c r="L5" s="104"/>
    </row>
    <row r="6" spans="1:12" ht="18" customHeight="1">
      <c r="A6" s="25"/>
      <c r="B6" s="25"/>
      <c r="F6" s="29" t="str">
        <f>IF(Vakant!E6="VAKANT","",(IF(Vakant!E6&gt;0,Vakant!E6,"")))</f>
        <v>Teckomatorps SK</v>
      </c>
      <c r="G6" s="29"/>
      <c r="H6" s="29" t="str">
        <f>IF(Vakant!G6="VAKANT","",(IF(Vakant!G6&gt;0,Vakant!G6,"")))</f>
        <v>Eskilsminne IF</v>
      </c>
      <c r="I6" s="30"/>
      <c r="J6" s="20"/>
      <c r="K6" s="20"/>
      <c r="L6" s="104"/>
    </row>
    <row r="7" spans="1:12" ht="18" customHeight="1">
      <c r="A7" s="25"/>
      <c r="B7" s="25"/>
      <c r="F7" s="29">
        <f>IF(Vakant!E7="VAKANT","",(IF(Vakant!E7&gt;0,Vakant!E7,"")))</f>
      </c>
      <c r="H7" s="20">
        <f>+IF(Vakant!G7&gt;0,Vakant!G7,"")</f>
      </c>
      <c r="J7" s="20"/>
      <c r="K7" s="20"/>
      <c r="L7" s="104"/>
    </row>
    <row r="8" spans="1:49" ht="18" customHeight="1">
      <c r="A8" s="25"/>
      <c r="B8" s="25"/>
      <c r="F8" s="29">
        <f>IF(Vakant!E8="VAKANT","",(IF(Vakant!E8&gt;0,Vakant!E8,"")))</f>
      </c>
      <c r="H8" s="20">
        <f>+IF(Vakant!G8&gt;0,Vakant!G8,"")</f>
      </c>
      <c r="J8" s="20"/>
      <c r="K8" s="20"/>
      <c r="L8" s="104"/>
      <c r="M8" s="23" t="s">
        <v>58</v>
      </c>
      <c r="N8" s="23" t="s">
        <v>58</v>
      </c>
      <c r="O8" s="23" t="s">
        <v>58</v>
      </c>
      <c r="P8" s="23" t="s">
        <v>58</v>
      </c>
      <c r="Q8" s="23" t="s">
        <v>58</v>
      </c>
      <c r="R8" s="23" t="s">
        <v>58</v>
      </c>
      <c r="S8" s="23" t="s">
        <v>58</v>
      </c>
      <c r="T8" s="23" t="s">
        <v>58</v>
      </c>
      <c r="U8" s="23" t="s">
        <v>58</v>
      </c>
      <c r="V8" s="23" t="s">
        <v>58</v>
      </c>
      <c r="W8" s="23" t="s">
        <v>58</v>
      </c>
      <c r="X8" s="23" t="s">
        <v>58</v>
      </c>
      <c r="Y8" s="23" t="s">
        <v>59</v>
      </c>
      <c r="Z8" s="23" t="s">
        <v>59</v>
      </c>
      <c r="AA8" s="23" t="s">
        <v>59</v>
      </c>
      <c r="AB8" s="23" t="s">
        <v>59</v>
      </c>
      <c r="AC8" s="23" t="s">
        <v>59</v>
      </c>
      <c r="AD8" s="23" t="s">
        <v>59</v>
      </c>
      <c r="AE8" s="23" t="s">
        <v>59</v>
      </c>
      <c r="AF8" s="23" t="s">
        <v>59</v>
      </c>
      <c r="AG8" s="23" t="s">
        <v>59</v>
      </c>
      <c r="AH8" s="23" t="s">
        <v>59</v>
      </c>
      <c r="AI8" s="23" t="s">
        <v>59</v>
      </c>
      <c r="AJ8" s="23" t="s">
        <v>59</v>
      </c>
      <c r="AK8" s="23" t="s">
        <v>60</v>
      </c>
      <c r="AL8" s="23" t="s">
        <v>60</v>
      </c>
      <c r="AM8" s="23" t="s">
        <v>60</v>
      </c>
      <c r="AN8" s="23" t="s">
        <v>60</v>
      </c>
      <c r="AO8" s="23" t="s">
        <v>60</v>
      </c>
      <c r="AP8" s="23" t="s">
        <v>60</v>
      </c>
      <c r="AQ8" s="23" t="s">
        <v>60</v>
      </c>
      <c r="AR8" s="23" t="s">
        <v>60</v>
      </c>
      <c r="AS8" s="23" t="s">
        <v>60</v>
      </c>
      <c r="AT8" s="23" t="s">
        <v>60</v>
      </c>
      <c r="AU8" s="23" t="s">
        <v>60</v>
      </c>
      <c r="AV8" s="23" t="s">
        <v>60</v>
      </c>
      <c r="AW8" s="24" t="s">
        <v>76</v>
      </c>
    </row>
    <row r="9" spans="1:48" s="33" customFormat="1" ht="18" customHeight="1">
      <c r="A9" s="18" t="str">
        <f>+IF(Vakant!A9&gt;0,Vakant!A9,"")</f>
        <v>Match</v>
      </c>
      <c r="B9" s="18" t="s">
        <v>62</v>
      </c>
      <c r="C9" s="19" t="str">
        <f>+IF(Vakant!B9&gt;0,Vakant!B9,"")</f>
        <v>Starttid</v>
      </c>
      <c r="D9" s="26">
        <f>+IF(Vakant!C9&gt;0,Vakant!C9,"")</f>
      </c>
      <c r="E9" s="19" t="str">
        <f>+IF(Vakant!D9&gt;0,Vakant!D9,"")</f>
        <v>Sluttid</v>
      </c>
      <c r="F9" s="19">
        <f>+IF(Vakant!E9&gt;0,Vakant!E9,"")</f>
      </c>
      <c r="G9" s="19">
        <f>+IF(Vakant!F9&gt;0,Vakant!F9,"")</f>
      </c>
      <c r="H9" s="19">
        <f>+IF(Vakant!G9&gt;0,Vakant!G9,"")</f>
      </c>
      <c r="I9" s="31" t="str">
        <f>+IF(Vakant!H9&gt;0,Vakant!H9,"")</f>
        <v>Resultat</v>
      </c>
      <c r="J9" s="31" t="e">
        <f>+IF(#REF!&gt;0,#REF!,"")</f>
        <v>#REF!</v>
      </c>
      <c r="K9" s="31" t="e">
        <f>+IF(#REF!&gt;0,#REF!,"")</f>
        <v>#REF!</v>
      </c>
      <c r="L9" s="31" t="str">
        <f>+IF(Vakant!K9&gt;0,Vakant!K9,"")</f>
        <v>Spelad</v>
      </c>
      <c r="M9" s="32" t="str">
        <f>+$F$2</f>
        <v>Svalövs BK 2</v>
      </c>
      <c r="N9" s="32" t="str">
        <f>+$F$3</f>
        <v>Kågeröds BoIF</v>
      </c>
      <c r="O9" s="32" t="str">
        <f>+$F$4</f>
        <v>Ekeby GIF</v>
      </c>
      <c r="P9" s="32" t="str">
        <f>+$F$5</f>
        <v>Marieholms IS</v>
      </c>
      <c r="Q9" s="32" t="str">
        <f>+$F$6</f>
        <v>Teckomatorps SK</v>
      </c>
      <c r="R9" s="32">
        <f>+$F$7</f>
      </c>
      <c r="S9" s="32">
        <f>+$F$8</f>
      </c>
      <c r="T9" s="32" t="str">
        <f>+$H$2</f>
        <v>Svalövs BK 1</v>
      </c>
      <c r="U9" s="32" t="str">
        <f>+$H$3</f>
        <v>Billeberga GIF</v>
      </c>
      <c r="V9" s="32" t="str">
        <f>+$H$4</f>
        <v>Gantofta IF</v>
      </c>
      <c r="W9" s="32" t="str">
        <f>+$H$5</f>
        <v>IK Wormo</v>
      </c>
      <c r="X9" s="32" t="str">
        <f>+H$6</f>
        <v>Eskilsminne IF</v>
      </c>
      <c r="Y9" s="32" t="str">
        <f>+$F$2</f>
        <v>Svalövs BK 2</v>
      </c>
      <c r="Z9" s="32" t="str">
        <f>+$F$3</f>
        <v>Kågeröds BoIF</v>
      </c>
      <c r="AA9" s="32" t="str">
        <f>+$F$4</f>
        <v>Ekeby GIF</v>
      </c>
      <c r="AB9" s="32" t="str">
        <f>+$F$5</f>
        <v>Marieholms IS</v>
      </c>
      <c r="AC9" s="32" t="str">
        <f>+$F$6</f>
        <v>Teckomatorps SK</v>
      </c>
      <c r="AD9" s="32">
        <f>F7</f>
      </c>
      <c r="AE9" s="32">
        <f>F8</f>
      </c>
      <c r="AF9" s="32" t="str">
        <f>+$H$2</f>
        <v>Svalövs BK 1</v>
      </c>
      <c r="AG9" s="32" t="str">
        <f>+$H$3</f>
        <v>Billeberga GIF</v>
      </c>
      <c r="AH9" s="32" t="str">
        <f>+$H$4</f>
        <v>Gantofta IF</v>
      </c>
      <c r="AI9" s="32" t="str">
        <f>+$H$5</f>
        <v>IK Wormo</v>
      </c>
      <c r="AJ9" s="32" t="str">
        <f>+$H$6</f>
        <v>Eskilsminne IF</v>
      </c>
      <c r="AK9" s="32" t="str">
        <f>+$F$2</f>
        <v>Svalövs BK 2</v>
      </c>
      <c r="AL9" s="32" t="str">
        <f>+$F$3</f>
        <v>Kågeröds BoIF</v>
      </c>
      <c r="AM9" s="32" t="str">
        <f>+$F$4</f>
        <v>Ekeby GIF</v>
      </c>
      <c r="AN9" s="32" t="str">
        <f>+$F$5</f>
        <v>Marieholms IS</v>
      </c>
      <c r="AO9" s="32" t="str">
        <f>+$F$6</f>
        <v>Teckomatorps SK</v>
      </c>
      <c r="AP9" s="32">
        <f>F7</f>
      </c>
      <c r="AQ9" s="32">
        <f>F8</f>
      </c>
      <c r="AR9" s="32" t="str">
        <f>+$H$2</f>
        <v>Svalövs BK 1</v>
      </c>
      <c r="AS9" s="32" t="str">
        <f>+$H$3</f>
        <v>Billeberga GIF</v>
      </c>
      <c r="AT9" s="32" t="str">
        <f>+$H$4</f>
        <v>Gantofta IF</v>
      </c>
      <c r="AU9" s="32" t="str">
        <f>+$H$5</f>
        <v>IK Wormo</v>
      </c>
      <c r="AV9" s="32" t="str">
        <f>+$H$6</f>
        <v>Eskilsminne IF</v>
      </c>
    </row>
    <row r="10" spans="1:49" ht="18" customHeight="1">
      <c r="A10" s="40">
        <f>+IF(AND(Vakant!AX10&lt;=21,Vakant!BC10&gt;0),Vakant!BC10,0)</f>
        <v>1</v>
      </c>
      <c r="B10" s="40" t="str">
        <f>+IF(AND(A10&gt;0,A10&lt;=21),VLOOKUP(F10,Grupper!$B$1:$C$12,2,FALSE),"")</f>
        <v>A</v>
      </c>
      <c r="C10" s="42">
        <f>+Tider!B3</f>
        <v>0.3333333333333333</v>
      </c>
      <c r="D10" s="42" t="str">
        <f aca="true" t="shared" si="0" ref="D10:D30">+IF((OR(AND(A10&lt;=21,A10&gt;0),A10="semifinal 1",A10="semifinal 2",A10="3:e pris",A10="final")),"-","")</f>
        <v>-</v>
      </c>
      <c r="E10" s="42">
        <f>IF(OR(AND(A10&gt;0,F10=F9),AND(A10&gt;0,F10=H9),AND(A10&gt;0,H10=H9),AND(A10&gt;0,H10=F9)),(IF(OR(A10&lt;=21,A10="semifinal 1",A10="semifinal 2",A10="3:e pris",A10="final"),C10+Tider!$B$1,E9))+Inställningar!$B$3,(IF(OR(AND(A10&gt;0,A10&lt;=21),A10="semifinal 1",A10="semifinal 2",A10="3:e pris",A10="final"),C10+Tider!$B$1,E9)))</f>
        <v>0.3416666666666667</v>
      </c>
      <c r="F10" s="20" t="str">
        <f>IF(OR(AND(A10&lt;=21,A10&gt;0),A10="semifinal 1",A10="semifinal 2",A10="3:e pris",A10="final"),(VLOOKUP(A10,Vakant!$A$10:$G$51,5,FALSE)),"")</f>
        <v>Svalövs BK 2</v>
      </c>
      <c r="G10" s="21" t="str">
        <f aca="true" t="shared" si="1" ref="G10:G30">+IF((OR(AND(A10&lt;=21,A10&gt;0),A10="semifinal 1",A10="semifinal 2",A10="3:e pris",A10="final")),"-","")</f>
        <v>-</v>
      </c>
      <c r="H10" s="20" t="str">
        <f>+IF(OR(AND(A10&lt;=21,A10&gt;0),A10="semifinal 1",A10="semifinal 2",A10="3:e pris",A10="final"),(VLOOKUP(A10,Vakant!$A$10:$G$51,7,FALSE)),"")</f>
        <v>Kågeröds BoIF</v>
      </c>
      <c r="I10" s="22"/>
      <c r="J10" s="21" t="str">
        <f aca="true" t="shared" si="2" ref="J10:J30">+IF((OR(AND(A10&lt;=21,A10&gt;0),A10="semifinal 1",A10="semifinal 2",A10="3:e pris",A10="final")),"-","")</f>
        <v>-</v>
      </c>
      <c r="L10" s="43"/>
      <c r="M10" s="23">
        <f aca="true" t="shared" si="3" ref="M10:X29">IF($L10="X",(OR(AND(M$9=$F10,$I10&gt;$K10,$L10="X"),AND(M$9=$H10,$K10&gt;$I10,$L10="X"))),0)</f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0</v>
      </c>
      <c r="R10" s="23">
        <f t="shared" si="3"/>
        <v>0</v>
      </c>
      <c r="S10" s="23">
        <f t="shared" si="3"/>
        <v>0</v>
      </c>
      <c r="T10" s="23">
        <f t="shared" si="3"/>
        <v>0</v>
      </c>
      <c r="U10" s="23">
        <f t="shared" si="3"/>
        <v>0</v>
      </c>
      <c r="V10" s="23">
        <f t="shared" si="3"/>
        <v>0</v>
      </c>
      <c r="W10" s="23">
        <f t="shared" si="3"/>
        <v>0</v>
      </c>
      <c r="X10" s="23">
        <f t="shared" si="3"/>
        <v>0</v>
      </c>
      <c r="Y10" s="23">
        <f aca="true" t="shared" si="4" ref="Y10:AJ29">IF($L10="X",(OR(AND(Y$9=$F10,$I10&lt;$K10,$L10="X"),AND(Y$9=$H10,$K10&lt;$I10,$L10="X"))),0)</f>
        <v>0</v>
      </c>
      <c r="Z10" s="23">
        <f t="shared" si="4"/>
        <v>0</v>
      </c>
      <c r="AA10" s="23">
        <f t="shared" si="4"/>
        <v>0</v>
      </c>
      <c r="AB10" s="23">
        <f t="shared" si="4"/>
        <v>0</v>
      </c>
      <c r="AC10" s="23">
        <f t="shared" si="4"/>
        <v>0</v>
      </c>
      <c r="AD10" s="23">
        <f t="shared" si="4"/>
        <v>0</v>
      </c>
      <c r="AE10" s="23">
        <f t="shared" si="4"/>
        <v>0</v>
      </c>
      <c r="AF10" s="23">
        <f t="shared" si="4"/>
        <v>0</v>
      </c>
      <c r="AG10" s="23">
        <f t="shared" si="4"/>
        <v>0</v>
      </c>
      <c r="AH10" s="23">
        <f t="shared" si="4"/>
        <v>0</v>
      </c>
      <c r="AI10" s="23">
        <f t="shared" si="4"/>
        <v>0</v>
      </c>
      <c r="AJ10" s="23">
        <f t="shared" si="4"/>
        <v>0</v>
      </c>
      <c r="AK10" s="23">
        <f aca="true" t="shared" si="5" ref="AK10:AV29">IF($L10="X",(OR(AND(AK$9=$F10,$I10=$K10,$L10="X"),AND(AK$9=$H10,$K10=$I10,$L10="X"))),0)</f>
        <v>0</v>
      </c>
      <c r="AL10" s="23">
        <f t="shared" si="5"/>
        <v>0</v>
      </c>
      <c r="AM10" s="23">
        <f t="shared" si="5"/>
        <v>0</v>
      </c>
      <c r="AN10" s="23">
        <f t="shared" si="5"/>
        <v>0</v>
      </c>
      <c r="AO10" s="23">
        <f t="shared" si="5"/>
        <v>0</v>
      </c>
      <c r="AP10" s="23">
        <f t="shared" si="5"/>
        <v>0</v>
      </c>
      <c r="AQ10" s="23">
        <f t="shared" si="5"/>
        <v>0</v>
      </c>
      <c r="AR10" s="23">
        <f t="shared" si="5"/>
        <v>0</v>
      </c>
      <c r="AS10" s="23">
        <f t="shared" si="5"/>
        <v>0</v>
      </c>
      <c r="AT10" s="23">
        <f t="shared" si="5"/>
        <v>0</v>
      </c>
      <c r="AU10" s="23">
        <f t="shared" si="5"/>
        <v>0</v>
      </c>
      <c r="AV10" s="23">
        <f t="shared" si="5"/>
        <v>0</v>
      </c>
      <c r="AW10" s="33">
        <f aca="true" t="shared" si="6" ref="AW10:AW47">+IF(A10&lt;=20,L10,AW9)</f>
        <v>0</v>
      </c>
    </row>
    <row r="11" spans="1:49" ht="18" customHeight="1">
      <c r="A11" s="40">
        <f>+IF(AND(Vakant!AX11&lt;=21,Vakant!BC11&gt;0),Vakant!BC11,0)</f>
        <v>2</v>
      </c>
      <c r="B11" s="40" t="str">
        <f>+IF(AND(A11&gt;0,A11&lt;=21),VLOOKUP(F11,Grupper!$B$1:$C$12,2,FALSE),"")</f>
        <v>A</v>
      </c>
      <c r="C11" s="42">
        <f>IF(OR(AND(A11&gt;0,F11=F10),AND(A11&gt;0,H11=H10),AND(A11&gt;0,H11=F10),AND(A11&gt;0,F11=H10)),(IF(OR(AND(A11&lt;=21,A11&gt;0),A11="semifinal 1",A11="semifinal 2",A11="3:e pris",A11="final"),E10+Tider!$B$2,C10))+Inställningar!$B$3,(IF(OR(AND(A11&lt;=21,A11&gt;0),A11="semifinal 1",A11="semifinal 2",A11="3:e pris",A11="final"),E10+Tider!$B$2,C10)))</f>
        <v>0.3423611111111111</v>
      </c>
      <c r="D11" s="42" t="str">
        <f t="shared" si="0"/>
        <v>-</v>
      </c>
      <c r="E11" s="42">
        <f>IF(OR(AND(A11&gt;0,F11=F10),AND(A11&gt;0,F11=H10),AND(A11&gt;0,H11=H10),AND(A11&gt;0,H11=F10)),(IF(OR(A11&lt;=21,A11="semifinal 1",A11="semifinal 2",A11="3:e pris",A11="final"),C11+Tider!$B$1,E10))+Inställningar!$B$3,(IF(OR(AND(A11&gt;0,A11&lt;=21),A11="semifinal 1",A11="semifinal 2",A11="3:e pris",A11="final"),C11+Tider!$B$1,E10)))</f>
        <v>0.3506944444444445</v>
      </c>
      <c r="F11" s="20" t="str">
        <f>IF(OR(AND(A11&lt;=21,A11&gt;0),A11="semifinal 1",A11="semifinal 2",A11="3:e pris",A11="final"),(VLOOKUP(A11,Vakant!$A$10:$G$51,5,FALSE)),"")</f>
        <v>Ekeby GIF</v>
      </c>
      <c r="G11" s="21" t="str">
        <f t="shared" si="1"/>
        <v>-</v>
      </c>
      <c r="H11" s="20" t="str">
        <f>+IF(OR(AND(A11&lt;=21,A11&gt;0),A11="semifinal 1",A11="semifinal 2",A11="3:e pris",A11="final"),(VLOOKUP(A11,Vakant!$A$10:$G$51,7,FALSE)),"")</f>
        <v>Marieholms IS</v>
      </c>
      <c r="I11" s="22"/>
      <c r="J11" s="21" t="str">
        <f t="shared" si="2"/>
        <v>-</v>
      </c>
      <c r="L11" s="43"/>
      <c r="M11" s="23">
        <f t="shared" si="3"/>
        <v>0</v>
      </c>
      <c r="N11" s="23">
        <f t="shared" si="3"/>
        <v>0</v>
      </c>
      <c r="O11" s="23">
        <f t="shared" si="3"/>
        <v>0</v>
      </c>
      <c r="P11" s="23">
        <f t="shared" si="3"/>
        <v>0</v>
      </c>
      <c r="Q11" s="23">
        <f t="shared" si="3"/>
        <v>0</v>
      </c>
      <c r="R11" s="23">
        <f t="shared" si="3"/>
        <v>0</v>
      </c>
      <c r="S11" s="23">
        <f t="shared" si="3"/>
        <v>0</v>
      </c>
      <c r="T11" s="23">
        <f t="shared" si="3"/>
        <v>0</v>
      </c>
      <c r="U11" s="23">
        <f t="shared" si="3"/>
        <v>0</v>
      </c>
      <c r="V11" s="23">
        <f t="shared" si="3"/>
        <v>0</v>
      </c>
      <c r="W11" s="23">
        <f t="shared" si="3"/>
        <v>0</v>
      </c>
      <c r="X11" s="23">
        <f t="shared" si="3"/>
        <v>0</v>
      </c>
      <c r="Y11" s="23">
        <f t="shared" si="4"/>
        <v>0</v>
      </c>
      <c r="Z11" s="23">
        <f t="shared" si="4"/>
        <v>0</v>
      </c>
      <c r="AA11" s="23">
        <f t="shared" si="4"/>
        <v>0</v>
      </c>
      <c r="AB11" s="23">
        <f t="shared" si="4"/>
        <v>0</v>
      </c>
      <c r="AC11" s="23">
        <f t="shared" si="4"/>
        <v>0</v>
      </c>
      <c r="AD11" s="23">
        <f t="shared" si="4"/>
        <v>0</v>
      </c>
      <c r="AE11" s="23">
        <f t="shared" si="4"/>
        <v>0</v>
      </c>
      <c r="AF11" s="23">
        <f t="shared" si="4"/>
        <v>0</v>
      </c>
      <c r="AG11" s="23">
        <f t="shared" si="4"/>
        <v>0</v>
      </c>
      <c r="AH11" s="23">
        <f t="shared" si="4"/>
        <v>0</v>
      </c>
      <c r="AI11" s="23">
        <f t="shared" si="4"/>
        <v>0</v>
      </c>
      <c r="AJ11" s="23">
        <f t="shared" si="4"/>
        <v>0</v>
      </c>
      <c r="AK11" s="23">
        <f t="shared" si="5"/>
        <v>0</v>
      </c>
      <c r="AL11" s="23">
        <f t="shared" si="5"/>
        <v>0</v>
      </c>
      <c r="AM11" s="23">
        <f t="shared" si="5"/>
        <v>0</v>
      </c>
      <c r="AN11" s="23">
        <f t="shared" si="5"/>
        <v>0</v>
      </c>
      <c r="AO11" s="23">
        <f t="shared" si="5"/>
        <v>0</v>
      </c>
      <c r="AP11" s="23">
        <f t="shared" si="5"/>
        <v>0</v>
      </c>
      <c r="AQ11" s="23">
        <f t="shared" si="5"/>
        <v>0</v>
      </c>
      <c r="AR11" s="23">
        <f t="shared" si="5"/>
        <v>0</v>
      </c>
      <c r="AS11" s="23">
        <f t="shared" si="5"/>
        <v>0</v>
      </c>
      <c r="AT11" s="23">
        <f t="shared" si="5"/>
        <v>0</v>
      </c>
      <c r="AU11" s="23">
        <f t="shared" si="5"/>
        <v>0</v>
      </c>
      <c r="AV11" s="23">
        <f t="shared" si="5"/>
        <v>0</v>
      </c>
      <c r="AW11" s="33">
        <f t="shared" si="6"/>
        <v>0</v>
      </c>
    </row>
    <row r="12" spans="1:49" ht="18" customHeight="1">
      <c r="A12" s="40">
        <f>+IF(AND(Vakant!AX12&lt;=21,Vakant!BC12&gt;0),Vakant!BC12,0)</f>
        <v>3</v>
      </c>
      <c r="B12" s="40" t="str">
        <f>+IF(AND(A12&gt;0,A12&lt;=21),VLOOKUP(F12,Grupper!$B$1:$C$12,2,FALSE),"")</f>
        <v>B</v>
      </c>
      <c r="C12" s="42">
        <f>IF(OR(AND(A12&gt;0,F12=F11),AND(A12&gt;0,H12=H11),AND(A12&gt;0,H12=F11),AND(A12&gt;0,F12=H11)),(IF(OR(AND(A12&lt;=21,A12&gt;0),A12="semifinal 1",A12="semifinal 2",A12="3:e pris",A12="final"),E11+Tider!$B$2,C11))+Inställningar!$B$3,(IF(OR(AND(A12&lt;=21,A12&gt;0),A12="semifinal 1",A12="semifinal 2",A12="3:e pris",A12="final"),E11+Tider!$B$2,C11)))</f>
        <v>0.3513888888888889</v>
      </c>
      <c r="D12" s="42" t="str">
        <f t="shared" si="0"/>
        <v>-</v>
      </c>
      <c r="E12" s="42">
        <f>IF(OR(AND(A12&gt;0,F12=F11),AND(A12&gt;0,F12=H11),AND(A12&gt;0,H12=H11),AND(A12&gt;0,H12=F11)),(IF(OR(A12&lt;=21,A12="semifinal 1",A12="semifinal 2",A12="3:e pris",A12="final"),C12+Tider!$B$1,E11))+Inställningar!$B$3,(IF(OR(AND(A12&gt;0,A12&lt;=21),A12="semifinal 1",A12="semifinal 2",A12="3:e pris",A12="final"),C12+Tider!$B$1,E11)))</f>
        <v>0.3597222222222223</v>
      </c>
      <c r="F12" s="20" t="str">
        <f>IF(OR(AND(A12&lt;=21,A12&gt;0),A12="semifinal 1",A12="semifinal 2",A12="3:e pris",A12="final"),(VLOOKUP(A12,Vakant!$A$10:$G$51,5,FALSE)),"")</f>
        <v>Svalövs BK 1</v>
      </c>
      <c r="G12" s="21" t="str">
        <f t="shared" si="1"/>
        <v>-</v>
      </c>
      <c r="H12" s="20" t="str">
        <f>+IF(OR(AND(A12&lt;=21,A12&gt;0),A12="semifinal 1",A12="semifinal 2",A12="3:e pris",A12="final"),(VLOOKUP(A12,Vakant!$A$10:$G$51,7,FALSE)),"")</f>
        <v>Billeberga GIF</v>
      </c>
      <c r="I12" s="22"/>
      <c r="J12" s="21" t="str">
        <f t="shared" si="2"/>
        <v>-</v>
      </c>
      <c r="L12" s="43"/>
      <c r="M12" s="23">
        <f t="shared" si="3"/>
        <v>0</v>
      </c>
      <c r="N12" s="23">
        <f t="shared" si="3"/>
        <v>0</v>
      </c>
      <c r="O12" s="23">
        <f t="shared" si="3"/>
        <v>0</v>
      </c>
      <c r="P12" s="23">
        <f t="shared" si="3"/>
        <v>0</v>
      </c>
      <c r="Q12" s="23">
        <f t="shared" si="3"/>
        <v>0</v>
      </c>
      <c r="R12" s="23">
        <f t="shared" si="3"/>
        <v>0</v>
      </c>
      <c r="S12" s="23">
        <f t="shared" si="3"/>
        <v>0</v>
      </c>
      <c r="T12" s="23">
        <f t="shared" si="3"/>
        <v>0</v>
      </c>
      <c r="U12" s="23">
        <f t="shared" si="3"/>
        <v>0</v>
      </c>
      <c r="V12" s="23">
        <f t="shared" si="3"/>
        <v>0</v>
      </c>
      <c r="W12" s="23">
        <f t="shared" si="3"/>
        <v>0</v>
      </c>
      <c r="X12" s="23">
        <f t="shared" si="3"/>
        <v>0</v>
      </c>
      <c r="Y12" s="23">
        <f t="shared" si="4"/>
        <v>0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5"/>
        <v>0</v>
      </c>
      <c r="AL12" s="23">
        <f t="shared" si="5"/>
        <v>0</v>
      </c>
      <c r="AM12" s="23">
        <f t="shared" si="5"/>
        <v>0</v>
      </c>
      <c r="AN12" s="23">
        <f t="shared" si="5"/>
        <v>0</v>
      </c>
      <c r="AO12" s="23">
        <f t="shared" si="5"/>
        <v>0</v>
      </c>
      <c r="AP12" s="23">
        <f t="shared" si="5"/>
        <v>0</v>
      </c>
      <c r="AQ12" s="23">
        <f t="shared" si="5"/>
        <v>0</v>
      </c>
      <c r="AR12" s="23">
        <f t="shared" si="5"/>
        <v>0</v>
      </c>
      <c r="AS12" s="23">
        <f t="shared" si="5"/>
        <v>0</v>
      </c>
      <c r="AT12" s="23">
        <f t="shared" si="5"/>
        <v>0</v>
      </c>
      <c r="AU12" s="23">
        <f t="shared" si="5"/>
        <v>0</v>
      </c>
      <c r="AV12" s="23">
        <f t="shared" si="5"/>
        <v>0</v>
      </c>
      <c r="AW12" s="33">
        <f t="shared" si="6"/>
        <v>0</v>
      </c>
    </row>
    <row r="13" spans="1:49" ht="18" customHeight="1">
      <c r="A13" s="40">
        <f>+IF(AND(Vakant!AX13&lt;=21,Vakant!BC13&gt;0),Vakant!BC13,0)</f>
        <v>4</v>
      </c>
      <c r="B13" s="40" t="str">
        <f>+IF(AND(A13&gt;0,A13&lt;=21),VLOOKUP(F13,Grupper!$B$1:$C$12,2,FALSE),"")</f>
        <v>B</v>
      </c>
      <c r="C13" s="42">
        <f>IF(OR(AND(A13&gt;0,F13=F12),AND(A13&gt;0,H13=H12),AND(A13&gt;0,H13=F12),AND(A13&gt;0,F13=H12)),(IF(OR(AND(A13&lt;=21,A13&gt;0),A13="semifinal 1",A13="semifinal 2",A13="3:e pris",A13="final"),E12+Tider!$B$2,C12))+Inställningar!$B$3,(IF(OR(AND(A13&lt;=21,A13&gt;0),A13="semifinal 1",A13="semifinal 2",A13="3:e pris",A13="final"),E12+Tider!$B$2,C12)))</f>
        <v>0.3604166666666667</v>
      </c>
      <c r="D13" s="42" t="str">
        <f t="shared" si="0"/>
        <v>-</v>
      </c>
      <c r="E13" s="42">
        <f>IF(OR(AND(A13&gt;0,F13=F12),AND(A13&gt;0,F13=H12),AND(A13&gt;0,H13=H12),AND(A13&gt;0,H13=F12)),(IF(OR(A13&lt;=21,A13="semifinal 1",A13="semifinal 2",A13="3:e pris",A13="final"),C13+Tider!$B$1,E12))+Inställningar!$B$3,(IF(OR(AND(A13&gt;0,A13&lt;=21),A13="semifinal 1",A13="semifinal 2",A13="3:e pris",A13="final"),C13+Tider!$B$1,E12)))</f>
        <v>0.3687500000000001</v>
      </c>
      <c r="F13" s="20" t="str">
        <f>IF(OR(AND(A13&lt;=21,A13&gt;0),A13="semifinal 1",A13="semifinal 2",A13="3:e pris",A13="final"),(VLOOKUP(A13,Vakant!$A$10:$G$51,5,FALSE)),"")</f>
        <v>Gantofta IF</v>
      </c>
      <c r="G13" s="21" t="str">
        <f t="shared" si="1"/>
        <v>-</v>
      </c>
      <c r="H13" s="20" t="str">
        <f>+IF(OR(AND(A13&lt;=21,A13&gt;0),A13="semifinal 1",A13="semifinal 2",A13="3:e pris",A13="final"),(VLOOKUP(A13,Vakant!$A$10:$G$51,7,FALSE)),"")</f>
        <v>IK Wormo</v>
      </c>
      <c r="I13" s="22"/>
      <c r="J13" s="21" t="str">
        <f t="shared" si="2"/>
        <v>-</v>
      </c>
      <c r="M13" s="23">
        <f t="shared" si="3"/>
        <v>0</v>
      </c>
      <c r="N13" s="23">
        <f t="shared" si="3"/>
        <v>0</v>
      </c>
      <c r="O13" s="23">
        <f t="shared" si="3"/>
        <v>0</v>
      </c>
      <c r="P13" s="23">
        <f t="shared" si="3"/>
        <v>0</v>
      </c>
      <c r="Q13" s="23">
        <f t="shared" si="3"/>
        <v>0</v>
      </c>
      <c r="R13" s="23">
        <f t="shared" si="3"/>
        <v>0</v>
      </c>
      <c r="S13" s="23">
        <f t="shared" si="3"/>
        <v>0</v>
      </c>
      <c r="T13" s="23">
        <f t="shared" si="3"/>
        <v>0</v>
      </c>
      <c r="U13" s="23">
        <f t="shared" si="3"/>
        <v>0</v>
      </c>
      <c r="V13" s="23">
        <f t="shared" si="3"/>
        <v>0</v>
      </c>
      <c r="W13" s="23">
        <f t="shared" si="3"/>
        <v>0</v>
      </c>
      <c r="X13" s="23">
        <f t="shared" si="3"/>
        <v>0</v>
      </c>
      <c r="Y13" s="23">
        <f t="shared" si="4"/>
        <v>0</v>
      </c>
      <c r="Z13" s="23">
        <f t="shared" si="4"/>
        <v>0</v>
      </c>
      <c r="AA13" s="23">
        <f t="shared" si="4"/>
        <v>0</v>
      </c>
      <c r="AB13" s="23">
        <f t="shared" si="4"/>
        <v>0</v>
      </c>
      <c r="AC13" s="23">
        <f t="shared" si="4"/>
        <v>0</v>
      </c>
      <c r="AD13" s="23">
        <f t="shared" si="4"/>
        <v>0</v>
      </c>
      <c r="AE13" s="23">
        <f t="shared" si="4"/>
        <v>0</v>
      </c>
      <c r="AF13" s="23">
        <f t="shared" si="4"/>
        <v>0</v>
      </c>
      <c r="AG13" s="23">
        <f t="shared" si="4"/>
        <v>0</v>
      </c>
      <c r="AH13" s="23">
        <f t="shared" si="4"/>
        <v>0</v>
      </c>
      <c r="AI13" s="23">
        <f t="shared" si="4"/>
        <v>0</v>
      </c>
      <c r="AJ13" s="23">
        <f t="shared" si="4"/>
        <v>0</v>
      </c>
      <c r="AK13" s="23">
        <f t="shared" si="5"/>
        <v>0</v>
      </c>
      <c r="AL13" s="23">
        <f t="shared" si="5"/>
        <v>0</v>
      </c>
      <c r="AM13" s="23">
        <f t="shared" si="5"/>
        <v>0</v>
      </c>
      <c r="AN13" s="23">
        <f t="shared" si="5"/>
        <v>0</v>
      </c>
      <c r="AO13" s="23">
        <f t="shared" si="5"/>
        <v>0</v>
      </c>
      <c r="AP13" s="23">
        <f t="shared" si="5"/>
        <v>0</v>
      </c>
      <c r="AQ13" s="23">
        <f t="shared" si="5"/>
        <v>0</v>
      </c>
      <c r="AR13" s="23">
        <f t="shared" si="5"/>
        <v>0</v>
      </c>
      <c r="AS13" s="23">
        <f t="shared" si="5"/>
        <v>0</v>
      </c>
      <c r="AT13" s="23">
        <f t="shared" si="5"/>
        <v>0</v>
      </c>
      <c r="AU13" s="23">
        <f t="shared" si="5"/>
        <v>0</v>
      </c>
      <c r="AV13" s="23">
        <f t="shared" si="5"/>
        <v>0</v>
      </c>
      <c r="AW13" s="33">
        <f t="shared" si="6"/>
        <v>0</v>
      </c>
    </row>
    <row r="14" spans="1:49" ht="18" customHeight="1">
      <c r="A14" s="40">
        <f>+IF(AND(Vakant!AX14&lt;=21,Vakant!BC14&gt;0),Vakant!BC14,0)</f>
        <v>0</v>
      </c>
      <c r="B14" s="40">
        <f>+IF(AND(A14&gt;0,A14&lt;=21),VLOOKUP(F14,Grupper!$B$1:$C$12,2,FALSE),"")</f>
      </c>
      <c r="C14" s="42">
        <f>IF(OR(AND(A14&gt;0,F14=F13),AND(A14&gt;0,H14=H13),AND(A14&gt;0,H14=F13),AND(A14&gt;0,F14=H13)),(IF(OR(AND(A14&lt;=21,A14&gt;0),A14="semifinal 1",A14="semifinal 2",A14="3:e pris",A14="final"),E13+Tider!$B$2,C13))+Inställningar!$B$3,(IF(OR(AND(A14&lt;=21,A14&gt;0),A14="semifinal 1",A14="semifinal 2",A14="3:e pris",A14="final"),E13+Tider!$B$2,C13)))</f>
        <v>0.3604166666666667</v>
      </c>
      <c r="D14" s="42">
        <f t="shared" si="0"/>
      </c>
      <c r="E14" s="42">
        <f>IF(OR(AND(A14&gt;0,F14=F13),AND(A14&gt;0,F14=H13),AND(A14&gt;0,H14=H13),AND(A14&gt;0,H14=F13)),(IF(OR(A14&lt;=21,A14="semifinal 1",A14="semifinal 2",A14="3:e pris",A14="final"),C14+Tider!$B$1,E13))+Inställningar!$B$3,(IF(OR(AND(A14&gt;0,A14&lt;=21),A14="semifinal 1",A14="semifinal 2",A14="3:e pris",A14="final"),C14+Tider!$B$1,E13)))</f>
        <v>0.3687500000000001</v>
      </c>
      <c r="F14" s="20">
        <f>IF(OR(AND(A14&lt;=21,A14&gt;0),A14="semifinal 1",A14="semifinal 2",A14="3:e pris",A14="final"),(VLOOKUP(A14,Vakant!$A$10:$G$51,5,FALSE)),"")</f>
      </c>
      <c r="G14" s="21">
        <f t="shared" si="1"/>
      </c>
      <c r="H14" s="20">
        <f>+IF(OR(AND(A14&lt;=21,A14&gt;0),A14="semifinal 1",A14="semifinal 2",A14="3:e pris",A14="final"),(VLOOKUP(A14,Vakant!$A$10:$G$51,7,FALSE)),"")</f>
      </c>
      <c r="I14" s="22"/>
      <c r="J14" s="21">
        <f t="shared" si="2"/>
      </c>
      <c r="L14" s="43"/>
      <c r="M14" s="23">
        <f t="shared" si="3"/>
        <v>0</v>
      </c>
      <c r="N14" s="23">
        <f t="shared" si="3"/>
        <v>0</v>
      </c>
      <c r="O14" s="23">
        <f t="shared" si="3"/>
        <v>0</v>
      </c>
      <c r="P14" s="23">
        <f t="shared" si="3"/>
        <v>0</v>
      </c>
      <c r="Q14" s="23">
        <f t="shared" si="3"/>
        <v>0</v>
      </c>
      <c r="R14" s="23">
        <f t="shared" si="3"/>
        <v>0</v>
      </c>
      <c r="S14" s="23">
        <f t="shared" si="3"/>
        <v>0</v>
      </c>
      <c r="T14" s="23">
        <f t="shared" si="3"/>
        <v>0</v>
      </c>
      <c r="U14" s="23">
        <f t="shared" si="3"/>
        <v>0</v>
      </c>
      <c r="V14" s="23">
        <f t="shared" si="3"/>
        <v>0</v>
      </c>
      <c r="W14" s="23">
        <f t="shared" si="3"/>
        <v>0</v>
      </c>
      <c r="X14" s="23">
        <f t="shared" si="3"/>
        <v>0</v>
      </c>
      <c r="Y14" s="23">
        <f t="shared" si="4"/>
        <v>0</v>
      </c>
      <c r="Z14" s="23">
        <f t="shared" si="4"/>
        <v>0</v>
      </c>
      <c r="AA14" s="23">
        <f t="shared" si="4"/>
        <v>0</v>
      </c>
      <c r="AB14" s="23">
        <f t="shared" si="4"/>
        <v>0</v>
      </c>
      <c r="AC14" s="23">
        <f t="shared" si="4"/>
        <v>0</v>
      </c>
      <c r="AD14" s="23">
        <f t="shared" si="4"/>
        <v>0</v>
      </c>
      <c r="AE14" s="23">
        <f t="shared" si="4"/>
        <v>0</v>
      </c>
      <c r="AF14" s="23">
        <f t="shared" si="4"/>
        <v>0</v>
      </c>
      <c r="AG14" s="23">
        <f t="shared" si="4"/>
        <v>0</v>
      </c>
      <c r="AH14" s="23">
        <f t="shared" si="4"/>
        <v>0</v>
      </c>
      <c r="AI14" s="23">
        <f t="shared" si="4"/>
        <v>0</v>
      </c>
      <c r="AJ14" s="23">
        <f t="shared" si="4"/>
        <v>0</v>
      </c>
      <c r="AK14" s="23">
        <f t="shared" si="5"/>
        <v>0</v>
      </c>
      <c r="AL14" s="23">
        <f t="shared" si="5"/>
        <v>0</v>
      </c>
      <c r="AM14" s="23">
        <f t="shared" si="5"/>
        <v>0</v>
      </c>
      <c r="AN14" s="23">
        <f t="shared" si="5"/>
        <v>0</v>
      </c>
      <c r="AO14" s="23">
        <f t="shared" si="5"/>
        <v>0</v>
      </c>
      <c r="AP14" s="23">
        <f t="shared" si="5"/>
        <v>0</v>
      </c>
      <c r="AQ14" s="23">
        <f t="shared" si="5"/>
        <v>0</v>
      </c>
      <c r="AR14" s="23">
        <f t="shared" si="5"/>
        <v>0</v>
      </c>
      <c r="AS14" s="23">
        <f t="shared" si="5"/>
        <v>0</v>
      </c>
      <c r="AT14" s="23">
        <f t="shared" si="5"/>
        <v>0</v>
      </c>
      <c r="AU14" s="23">
        <f t="shared" si="5"/>
        <v>0</v>
      </c>
      <c r="AV14" s="23">
        <f t="shared" si="5"/>
        <v>0</v>
      </c>
      <c r="AW14" s="33">
        <f t="shared" si="6"/>
        <v>0</v>
      </c>
    </row>
    <row r="15" spans="1:49" ht="18" customHeight="1">
      <c r="A15" s="40">
        <f>+IF(AND(Vakant!AX15&lt;=21,Vakant!BC15&gt;0),Vakant!BC15,0)</f>
        <v>5</v>
      </c>
      <c r="B15" s="40" t="str">
        <f>+IF(AND(A15&gt;0,A15&lt;=21),VLOOKUP(F15,Grupper!$B$1:$C$12,2,FALSE),"")</f>
        <v>A</v>
      </c>
      <c r="C15" s="42">
        <f>IF(OR(AND(A15&gt;0,F15=F14),AND(A15&gt;0,H15=H14),AND(A15&gt;0,H15=F14),AND(A15&gt;0,F15=H14)),(IF(OR(AND(A15&lt;=21,A15&gt;0),A15="semifinal 1",A15="semifinal 2",A15="3:e pris",A15="final"),E14+Tider!$B$2,C14))+Inställningar!$B$3,(IF(OR(AND(A15&lt;=21,A15&gt;0),A15="semifinal 1",A15="semifinal 2",A15="3:e pris",A15="final"),E14+Tider!$B$2,C14)))</f>
        <v>0.3694444444444445</v>
      </c>
      <c r="D15" s="42" t="str">
        <f t="shared" si="0"/>
        <v>-</v>
      </c>
      <c r="E15" s="42">
        <f>IF(OR(AND(A15&gt;0,F15=F14),AND(A15&gt;0,F15=H14),AND(A15&gt;0,H15=H14),AND(A15&gt;0,H15=F14)),(IF(OR(A15&lt;=21,A15="semifinal 1",A15="semifinal 2",A15="3:e pris",A15="final"),C15+Tider!$B$1,E14))+Inställningar!$B$3,(IF(OR(AND(A15&gt;0,A15&lt;=21),A15="semifinal 1",A15="semifinal 2",A15="3:e pris",A15="final"),C15+Tider!$B$1,E14)))</f>
        <v>0.3777777777777779</v>
      </c>
      <c r="F15" s="20" t="str">
        <f>IF(OR(AND(A15&lt;=21,A15&gt;0),A15="semifinal 1",A15="semifinal 2",A15="3:e pris",A15="final"),(VLOOKUP(A15,Vakant!$A$10:$G$51,5,FALSE)),"")</f>
        <v>Teckomatorps SK</v>
      </c>
      <c r="G15" s="21" t="str">
        <f t="shared" si="1"/>
        <v>-</v>
      </c>
      <c r="H15" s="20" t="str">
        <f>+IF(OR(AND(A15&lt;=21,A15&gt;0),A15="semifinal 1",A15="semifinal 2",A15="3:e pris",A15="final"),(VLOOKUP(A15,Vakant!$A$10:$G$51,7,FALSE)),"")</f>
        <v>Svalövs BK 2</v>
      </c>
      <c r="I15" s="22"/>
      <c r="J15" s="21" t="str">
        <f t="shared" si="2"/>
        <v>-</v>
      </c>
      <c r="L15" s="43"/>
      <c r="M15" s="105">
        <f t="shared" si="3"/>
        <v>0</v>
      </c>
      <c r="N15" s="105">
        <f t="shared" si="3"/>
        <v>0</v>
      </c>
      <c r="O15" s="105">
        <f t="shared" si="3"/>
        <v>0</v>
      </c>
      <c r="P15" s="105">
        <f t="shared" si="3"/>
        <v>0</v>
      </c>
      <c r="Q15" s="105">
        <f t="shared" si="3"/>
        <v>0</v>
      </c>
      <c r="R15" s="105">
        <f t="shared" si="3"/>
        <v>0</v>
      </c>
      <c r="S15" s="105">
        <f t="shared" si="3"/>
        <v>0</v>
      </c>
      <c r="T15" s="105">
        <f t="shared" si="3"/>
        <v>0</v>
      </c>
      <c r="U15" s="105">
        <f t="shared" si="3"/>
        <v>0</v>
      </c>
      <c r="V15" s="105">
        <f t="shared" si="3"/>
        <v>0</v>
      </c>
      <c r="W15" s="105">
        <f t="shared" si="3"/>
        <v>0</v>
      </c>
      <c r="X15" s="105">
        <f t="shared" si="3"/>
        <v>0</v>
      </c>
      <c r="Y15" s="105">
        <f t="shared" si="4"/>
        <v>0</v>
      </c>
      <c r="Z15" s="105">
        <f t="shared" si="4"/>
        <v>0</v>
      </c>
      <c r="AA15" s="105">
        <f t="shared" si="4"/>
        <v>0</v>
      </c>
      <c r="AB15" s="105">
        <f t="shared" si="4"/>
        <v>0</v>
      </c>
      <c r="AC15" s="105">
        <f t="shared" si="4"/>
        <v>0</v>
      </c>
      <c r="AD15" s="105">
        <f t="shared" si="4"/>
        <v>0</v>
      </c>
      <c r="AE15" s="105">
        <f t="shared" si="4"/>
        <v>0</v>
      </c>
      <c r="AF15" s="105">
        <f t="shared" si="4"/>
        <v>0</v>
      </c>
      <c r="AG15" s="105">
        <f t="shared" si="4"/>
        <v>0</v>
      </c>
      <c r="AH15" s="105">
        <f t="shared" si="4"/>
        <v>0</v>
      </c>
      <c r="AI15" s="105">
        <f t="shared" si="4"/>
        <v>0</v>
      </c>
      <c r="AJ15" s="105">
        <f t="shared" si="4"/>
        <v>0</v>
      </c>
      <c r="AK15" s="105">
        <f t="shared" si="5"/>
        <v>0</v>
      </c>
      <c r="AL15" s="105">
        <f t="shared" si="5"/>
        <v>0</v>
      </c>
      <c r="AM15" s="105">
        <f t="shared" si="5"/>
        <v>0</v>
      </c>
      <c r="AN15" s="105">
        <f t="shared" si="5"/>
        <v>0</v>
      </c>
      <c r="AO15" s="105">
        <f t="shared" si="5"/>
        <v>0</v>
      </c>
      <c r="AP15" s="105">
        <f t="shared" si="5"/>
        <v>0</v>
      </c>
      <c r="AQ15" s="105">
        <f t="shared" si="5"/>
        <v>0</v>
      </c>
      <c r="AR15" s="105">
        <f t="shared" si="5"/>
        <v>0</v>
      </c>
      <c r="AS15" s="105">
        <f t="shared" si="5"/>
        <v>0</v>
      </c>
      <c r="AT15" s="105">
        <f t="shared" si="5"/>
        <v>0</v>
      </c>
      <c r="AU15" s="105">
        <f t="shared" si="5"/>
        <v>0</v>
      </c>
      <c r="AV15" s="105">
        <f t="shared" si="5"/>
        <v>0</v>
      </c>
      <c r="AW15" s="33">
        <f t="shared" si="6"/>
        <v>0</v>
      </c>
    </row>
    <row r="16" spans="1:49" ht="18" customHeight="1">
      <c r="A16" s="40">
        <f>+IF(AND(Vakant!AX16&lt;=21,Vakant!BC16&gt;0),Vakant!BC16,0)</f>
        <v>6</v>
      </c>
      <c r="B16" s="40" t="str">
        <f>+IF(AND(A16&gt;0,A16&lt;=21),VLOOKUP(F16,Grupper!$B$1:$C$12,2,FALSE),"")</f>
        <v>A</v>
      </c>
      <c r="C16" s="42">
        <f>IF(OR(AND(A16&gt;0,F16=F15),AND(A16&gt;0,H16=H15),AND(A16&gt;0,H16=F15),AND(A16&gt;0,F16=H15)),(IF(OR(AND(A16&lt;=21,A16&gt;0),A16="semifinal 1",A16="semifinal 2",A16="3:e pris",A16="final"),E15+Tider!$B$2,C15))+Inställningar!$B$3,(IF(OR(AND(A16&lt;=21,A16&gt;0),A16="semifinal 1",A16="semifinal 2",A16="3:e pris",A16="final"),E15+Tider!$B$2,C15)))</f>
        <v>0.3784722222222223</v>
      </c>
      <c r="D16" s="42" t="str">
        <f t="shared" si="0"/>
        <v>-</v>
      </c>
      <c r="E16" s="42">
        <f>IF(OR(AND(A16&gt;0,F16=F15),AND(A16&gt;0,F16=H15),AND(A16&gt;0,H16=H15),AND(A16&gt;0,H16=F15)),(IF(OR(A16&lt;=21,A16="semifinal 1",A16="semifinal 2",A16="3:e pris",A16="final"),C16+Tider!$B$1,E15))+Inställningar!$B$3,(IF(OR(AND(A16&gt;0,A16&lt;=21),A16="semifinal 1",A16="semifinal 2",A16="3:e pris",A16="final"),C16+Tider!$B$1,E15)))</f>
        <v>0.3868055555555557</v>
      </c>
      <c r="F16" s="20" t="str">
        <f>IF(OR(AND(A16&lt;=21,A16&gt;0),A16="semifinal 1",A16="semifinal 2",A16="3:e pris",A16="final"),(VLOOKUP(A16,Vakant!$A$10:$G$51,5,FALSE)),"")</f>
        <v>Kågeröds BoIF</v>
      </c>
      <c r="G16" s="21" t="str">
        <f t="shared" si="1"/>
        <v>-</v>
      </c>
      <c r="H16" s="20" t="str">
        <f>+IF(OR(AND(A16&lt;=21,A16&gt;0),A16="semifinal 1",A16="semifinal 2",A16="3:e pris",A16="final"),(VLOOKUP(A16,Vakant!$A$10:$G$51,7,FALSE)),"")</f>
        <v>Ekeby GIF</v>
      </c>
      <c r="I16" s="22"/>
      <c r="J16" s="21" t="str">
        <f t="shared" si="2"/>
        <v>-</v>
      </c>
      <c r="L16" s="43"/>
      <c r="M16" s="23">
        <f t="shared" si="3"/>
        <v>0</v>
      </c>
      <c r="N16" s="23">
        <f t="shared" si="3"/>
        <v>0</v>
      </c>
      <c r="O16" s="23">
        <f t="shared" si="3"/>
        <v>0</v>
      </c>
      <c r="P16" s="23">
        <f t="shared" si="3"/>
        <v>0</v>
      </c>
      <c r="Q16" s="23">
        <f t="shared" si="3"/>
        <v>0</v>
      </c>
      <c r="R16" s="23">
        <f t="shared" si="3"/>
        <v>0</v>
      </c>
      <c r="S16" s="23">
        <f t="shared" si="3"/>
        <v>0</v>
      </c>
      <c r="T16" s="23">
        <f t="shared" si="3"/>
        <v>0</v>
      </c>
      <c r="U16" s="23">
        <f t="shared" si="3"/>
        <v>0</v>
      </c>
      <c r="V16" s="23">
        <f t="shared" si="3"/>
        <v>0</v>
      </c>
      <c r="W16" s="23">
        <f t="shared" si="3"/>
        <v>0</v>
      </c>
      <c r="X16" s="23">
        <f t="shared" si="3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 t="shared" si="4"/>
        <v>0</v>
      </c>
      <c r="AD16" s="23">
        <f t="shared" si="4"/>
        <v>0</v>
      </c>
      <c r="AE16" s="23">
        <f t="shared" si="4"/>
        <v>0</v>
      </c>
      <c r="AF16" s="23">
        <f t="shared" si="4"/>
        <v>0</v>
      </c>
      <c r="AG16" s="23">
        <f t="shared" si="4"/>
        <v>0</v>
      </c>
      <c r="AH16" s="23">
        <f t="shared" si="4"/>
        <v>0</v>
      </c>
      <c r="AI16" s="23">
        <f t="shared" si="4"/>
        <v>0</v>
      </c>
      <c r="AJ16" s="23">
        <f t="shared" si="4"/>
        <v>0</v>
      </c>
      <c r="AK16" s="23">
        <f t="shared" si="5"/>
        <v>0</v>
      </c>
      <c r="AL16" s="23">
        <f t="shared" si="5"/>
        <v>0</v>
      </c>
      <c r="AM16" s="23">
        <f t="shared" si="5"/>
        <v>0</v>
      </c>
      <c r="AN16" s="23">
        <f t="shared" si="5"/>
        <v>0</v>
      </c>
      <c r="AO16" s="23">
        <f t="shared" si="5"/>
        <v>0</v>
      </c>
      <c r="AP16" s="23">
        <f t="shared" si="5"/>
        <v>0</v>
      </c>
      <c r="AQ16" s="23">
        <f t="shared" si="5"/>
        <v>0</v>
      </c>
      <c r="AR16" s="23">
        <f t="shared" si="5"/>
        <v>0</v>
      </c>
      <c r="AS16" s="23">
        <f t="shared" si="5"/>
        <v>0</v>
      </c>
      <c r="AT16" s="23">
        <f t="shared" si="5"/>
        <v>0</v>
      </c>
      <c r="AU16" s="23">
        <f t="shared" si="5"/>
        <v>0</v>
      </c>
      <c r="AV16" s="23">
        <f t="shared" si="5"/>
        <v>0</v>
      </c>
      <c r="AW16" s="33">
        <f t="shared" si="6"/>
        <v>0</v>
      </c>
    </row>
    <row r="17" spans="1:49" ht="18" customHeight="1">
      <c r="A17" s="40">
        <f>+IF(AND(Vakant!AX17&lt;=21,Vakant!BC17&gt;0),Vakant!BC17,0)</f>
        <v>7</v>
      </c>
      <c r="B17" s="40" t="str">
        <f>+IF(AND(A17&gt;0,A17&lt;=21),VLOOKUP(F17,Grupper!$B$1:$C$12,2,FALSE),"")</f>
        <v>B</v>
      </c>
      <c r="C17" s="42">
        <f>IF(OR(AND(A17&gt;0,F17=F16),AND(A17&gt;0,H17=H16),AND(A17&gt;0,H17=F16),AND(A17&gt;0,F17=H16)),(IF(OR(AND(A17&lt;=21,A17&gt;0),A17="semifinal 1",A17="semifinal 2",A17="3:e pris",A17="final"),E16+Tider!$B$2,C16))+Inställningar!$B$3,(IF(OR(AND(A17&lt;=21,A17&gt;0),A17="semifinal 1",A17="semifinal 2",A17="3:e pris",A17="final"),E16+Tider!$B$2,C16)))</f>
        <v>0.3875000000000001</v>
      </c>
      <c r="D17" s="42" t="str">
        <f t="shared" si="0"/>
        <v>-</v>
      </c>
      <c r="E17" s="42">
        <f>IF(OR(AND(A17&gt;0,F17=F16),AND(A17&gt;0,F17=H16),AND(A17&gt;0,H17=H16),AND(A17&gt;0,H17=F16)),(IF(OR(A17&lt;=21,A17="semifinal 1",A17="semifinal 2",A17="3:e pris",A17="final"),C17+Tider!$B$1,E16))+Inställningar!$B$3,(IF(OR(AND(A17&gt;0,A17&lt;=21),A17="semifinal 1",A17="semifinal 2",A17="3:e pris",A17="final"),C17+Tider!$B$1,E16)))</f>
        <v>0.3958333333333335</v>
      </c>
      <c r="F17" s="20" t="str">
        <f>IF(OR(AND(A17&lt;=21,A17&gt;0),A17="semifinal 1",A17="semifinal 2",A17="3:e pris",A17="final"),(VLOOKUP(A17,Vakant!$A$10:$G$51,5,FALSE)),"")</f>
        <v>Eskilsminne IF</v>
      </c>
      <c r="G17" s="21" t="str">
        <f t="shared" si="1"/>
        <v>-</v>
      </c>
      <c r="H17" s="20" t="str">
        <f>+IF(OR(AND(A17&lt;=21,A17&gt;0),A17="semifinal 1",A17="semifinal 2",A17="3:e pris",A17="final"),(VLOOKUP(A17,Vakant!$A$10:$G$51,7,FALSE)),"")</f>
        <v>Svalövs BK 1</v>
      </c>
      <c r="I17" s="22"/>
      <c r="J17" s="21" t="str">
        <f t="shared" si="2"/>
        <v>-</v>
      </c>
      <c r="L17" s="43"/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23">
        <f t="shared" si="3"/>
        <v>0</v>
      </c>
      <c r="R17" s="23">
        <f t="shared" si="3"/>
        <v>0</v>
      </c>
      <c r="S17" s="23">
        <f t="shared" si="3"/>
        <v>0</v>
      </c>
      <c r="T17" s="23">
        <f t="shared" si="3"/>
        <v>0</v>
      </c>
      <c r="U17" s="23">
        <f t="shared" si="3"/>
        <v>0</v>
      </c>
      <c r="V17" s="23">
        <f t="shared" si="3"/>
        <v>0</v>
      </c>
      <c r="W17" s="23">
        <f t="shared" si="3"/>
        <v>0</v>
      </c>
      <c r="X17" s="23">
        <f t="shared" si="3"/>
        <v>0</v>
      </c>
      <c r="Y17" s="23">
        <f t="shared" si="4"/>
        <v>0</v>
      </c>
      <c r="Z17" s="23">
        <f t="shared" si="4"/>
        <v>0</v>
      </c>
      <c r="AA17" s="23">
        <f t="shared" si="4"/>
        <v>0</v>
      </c>
      <c r="AB17" s="23">
        <f t="shared" si="4"/>
        <v>0</v>
      </c>
      <c r="AC17" s="23">
        <f t="shared" si="4"/>
        <v>0</v>
      </c>
      <c r="AD17" s="23">
        <f t="shared" si="4"/>
        <v>0</v>
      </c>
      <c r="AE17" s="23">
        <f t="shared" si="4"/>
        <v>0</v>
      </c>
      <c r="AF17" s="23">
        <f t="shared" si="4"/>
        <v>0</v>
      </c>
      <c r="AG17" s="23">
        <f t="shared" si="4"/>
        <v>0</v>
      </c>
      <c r="AH17" s="23">
        <f t="shared" si="4"/>
        <v>0</v>
      </c>
      <c r="AI17" s="23">
        <f t="shared" si="4"/>
        <v>0</v>
      </c>
      <c r="AJ17" s="23">
        <f t="shared" si="4"/>
        <v>0</v>
      </c>
      <c r="AK17" s="23">
        <f t="shared" si="5"/>
        <v>0</v>
      </c>
      <c r="AL17" s="23">
        <f t="shared" si="5"/>
        <v>0</v>
      </c>
      <c r="AM17" s="23">
        <f t="shared" si="5"/>
        <v>0</v>
      </c>
      <c r="AN17" s="23">
        <f t="shared" si="5"/>
        <v>0</v>
      </c>
      <c r="AO17" s="23">
        <f t="shared" si="5"/>
        <v>0</v>
      </c>
      <c r="AP17" s="23">
        <f t="shared" si="5"/>
        <v>0</v>
      </c>
      <c r="AQ17" s="23">
        <f t="shared" si="5"/>
        <v>0</v>
      </c>
      <c r="AR17" s="23">
        <f t="shared" si="5"/>
        <v>0</v>
      </c>
      <c r="AS17" s="23">
        <f t="shared" si="5"/>
        <v>0</v>
      </c>
      <c r="AT17" s="23">
        <f t="shared" si="5"/>
        <v>0</v>
      </c>
      <c r="AU17" s="23">
        <f t="shared" si="5"/>
        <v>0</v>
      </c>
      <c r="AV17" s="23">
        <f t="shared" si="5"/>
        <v>0</v>
      </c>
      <c r="AW17" s="33">
        <f t="shared" si="6"/>
        <v>0</v>
      </c>
    </row>
    <row r="18" spans="1:49" ht="18" customHeight="1">
      <c r="A18" s="40">
        <f>+IF(AND(Vakant!AX18&lt;=21,Vakant!BC18&gt;0),Vakant!BC18,0)</f>
        <v>8</v>
      </c>
      <c r="B18" s="40" t="str">
        <f>+IF(AND(A18&gt;0,A18&lt;=21),VLOOKUP(F18,Grupper!$B$1:$C$12,2,FALSE),"")</f>
        <v>B</v>
      </c>
      <c r="C18" s="42">
        <f>IF(OR(AND(A18&gt;0,F18=F17),AND(A18&gt;0,H18=H17),AND(A18&gt;0,H18=F17),AND(A18&gt;0,F18=H17)),(IF(OR(AND(A18&lt;=21,A18&gt;0),A18="semifinal 1",A18="semifinal 2",A18="3:e pris",A18="final"),E17+Tider!$B$2,C17))+Inställningar!$B$3,(IF(OR(AND(A18&lt;=21,A18&gt;0),A18="semifinal 1",A18="semifinal 2",A18="3:e pris",A18="final"),E17+Tider!$B$2,C17)))</f>
        <v>0.3965277777777779</v>
      </c>
      <c r="D18" s="42" t="str">
        <f t="shared" si="0"/>
        <v>-</v>
      </c>
      <c r="E18" s="42">
        <f>IF(OR(AND(A18&gt;0,F18=F17),AND(A18&gt;0,F18=H17),AND(A18&gt;0,H18=H17),AND(A18&gt;0,H18=F17)),(IF(OR(A18&lt;=21,A18="semifinal 1",A18="semifinal 2",A18="3:e pris",A18="final"),C18+Tider!$B$1,E17))+Inställningar!$B$3,(IF(OR(AND(A18&gt;0,A18&lt;=21),A18="semifinal 1",A18="semifinal 2",A18="3:e pris",A18="final"),C18+Tider!$B$1,E17)))</f>
        <v>0.4048611111111113</v>
      </c>
      <c r="F18" s="20" t="str">
        <f>IF(OR(AND(A18&lt;=21,A18&gt;0),A18="semifinal 1",A18="semifinal 2",A18="3:e pris",A18="final"),(VLOOKUP(A18,Vakant!$A$10:$G$51,5,FALSE)),"")</f>
        <v>Billeberga GIF</v>
      </c>
      <c r="G18" s="21" t="str">
        <f t="shared" si="1"/>
        <v>-</v>
      </c>
      <c r="H18" s="20" t="str">
        <f>+IF(OR(AND(A18&lt;=21,A18&gt;0),A18="semifinal 1",A18="semifinal 2",A18="3:e pris",A18="final"),(VLOOKUP(A18,Vakant!$A$10:$G$51,7,FALSE)),"")</f>
        <v>Gantofta IF</v>
      </c>
      <c r="I18" s="22"/>
      <c r="J18" s="21" t="str">
        <f t="shared" si="2"/>
        <v>-</v>
      </c>
      <c r="L18" s="43"/>
      <c r="M18" s="23">
        <f t="shared" si="3"/>
        <v>0</v>
      </c>
      <c r="N18" s="23">
        <f t="shared" si="3"/>
        <v>0</v>
      </c>
      <c r="O18" s="23">
        <f t="shared" si="3"/>
        <v>0</v>
      </c>
      <c r="P18" s="23">
        <f t="shared" si="3"/>
        <v>0</v>
      </c>
      <c r="Q18" s="23">
        <f t="shared" si="3"/>
        <v>0</v>
      </c>
      <c r="R18" s="23">
        <f t="shared" si="3"/>
        <v>0</v>
      </c>
      <c r="S18" s="23">
        <f t="shared" si="3"/>
        <v>0</v>
      </c>
      <c r="T18" s="23">
        <f t="shared" si="3"/>
        <v>0</v>
      </c>
      <c r="U18" s="23">
        <f t="shared" si="3"/>
        <v>0</v>
      </c>
      <c r="V18" s="23">
        <f t="shared" si="3"/>
        <v>0</v>
      </c>
      <c r="W18" s="23">
        <f t="shared" si="3"/>
        <v>0</v>
      </c>
      <c r="X18" s="23">
        <f t="shared" si="3"/>
        <v>0</v>
      </c>
      <c r="Y18" s="23">
        <f t="shared" si="4"/>
        <v>0</v>
      </c>
      <c r="Z18" s="23">
        <f t="shared" si="4"/>
        <v>0</v>
      </c>
      <c r="AA18" s="23">
        <f t="shared" si="4"/>
        <v>0</v>
      </c>
      <c r="AB18" s="23">
        <f t="shared" si="4"/>
        <v>0</v>
      </c>
      <c r="AC18" s="23">
        <f t="shared" si="4"/>
        <v>0</v>
      </c>
      <c r="AD18" s="23">
        <f t="shared" si="4"/>
        <v>0</v>
      </c>
      <c r="AE18" s="23">
        <f t="shared" si="4"/>
        <v>0</v>
      </c>
      <c r="AF18" s="23">
        <f t="shared" si="4"/>
        <v>0</v>
      </c>
      <c r="AG18" s="23">
        <f t="shared" si="4"/>
        <v>0</v>
      </c>
      <c r="AH18" s="23">
        <f t="shared" si="4"/>
        <v>0</v>
      </c>
      <c r="AI18" s="23">
        <f t="shared" si="4"/>
        <v>0</v>
      </c>
      <c r="AJ18" s="23">
        <f t="shared" si="4"/>
        <v>0</v>
      </c>
      <c r="AK18" s="23">
        <f t="shared" si="5"/>
        <v>0</v>
      </c>
      <c r="AL18" s="23">
        <f t="shared" si="5"/>
        <v>0</v>
      </c>
      <c r="AM18" s="23">
        <f t="shared" si="5"/>
        <v>0</v>
      </c>
      <c r="AN18" s="23">
        <f t="shared" si="5"/>
        <v>0</v>
      </c>
      <c r="AO18" s="23">
        <f t="shared" si="5"/>
        <v>0</v>
      </c>
      <c r="AP18" s="23">
        <f t="shared" si="5"/>
        <v>0</v>
      </c>
      <c r="AQ18" s="23">
        <f t="shared" si="5"/>
        <v>0</v>
      </c>
      <c r="AR18" s="23">
        <f t="shared" si="5"/>
        <v>0</v>
      </c>
      <c r="AS18" s="23">
        <f t="shared" si="5"/>
        <v>0</v>
      </c>
      <c r="AT18" s="23">
        <f t="shared" si="5"/>
        <v>0</v>
      </c>
      <c r="AU18" s="23">
        <f t="shared" si="5"/>
        <v>0</v>
      </c>
      <c r="AV18" s="23">
        <f t="shared" si="5"/>
        <v>0</v>
      </c>
      <c r="AW18" s="33">
        <f t="shared" si="6"/>
        <v>0</v>
      </c>
    </row>
    <row r="19" spans="1:49" ht="18" customHeight="1">
      <c r="A19" s="40">
        <f>+IF(AND(Vakant!AX19&lt;=21,Vakant!BC19&gt;0),Vakant!BC19,0)</f>
        <v>0</v>
      </c>
      <c r="B19" s="40">
        <f>+IF(AND(A19&gt;0,A19&lt;=21),VLOOKUP(F19,Grupper!$B$1:$C$12,2,FALSE),"")</f>
      </c>
      <c r="C19" s="42">
        <f>IF(OR(AND(A19&gt;0,F19=F18),AND(A19&gt;0,H19=H18),AND(A19&gt;0,H19=F18),AND(A19&gt;0,F19=H18)),(IF(OR(AND(A19&lt;=21,A19&gt;0),A19="semifinal 1",A19="semifinal 2",A19="3:e pris",A19="final"),E18+Tider!$B$2,C18))+Inställningar!$B$3,(IF(OR(AND(A19&lt;=21,A19&gt;0),A19="semifinal 1",A19="semifinal 2",A19="3:e pris",A19="final"),E18+Tider!$B$2,C18)))</f>
        <v>0.3965277777777779</v>
      </c>
      <c r="D19" s="42">
        <f t="shared" si="0"/>
      </c>
      <c r="E19" s="42">
        <f>IF(OR(AND(A19&gt;0,F19=F18),AND(A19&gt;0,F19=H18),AND(A19&gt;0,H19=H18),AND(A19&gt;0,H19=F18)),(IF(OR(A19&lt;=21,A19="semifinal 1",A19="semifinal 2",A19="3:e pris",A19="final"),C19+Tider!$B$1,E18))+Inställningar!$B$3,(IF(OR(AND(A19&gt;0,A19&lt;=21),A19="semifinal 1",A19="semifinal 2",A19="3:e pris",A19="final"),C19+Tider!$B$1,E18)))</f>
        <v>0.4048611111111113</v>
      </c>
      <c r="F19" s="20">
        <f>IF(OR(AND(A19&lt;=21,A19&gt;0),A19="semifinal 1",A19="semifinal 2",A19="3:e pris",A19="final"),(VLOOKUP(A19,Vakant!$A$10:$G$51,5,FALSE)),"")</f>
      </c>
      <c r="G19" s="21">
        <f t="shared" si="1"/>
      </c>
      <c r="H19" s="20">
        <f>+IF(OR(AND(A19&lt;=21,A19&gt;0),A19="semifinal 1",A19="semifinal 2",A19="3:e pris",A19="final"),(VLOOKUP(A19,Vakant!$A$10:$G$51,7,FALSE)),"")</f>
      </c>
      <c r="I19" s="22"/>
      <c r="J19" s="21">
        <f t="shared" si="2"/>
      </c>
      <c r="L19" s="43"/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4"/>
        <v>0</v>
      </c>
      <c r="Z19" s="23">
        <f t="shared" si="4"/>
        <v>0</v>
      </c>
      <c r="AA19" s="23">
        <f t="shared" si="4"/>
        <v>0</v>
      </c>
      <c r="AB19" s="23">
        <f t="shared" si="4"/>
        <v>0</v>
      </c>
      <c r="AC19" s="23">
        <f t="shared" si="4"/>
        <v>0</v>
      </c>
      <c r="AD19" s="23">
        <f t="shared" si="4"/>
        <v>0</v>
      </c>
      <c r="AE19" s="23">
        <f t="shared" si="4"/>
        <v>0</v>
      </c>
      <c r="AF19" s="23">
        <f t="shared" si="4"/>
        <v>0</v>
      </c>
      <c r="AG19" s="23">
        <f t="shared" si="4"/>
        <v>0</v>
      </c>
      <c r="AH19" s="23">
        <f t="shared" si="4"/>
        <v>0</v>
      </c>
      <c r="AI19" s="23">
        <f t="shared" si="4"/>
        <v>0</v>
      </c>
      <c r="AJ19" s="23">
        <f t="shared" si="4"/>
        <v>0</v>
      </c>
      <c r="AK19" s="23">
        <f t="shared" si="5"/>
        <v>0</v>
      </c>
      <c r="AL19" s="23">
        <f t="shared" si="5"/>
        <v>0</v>
      </c>
      <c r="AM19" s="23">
        <f t="shared" si="5"/>
        <v>0</v>
      </c>
      <c r="AN19" s="23">
        <f t="shared" si="5"/>
        <v>0</v>
      </c>
      <c r="AO19" s="23">
        <f t="shared" si="5"/>
        <v>0</v>
      </c>
      <c r="AP19" s="23">
        <f t="shared" si="5"/>
        <v>0</v>
      </c>
      <c r="AQ19" s="23">
        <f t="shared" si="5"/>
        <v>0</v>
      </c>
      <c r="AR19" s="23">
        <f t="shared" si="5"/>
        <v>0</v>
      </c>
      <c r="AS19" s="23">
        <f t="shared" si="5"/>
        <v>0</v>
      </c>
      <c r="AT19" s="23">
        <f t="shared" si="5"/>
        <v>0</v>
      </c>
      <c r="AU19" s="23">
        <f t="shared" si="5"/>
        <v>0</v>
      </c>
      <c r="AV19" s="23">
        <f t="shared" si="5"/>
        <v>0</v>
      </c>
      <c r="AW19" s="33">
        <f t="shared" si="6"/>
        <v>0</v>
      </c>
    </row>
    <row r="20" spans="1:49" ht="18" customHeight="1">
      <c r="A20" s="40">
        <f>+IF(AND(Vakant!AX20&lt;=21,Vakant!BC20&gt;0),Vakant!BC20,0)</f>
        <v>9</v>
      </c>
      <c r="B20" s="40" t="str">
        <f>+IF(AND(A20&gt;0,A20&lt;=21),VLOOKUP(F20,Grupper!$B$1:$C$12,2,FALSE),"")</f>
        <v>A</v>
      </c>
      <c r="C20" s="42">
        <f>IF(OR(AND(A20&gt;0,F20=F19),AND(A20&gt;0,H20=H19),AND(A20&gt;0,H20=F19),AND(A20&gt;0,F20=H19)),(IF(OR(AND(A20&lt;=21,A20&gt;0),A20="semifinal 1",A20="semifinal 2",A20="3:e pris",A20="final"),E19+Tider!$B$2,C19))+Inställningar!$B$3,(IF(OR(AND(A20&lt;=21,A20&gt;0),A20="semifinal 1",A20="semifinal 2",A20="3:e pris",A20="final"),E19+Tider!$B$2,C19)))</f>
        <v>0.4055555555555557</v>
      </c>
      <c r="D20" s="42" t="str">
        <f t="shared" si="0"/>
        <v>-</v>
      </c>
      <c r="E20" s="42">
        <f>IF(OR(AND(A20&gt;0,F20=F19),AND(A20&gt;0,F20=H19),AND(A20&gt;0,H20=H19),AND(A20&gt;0,H20=F19)),(IF(OR(A20&lt;=21,A20="semifinal 1",A20="semifinal 2",A20="3:e pris",A20="final"),C20+Tider!$B$1,E19))+Inställningar!$B$3,(IF(OR(AND(A20&gt;0,A20&lt;=21),A20="semifinal 1",A20="semifinal 2",A20="3:e pris",A20="final"),C20+Tider!$B$1,E19)))</f>
        <v>0.4138888888888891</v>
      </c>
      <c r="F20" s="20" t="str">
        <f>IF(OR(AND(A20&lt;=21,A20&gt;0),A20="semifinal 1",A20="semifinal 2",A20="3:e pris",A20="final"),(VLOOKUP(A20,Vakant!$A$10:$G$51,5,FALSE)),"")</f>
        <v>Marieholms IS</v>
      </c>
      <c r="G20" s="21" t="str">
        <f t="shared" si="1"/>
        <v>-</v>
      </c>
      <c r="H20" s="20" t="str">
        <f>+IF(OR(AND(A20&lt;=21,A20&gt;0),A20="semifinal 1",A20="semifinal 2",A20="3:e pris",A20="final"),(VLOOKUP(A20,Vakant!$A$10:$G$51,7,FALSE)),"")</f>
        <v>Teckomatorps SK</v>
      </c>
      <c r="I20" s="22"/>
      <c r="J20" s="21" t="str">
        <f t="shared" si="2"/>
        <v>-</v>
      </c>
      <c r="L20" s="43"/>
      <c r="M20" s="105">
        <f t="shared" si="3"/>
        <v>0</v>
      </c>
      <c r="N20" s="105">
        <f t="shared" si="3"/>
        <v>0</v>
      </c>
      <c r="O20" s="105">
        <f t="shared" si="3"/>
        <v>0</v>
      </c>
      <c r="P20" s="105">
        <f t="shared" si="3"/>
        <v>0</v>
      </c>
      <c r="Q20" s="105">
        <f t="shared" si="3"/>
        <v>0</v>
      </c>
      <c r="R20" s="105">
        <f t="shared" si="3"/>
        <v>0</v>
      </c>
      <c r="S20" s="105">
        <f t="shared" si="3"/>
        <v>0</v>
      </c>
      <c r="T20" s="105">
        <f t="shared" si="3"/>
        <v>0</v>
      </c>
      <c r="U20" s="105">
        <f t="shared" si="3"/>
        <v>0</v>
      </c>
      <c r="V20" s="105">
        <f t="shared" si="3"/>
        <v>0</v>
      </c>
      <c r="W20" s="105">
        <f t="shared" si="3"/>
        <v>0</v>
      </c>
      <c r="X20" s="105">
        <f t="shared" si="3"/>
        <v>0</v>
      </c>
      <c r="Y20" s="105">
        <f t="shared" si="4"/>
        <v>0</v>
      </c>
      <c r="Z20" s="105">
        <f t="shared" si="4"/>
        <v>0</v>
      </c>
      <c r="AA20" s="105">
        <f t="shared" si="4"/>
        <v>0</v>
      </c>
      <c r="AB20" s="105">
        <f t="shared" si="4"/>
        <v>0</v>
      </c>
      <c r="AC20" s="105">
        <f t="shared" si="4"/>
        <v>0</v>
      </c>
      <c r="AD20" s="105">
        <f t="shared" si="4"/>
        <v>0</v>
      </c>
      <c r="AE20" s="105">
        <f t="shared" si="4"/>
        <v>0</v>
      </c>
      <c r="AF20" s="105">
        <f t="shared" si="4"/>
        <v>0</v>
      </c>
      <c r="AG20" s="105">
        <f t="shared" si="4"/>
        <v>0</v>
      </c>
      <c r="AH20" s="105">
        <f t="shared" si="4"/>
        <v>0</v>
      </c>
      <c r="AI20" s="105">
        <f t="shared" si="4"/>
        <v>0</v>
      </c>
      <c r="AJ20" s="105">
        <f t="shared" si="4"/>
        <v>0</v>
      </c>
      <c r="AK20" s="105">
        <f t="shared" si="5"/>
        <v>0</v>
      </c>
      <c r="AL20" s="105">
        <f t="shared" si="5"/>
        <v>0</v>
      </c>
      <c r="AM20" s="105">
        <f t="shared" si="5"/>
        <v>0</v>
      </c>
      <c r="AN20" s="105">
        <f t="shared" si="5"/>
        <v>0</v>
      </c>
      <c r="AO20" s="105">
        <f t="shared" si="5"/>
        <v>0</v>
      </c>
      <c r="AP20" s="105">
        <f t="shared" si="5"/>
        <v>0</v>
      </c>
      <c r="AQ20" s="105">
        <f t="shared" si="5"/>
        <v>0</v>
      </c>
      <c r="AR20" s="105">
        <f t="shared" si="5"/>
        <v>0</v>
      </c>
      <c r="AS20" s="105">
        <f t="shared" si="5"/>
        <v>0</v>
      </c>
      <c r="AT20" s="105">
        <f t="shared" si="5"/>
        <v>0</v>
      </c>
      <c r="AU20" s="105">
        <f t="shared" si="5"/>
        <v>0</v>
      </c>
      <c r="AV20" s="105">
        <f t="shared" si="5"/>
        <v>0</v>
      </c>
      <c r="AW20" s="33">
        <f t="shared" si="6"/>
        <v>0</v>
      </c>
    </row>
    <row r="21" spans="1:49" ht="18" customHeight="1">
      <c r="A21" s="40">
        <f>+IF(AND(Vakant!AX21&lt;=21,Vakant!BC21&gt;0),Vakant!BC21,0)</f>
        <v>10</v>
      </c>
      <c r="B21" s="40" t="str">
        <f>+IF(AND(A21&gt;0,A21&lt;=21),VLOOKUP(F21,Grupper!$B$1:$C$12,2,FALSE),"")</f>
        <v>A</v>
      </c>
      <c r="C21" s="42">
        <f>IF(OR(AND(A21&gt;0,F21=F20),AND(A21&gt;0,H21=H20),AND(A21&gt;0,H21=F20),AND(A21&gt;0,F21=H20)),(IF(OR(AND(A21&lt;=21,A21&gt;0),A21="semifinal 1",A21="semifinal 2",A21="3:e pris",A21="final"),E20+Tider!$B$2,C20))+Inställningar!$B$3,(IF(OR(AND(A21&lt;=21,A21&gt;0),A21="semifinal 1",A21="semifinal 2",A21="3:e pris",A21="final"),E20+Tider!$B$2,C20)))</f>
        <v>0.4145833333333335</v>
      </c>
      <c r="D21" s="42" t="str">
        <f t="shared" si="0"/>
        <v>-</v>
      </c>
      <c r="E21" s="42">
        <f>IF(OR(AND(A21&gt;0,F21=F20),AND(A21&gt;0,F21=H20),AND(A21&gt;0,H21=H20),AND(A21&gt;0,H21=F20)),(IF(OR(A21&lt;=21,A21="semifinal 1",A21="semifinal 2",A21="3:e pris",A21="final"),C21+Tider!$B$1,E20))+Inställningar!$B$3,(IF(OR(AND(A21&gt;0,A21&lt;=21),A21="semifinal 1",A21="semifinal 2",A21="3:e pris",A21="final"),C21+Tider!$B$1,E20)))</f>
        <v>0.4229166666666669</v>
      </c>
      <c r="F21" s="20" t="str">
        <f>IF(OR(AND(A21&lt;=21,A21&gt;0),A21="semifinal 1",A21="semifinal 2",A21="3:e pris",A21="final"),(VLOOKUP(A21,Vakant!$A$10:$G$51,5,FALSE)),"")</f>
        <v>Svalövs BK 2</v>
      </c>
      <c r="G21" s="21" t="str">
        <f t="shared" si="1"/>
        <v>-</v>
      </c>
      <c r="H21" s="20" t="str">
        <f>+IF(OR(AND(A21&lt;=21,A21&gt;0),A21="semifinal 1",A21="semifinal 2",A21="3:e pris",A21="final"),(VLOOKUP(A21,Vakant!$A$10:$G$51,7,FALSE)),"")</f>
        <v>Ekeby GIF</v>
      </c>
      <c r="I21" s="22"/>
      <c r="J21" s="21" t="str">
        <f t="shared" si="2"/>
        <v>-</v>
      </c>
      <c r="L21" s="43"/>
      <c r="M21" s="23">
        <f t="shared" si="3"/>
        <v>0</v>
      </c>
      <c r="N21" s="23">
        <f t="shared" si="3"/>
        <v>0</v>
      </c>
      <c r="O21" s="23">
        <f t="shared" si="3"/>
        <v>0</v>
      </c>
      <c r="P21" s="23">
        <f t="shared" si="3"/>
        <v>0</v>
      </c>
      <c r="Q21" s="23">
        <f t="shared" si="3"/>
        <v>0</v>
      </c>
      <c r="R21" s="23">
        <f t="shared" si="3"/>
        <v>0</v>
      </c>
      <c r="S21" s="23">
        <f t="shared" si="3"/>
        <v>0</v>
      </c>
      <c r="T21" s="23">
        <f t="shared" si="3"/>
        <v>0</v>
      </c>
      <c r="U21" s="23">
        <f t="shared" si="3"/>
        <v>0</v>
      </c>
      <c r="V21" s="23">
        <f t="shared" si="3"/>
        <v>0</v>
      </c>
      <c r="W21" s="23">
        <f t="shared" si="3"/>
        <v>0</v>
      </c>
      <c r="X21" s="23">
        <f t="shared" si="3"/>
        <v>0</v>
      </c>
      <c r="Y21" s="23">
        <f t="shared" si="4"/>
        <v>0</v>
      </c>
      <c r="Z21" s="23">
        <f t="shared" si="4"/>
        <v>0</v>
      </c>
      <c r="AA21" s="23">
        <f t="shared" si="4"/>
        <v>0</v>
      </c>
      <c r="AB21" s="23">
        <f t="shared" si="4"/>
        <v>0</v>
      </c>
      <c r="AC21" s="23">
        <f t="shared" si="4"/>
        <v>0</v>
      </c>
      <c r="AD21" s="23">
        <f t="shared" si="4"/>
        <v>0</v>
      </c>
      <c r="AE21" s="23">
        <f t="shared" si="4"/>
        <v>0</v>
      </c>
      <c r="AF21" s="23">
        <f t="shared" si="4"/>
        <v>0</v>
      </c>
      <c r="AG21" s="23">
        <f t="shared" si="4"/>
        <v>0</v>
      </c>
      <c r="AH21" s="23">
        <f t="shared" si="4"/>
        <v>0</v>
      </c>
      <c r="AI21" s="23">
        <f t="shared" si="4"/>
        <v>0</v>
      </c>
      <c r="AJ21" s="23">
        <f t="shared" si="4"/>
        <v>0</v>
      </c>
      <c r="AK21" s="23">
        <f t="shared" si="5"/>
        <v>0</v>
      </c>
      <c r="AL21" s="23">
        <f t="shared" si="5"/>
        <v>0</v>
      </c>
      <c r="AM21" s="23">
        <f t="shared" si="5"/>
        <v>0</v>
      </c>
      <c r="AN21" s="23">
        <f t="shared" si="5"/>
        <v>0</v>
      </c>
      <c r="AO21" s="23">
        <f t="shared" si="5"/>
        <v>0</v>
      </c>
      <c r="AP21" s="23">
        <f t="shared" si="5"/>
        <v>0</v>
      </c>
      <c r="AQ21" s="23">
        <f t="shared" si="5"/>
        <v>0</v>
      </c>
      <c r="AR21" s="23">
        <f t="shared" si="5"/>
        <v>0</v>
      </c>
      <c r="AS21" s="23">
        <f t="shared" si="5"/>
        <v>0</v>
      </c>
      <c r="AT21" s="23">
        <f t="shared" si="5"/>
        <v>0</v>
      </c>
      <c r="AU21" s="23">
        <f t="shared" si="5"/>
        <v>0</v>
      </c>
      <c r="AV21" s="23">
        <f t="shared" si="5"/>
        <v>0</v>
      </c>
      <c r="AW21" s="33">
        <f t="shared" si="6"/>
        <v>0</v>
      </c>
    </row>
    <row r="22" spans="1:49" ht="18" customHeight="1">
      <c r="A22" s="40">
        <f>+IF(AND(Vakant!AX22&lt;=21,Vakant!BC22&gt;0),Vakant!BC22,0)</f>
        <v>11</v>
      </c>
      <c r="B22" s="40" t="str">
        <f>+IF(AND(A22&gt;0,A22&lt;=21),VLOOKUP(F22,Grupper!$B$1:$C$12,2,FALSE),"")</f>
        <v>B</v>
      </c>
      <c r="C22" s="42">
        <f>IF(OR(AND(A22&gt;0,F22=F21),AND(A22&gt;0,H22=H21),AND(A22&gt;0,H22=F21),AND(A22&gt;0,F22=H21)),(IF(OR(AND(A22&lt;=21,A22&gt;0),A22="semifinal 1",A22="semifinal 2",A22="3:e pris",A22="final"),E21+Tider!$B$2,C21))+Inställningar!$B$3,(IF(OR(AND(A22&lt;=21,A22&gt;0),A22="semifinal 1",A22="semifinal 2",A22="3:e pris",A22="final"),E21+Tider!$B$2,C21)))</f>
        <v>0.4236111111111113</v>
      </c>
      <c r="D22" s="42" t="str">
        <f t="shared" si="0"/>
        <v>-</v>
      </c>
      <c r="E22" s="42">
        <f>IF(OR(AND(A22&gt;0,F22=F21),AND(A22&gt;0,F22=H21),AND(A22&gt;0,H22=H21),AND(A22&gt;0,H22=F21)),(IF(OR(A22&lt;=21,A22="semifinal 1",A22="semifinal 2",A22="3:e pris",A22="final"),C22+Tider!$B$1,E21))+Inställningar!$B$3,(IF(OR(AND(A22&gt;0,A22&lt;=21),A22="semifinal 1",A22="semifinal 2",A22="3:e pris",A22="final"),C22+Tider!$B$1,E21)))</f>
        <v>0.4319444444444447</v>
      </c>
      <c r="F22" s="20" t="str">
        <f>IF(OR(AND(A22&lt;=21,A22&gt;0),A22="semifinal 1",A22="semifinal 2",A22="3:e pris",A22="final"),(VLOOKUP(A22,Vakant!$A$10:$G$51,5,FALSE)),"")</f>
        <v>IK Wormo</v>
      </c>
      <c r="G22" s="21" t="str">
        <f t="shared" si="1"/>
        <v>-</v>
      </c>
      <c r="H22" s="20" t="str">
        <f>+IF(OR(AND(A22&lt;=21,A22&gt;0),A22="semifinal 1",A22="semifinal 2",A22="3:e pris",A22="final"),(VLOOKUP(A22,Vakant!$A$10:$G$51,7,FALSE)),"")</f>
        <v>Eskilsminne IF</v>
      </c>
      <c r="I22" s="22"/>
      <c r="J22" s="21" t="str">
        <f t="shared" si="2"/>
        <v>-</v>
      </c>
      <c r="L22" s="43"/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  <c r="T22" s="23">
        <f t="shared" si="3"/>
        <v>0</v>
      </c>
      <c r="U22" s="23">
        <f t="shared" si="3"/>
        <v>0</v>
      </c>
      <c r="V22" s="23">
        <f t="shared" si="3"/>
        <v>0</v>
      </c>
      <c r="W22" s="23">
        <f t="shared" si="3"/>
        <v>0</v>
      </c>
      <c r="X22" s="23">
        <f t="shared" si="3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>
        <f t="shared" si="4"/>
        <v>0</v>
      </c>
      <c r="AD22" s="23">
        <f t="shared" si="4"/>
        <v>0</v>
      </c>
      <c r="AE22" s="23">
        <f t="shared" si="4"/>
        <v>0</v>
      </c>
      <c r="AF22" s="23">
        <f t="shared" si="4"/>
        <v>0</v>
      </c>
      <c r="AG22" s="23">
        <f t="shared" si="4"/>
        <v>0</v>
      </c>
      <c r="AH22" s="23">
        <f t="shared" si="4"/>
        <v>0</v>
      </c>
      <c r="AI22" s="23">
        <f t="shared" si="4"/>
        <v>0</v>
      </c>
      <c r="AJ22" s="23">
        <f t="shared" si="4"/>
        <v>0</v>
      </c>
      <c r="AK22" s="23">
        <f t="shared" si="5"/>
        <v>0</v>
      </c>
      <c r="AL22" s="23">
        <f t="shared" si="5"/>
        <v>0</v>
      </c>
      <c r="AM22" s="23">
        <f t="shared" si="5"/>
        <v>0</v>
      </c>
      <c r="AN22" s="23">
        <f t="shared" si="5"/>
        <v>0</v>
      </c>
      <c r="AO22" s="23">
        <f t="shared" si="5"/>
        <v>0</v>
      </c>
      <c r="AP22" s="23">
        <f t="shared" si="5"/>
        <v>0</v>
      </c>
      <c r="AQ22" s="23">
        <f t="shared" si="5"/>
        <v>0</v>
      </c>
      <c r="AR22" s="23">
        <f t="shared" si="5"/>
        <v>0</v>
      </c>
      <c r="AS22" s="23">
        <f t="shared" si="5"/>
        <v>0</v>
      </c>
      <c r="AT22" s="23">
        <f t="shared" si="5"/>
        <v>0</v>
      </c>
      <c r="AU22" s="23">
        <f t="shared" si="5"/>
        <v>0</v>
      </c>
      <c r="AV22" s="23">
        <f t="shared" si="5"/>
        <v>0</v>
      </c>
      <c r="AW22" s="33">
        <f t="shared" si="6"/>
        <v>0</v>
      </c>
    </row>
    <row r="23" spans="1:49" ht="18" customHeight="1">
      <c r="A23" s="40">
        <f>+IF(AND(Vakant!AX23&lt;=21,Vakant!BC23&gt;0),Vakant!BC23,0)</f>
        <v>12</v>
      </c>
      <c r="B23" s="40" t="str">
        <f>+IF(AND(A23&gt;0,A23&lt;=21),VLOOKUP(F23,Grupper!$B$1:$C$12,2,FALSE),"")</f>
        <v>B</v>
      </c>
      <c r="C23" s="42">
        <f>IF(OR(AND(A23&gt;0,F23=F22),AND(A23&gt;0,H23=H22),AND(A23&gt;0,H23=F22),AND(A23&gt;0,F23=H22)),(IF(OR(AND(A23&lt;=21,A23&gt;0),A23="semifinal 1",A23="semifinal 2",A23="3:e pris",A23="final"),E22+Tider!$B$2,C22))+Inställningar!$B$3,(IF(OR(AND(A23&lt;=21,A23&gt;0),A23="semifinal 1",A23="semifinal 2",A23="3:e pris",A23="final"),E22+Tider!$B$2,C22)))</f>
        <v>0.43263888888888913</v>
      </c>
      <c r="D23" s="42" t="str">
        <f t="shared" si="0"/>
        <v>-</v>
      </c>
      <c r="E23" s="42">
        <f>IF(OR(AND(A23&gt;0,F23=F22),AND(A23&gt;0,F23=H22),AND(A23&gt;0,H23=H22),AND(A23&gt;0,H23=F22)),(IF(OR(A23&lt;=21,A23="semifinal 1",A23="semifinal 2",A23="3:e pris",A23="final"),C23+Tider!$B$1,E22))+Inställningar!$B$3,(IF(OR(AND(A23&gt;0,A23&lt;=21),A23="semifinal 1",A23="semifinal 2",A23="3:e pris",A23="final"),C23+Tider!$B$1,E22)))</f>
        <v>0.4409722222222225</v>
      </c>
      <c r="F23" s="20" t="str">
        <f>IF(OR(AND(A23&lt;=21,A23&gt;0),A23="semifinal 1",A23="semifinal 2",A23="3:e pris",A23="final"),(VLOOKUP(A23,Vakant!$A$10:$G$51,5,FALSE)),"")</f>
        <v>Svalövs BK 1</v>
      </c>
      <c r="G23" s="21" t="str">
        <f t="shared" si="1"/>
        <v>-</v>
      </c>
      <c r="H23" s="20" t="str">
        <f>+IF(OR(AND(A23&lt;=21,A23&gt;0),A23="semifinal 1",A23="semifinal 2",A23="3:e pris",A23="final"),(VLOOKUP(A23,Vakant!$A$10:$G$51,7,FALSE)),"")</f>
        <v>Gantofta IF</v>
      </c>
      <c r="I23" s="22"/>
      <c r="J23" s="21" t="str">
        <f t="shared" si="2"/>
        <v>-</v>
      </c>
      <c r="L23" s="43"/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  <c r="T23" s="23">
        <f t="shared" si="3"/>
        <v>0</v>
      </c>
      <c r="U23" s="23">
        <f t="shared" si="3"/>
        <v>0</v>
      </c>
      <c r="V23" s="23">
        <f t="shared" si="3"/>
        <v>0</v>
      </c>
      <c r="W23" s="23">
        <f t="shared" si="3"/>
        <v>0</v>
      </c>
      <c r="X23" s="23">
        <f t="shared" si="3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>
        <f t="shared" si="4"/>
        <v>0</v>
      </c>
      <c r="AF23" s="23">
        <f t="shared" si="4"/>
        <v>0</v>
      </c>
      <c r="AG23" s="23">
        <f t="shared" si="4"/>
        <v>0</v>
      </c>
      <c r="AH23" s="23">
        <f t="shared" si="4"/>
        <v>0</v>
      </c>
      <c r="AI23" s="23">
        <f t="shared" si="4"/>
        <v>0</v>
      </c>
      <c r="AJ23" s="23">
        <f t="shared" si="4"/>
        <v>0</v>
      </c>
      <c r="AK23" s="23">
        <f t="shared" si="5"/>
        <v>0</v>
      </c>
      <c r="AL23" s="23">
        <f t="shared" si="5"/>
        <v>0</v>
      </c>
      <c r="AM23" s="23">
        <f t="shared" si="5"/>
        <v>0</v>
      </c>
      <c r="AN23" s="23">
        <f t="shared" si="5"/>
        <v>0</v>
      </c>
      <c r="AO23" s="23">
        <f t="shared" si="5"/>
        <v>0</v>
      </c>
      <c r="AP23" s="23">
        <f t="shared" si="5"/>
        <v>0</v>
      </c>
      <c r="AQ23" s="23">
        <f t="shared" si="5"/>
        <v>0</v>
      </c>
      <c r="AR23" s="23">
        <f t="shared" si="5"/>
        <v>0</v>
      </c>
      <c r="AS23" s="23">
        <f t="shared" si="5"/>
        <v>0</v>
      </c>
      <c r="AT23" s="23">
        <f t="shared" si="5"/>
        <v>0</v>
      </c>
      <c r="AU23" s="23">
        <f t="shared" si="5"/>
        <v>0</v>
      </c>
      <c r="AV23" s="23">
        <f t="shared" si="5"/>
        <v>0</v>
      </c>
      <c r="AW23" s="33">
        <f t="shared" si="6"/>
        <v>0</v>
      </c>
    </row>
    <row r="24" spans="1:49" ht="18" customHeight="1">
      <c r="A24" s="40">
        <f>+IF(AND(Vakant!AX24&lt;=21,Vakant!BC24&gt;0),Vakant!BC24,0)</f>
        <v>0</v>
      </c>
      <c r="B24" s="40">
        <f>+IF(AND(A24&gt;0,A24&lt;=21),VLOOKUP(F24,Grupper!$B$1:$C$12,2,FALSE),"")</f>
      </c>
      <c r="C24" s="42">
        <f>IF(OR(AND(A24&gt;0,F24=F23),AND(A24&gt;0,H24=H23),AND(A24&gt;0,H24=F23),AND(A24&gt;0,F24=H23)),(IF(OR(AND(A24&lt;=21,A24&gt;0),A24="semifinal 1",A24="semifinal 2",A24="3:e pris",A24="final"),E23+Tider!$B$2,C23))+Inställningar!$B$3,(IF(OR(AND(A24&lt;=21,A24&gt;0),A24="semifinal 1",A24="semifinal 2",A24="3:e pris",A24="final"),E23+Tider!$B$2,C23)))</f>
        <v>0.43263888888888913</v>
      </c>
      <c r="D24" s="42">
        <f t="shared" si="0"/>
      </c>
      <c r="E24" s="42">
        <f>IF(OR(AND(A24&gt;0,F24=F23),AND(A24&gt;0,F24=H23),AND(A24&gt;0,H24=H23),AND(A24&gt;0,H24=F23)),(IF(OR(A24&lt;=21,A24="semifinal 1",A24="semifinal 2",A24="3:e pris",A24="final"),C24+Tider!$B$1,E23))+Inställningar!$B$3,(IF(OR(AND(A24&gt;0,A24&lt;=21),A24="semifinal 1",A24="semifinal 2",A24="3:e pris",A24="final"),C24+Tider!$B$1,E23)))</f>
        <v>0.4409722222222225</v>
      </c>
      <c r="F24" s="20">
        <f>IF(OR(AND(A24&lt;=21,A24&gt;0),A24="semifinal 1",A24="semifinal 2",A24="3:e pris",A24="final"),(VLOOKUP(A24,Vakant!$A$10:$G$51,5,FALSE)),"")</f>
      </c>
      <c r="G24" s="21">
        <f t="shared" si="1"/>
      </c>
      <c r="H24" s="20">
        <f>+IF(OR(AND(A24&lt;=21,A24&gt;0),A24="semifinal 1",A24="semifinal 2",A24="3:e pris",A24="final"),(VLOOKUP(A24,Vakant!$A$10:$G$51,7,FALSE)),"")</f>
      </c>
      <c r="I24" s="22"/>
      <c r="J24" s="21">
        <f t="shared" si="2"/>
      </c>
      <c r="L24" s="43"/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  <c r="T24" s="23">
        <f t="shared" si="3"/>
        <v>0</v>
      </c>
      <c r="U24" s="23">
        <f t="shared" si="3"/>
        <v>0</v>
      </c>
      <c r="V24" s="23">
        <f t="shared" si="3"/>
        <v>0</v>
      </c>
      <c r="W24" s="23">
        <f t="shared" si="3"/>
        <v>0</v>
      </c>
      <c r="X24" s="23">
        <f t="shared" si="3"/>
        <v>0</v>
      </c>
      <c r="Y24" s="23">
        <f t="shared" si="4"/>
        <v>0</v>
      </c>
      <c r="Z24" s="23">
        <f t="shared" si="4"/>
        <v>0</v>
      </c>
      <c r="AA24" s="23">
        <f t="shared" si="4"/>
        <v>0</v>
      </c>
      <c r="AB24" s="23">
        <f t="shared" si="4"/>
        <v>0</v>
      </c>
      <c r="AC24" s="23">
        <f t="shared" si="4"/>
        <v>0</v>
      </c>
      <c r="AD24" s="23">
        <f t="shared" si="4"/>
        <v>0</v>
      </c>
      <c r="AE24" s="23">
        <f t="shared" si="4"/>
        <v>0</v>
      </c>
      <c r="AF24" s="23">
        <f t="shared" si="4"/>
        <v>0</v>
      </c>
      <c r="AG24" s="23">
        <f t="shared" si="4"/>
        <v>0</v>
      </c>
      <c r="AH24" s="23">
        <f t="shared" si="4"/>
        <v>0</v>
      </c>
      <c r="AI24" s="23">
        <f t="shared" si="4"/>
        <v>0</v>
      </c>
      <c r="AJ24" s="23">
        <f t="shared" si="4"/>
        <v>0</v>
      </c>
      <c r="AK24" s="23">
        <f t="shared" si="5"/>
        <v>0</v>
      </c>
      <c r="AL24" s="23">
        <f t="shared" si="5"/>
        <v>0</v>
      </c>
      <c r="AM24" s="23">
        <f t="shared" si="5"/>
        <v>0</v>
      </c>
      <c r="AN24" s="23">
        <f t="shared" si="5"/>
        <v>0</v>
      </c>
      <c r="AO24" s="23">
        <f t="shared" si="5"/>
        <v>0</v>
      </c>
      <c r="AP24" s="23">
        <f t="shared" si="5"/>
        <v>0</v>
      </c>
      <c r="AQ24" s="23">
        <f t="shared" si="5"/>
        <v>0</v>
      </c>
      <c r="AR24" s="23">
        <f t="shared" si="5"/>
        <v>0</v>
      </c>
      <c r="AS24" s="23">
        <f t="shared" si="5"/>
        <v>0</v>
      </c>
      <c r="AT24" s="23">
        <f t="shared" si="5"/>
        <v>0</v>
      </c>
      <c r="AU24" s="23">
        <f t="shared" si="5"/>
        <v>0</v>
      </c>
      <c r="AV24" s="23">
        <f t="shared" si="5"/>
        <v>0</v>
      </c>
      <c r="AW24" s="33">
        <f t="shared" si="6"/>
        <v>0</v>
      </c>
    </row>
    <row r="25" spans="1:49" ht="18" customHeight="1">
      <c r="A25" s="40">
        <f>+IF(AND(Vakant!AX25&lt;=21,Vakant!BC25&gt;0),Vakant!BC25,0)</f>
        <v>13</v>
      </c>
      <c r="B25" s="40" t="str">
        <f>+IF(AND(A25&gt;0,A25&lt;=21),VLOOKUP(F25,Grupper!$B$1:$C$12,2,FALSE),"")</f>
        <v>A</v>
      </c>
      <c r="C25" s="42">
        <f>IF(OR(AND(A25&gt;0,F25=F24),AND(A25&gt;0,H25=H24),AND(A25&gt;0,H25=F24),AND(A25&gt;0,F25=H24)),(IF(OR(AND(A25&lt;=21,A25&gt;0),A25="semifinal 1",A25="semifinal 2",A25="3:e pris",A25="final"),E24+Tider!$B$2,C24))+Inställningar!$B$3,(IF(OR(AND(A25&lt;=21,A25&gt;0),A25="semifinal 1",A25="semifinal 2",A25="3:e pris",A25="final"),E24+Tider!$B$2,C24)))</f>
        <v>0.44166666666666693</v>
      </c>
      <c r="D25" s="42" t="str">
        <f t="shared" si="0"/>
        <v>-</v>
      </c>
      <c r="E25" s="42">
        <f>IF(OR(AND(A25&gt;0,F25=F24),AND(A25&gt;0,F25=H24),AND(A25&gt;0,H25=H24),AND(A25&gt;0,H25=F24)),(IF(OR(A25&lt;=21,A25="semifinal 1",A25="semifinal 2",A25="3:e pris",A25="final"),C25+Tider!$B$1,E24))+Inställningar!$B$3,(IF(OR(AND(A25&gt;0,A25&lt;=21),A25="semifinal 1",A25="semifinal 2",A25="3:e pris",A25="final"),C25+Tider!$B$1,E24)))</f>
        <v>0.4500000000000003</v>
      </c>
      <c r="F25" s="20" t="str">
        <f>IF(OR(AND(A25&lt;=21,A25&gt;0),A25="semifinal 1",A25="semifinal 2",A25="3:e pris",A25="final"),(VLOOKUP(A25,Vakant!$A$10:$G$51,5,FALSE)),"")</f>
        <v>Teckomatorps SK</v>
      </c>
      <c r="G25" s="21" t="str">
        <f t="shared" si="1"/>
        <v>-</v>
      </c>
      <c r="H25" s="20" t="str">
        <f>+IF(OR(AND(A25&lt;=21,A25&gt;0),A25="semifinal 1",A25="semifinal 2",A25="3:e pris",A25="final"),(VLOOKUP(A25,Vakant!$A$10:$G$51,7,FALSE)),"")</f>
        <v>Kågeröds BoIF</v>
      </c>
      <c r="I25" s="22"/>
      <c r="J25" s="21" t="str">
        <f t="shared" si="2"/>
        <v>-</v>
      </c>
      <c r="L25" s="43"/>
      <c r="M25" s="105">
        <f t="shared" si="3"/>
        <v>0</v>
      </c>
      <c r="N25" s="105">
        <f t="shared" si="3"/>
        <v>0</v>
      </c>
      <c r="O25" s="105">
        <f t="shared" si="3"/>
        <v>0</v>
      </c>
      <c r="P25" s="105">
        <f t="shared" si="3"/>
        <v>0</v>
      </c>
      <c r="Q25" s="105">
        <f t="shared" si="3"/>
        <v>0</v>
      </c>
      <c r="R25" s="105">
        <f t="shared" si="3"/>
        <v>0</v>
      </c>
      <c r="S25" s="105">
        <f t="shared" si="3"/>
        <v>0</v>
      </c>
      <c r="T25" s="105">
        <f t="shared" si="3"/>
        <v>0</v>
      </c>
      <c r="U25" s="105">
        <f t="shared" si="3"/>
        <v>0</v>
      </c>
      <c r="V25" s="105">
        <f t="shared" si="3"/>
        <v>0</v>
      </c>
      <c r="W25" s="105">
        <f t="shared" si="3"/>
        <v>0</v>
      </c>
      <c r="X25" s="105">
        <f t="shared" si="3"/>
        <v>0</v>
      </c>
      <c r="Y25" s="105">
        <f t="shared" si="4"/>
        <v>0</v>
      </c>
      <c r="Z25" s="105">
        <f t="shared" si="4"/>
        <v>0</v>
      </c>
      <c r="AA25" s="105">
        <f t="shared" si="4"/>
        <v>0</v>
      </c>
      <c r="AB25" s="105">
        <f t="shared" si="4"/>
        <v>0</v>
      </c>
      <c r="AC25" s="105">
        <f t="shared" si="4"/>
        <v>0</v>
      </c>
      <c r="AD25" s="105">
        <f t="shared" si="4"/>
        <v>0</v>
      </c>
      <c r="AE25" s="105">
        <f t="shared" si="4"/>
        <v>0</v>
      </c>
      <c r="AF25" s="105">
        <f t="shared" si="4"/>
        <v>0</v>
      </c>
      <c r="AG25" s="105">
        <f t="shared" si="4"/>
        <v>0</v>
      </c>
      <c r="AH25" s="105">
        <f t="shared" si="4"/>
        <v>0</v>
      </c>
      <c r="AI25" s="105">
        <f t="shared" si="4"/>
        <v>0</v>
      </c>
      <c r="AJ25" s="105">
        <f t="shared" si="4"/>
        <v>0</v>
      </c>
      <c r="AK25" s="105">
        <f t="shared" si="5"/>
        <v>0</v>
      </c>
      <c r="AL25" s="105">
        <f t="shared" si="5"/>
        <v>0</v>
      </c>
      <c r="AM25" s="105">
        <f t="shared" si="5"/>
        <v>0</v>
      </c>
      <c r="AN25" s="105">
        <f t="shared" si="5"/>
        <v>0</v>
      </c>
      <c r="AO25" s="105">
        <f t="shared" si="5"/>
        <v>0</v>
      </c>
      <c r="AP25" s="105">
        <f t="shared" si="5"/>
        <v>0</v>
      </c>
      <c r="AQ25" s="105">
        <f t="shared" si="5"/>
        <v>0</v>
      </c>
      <c r="AR25" s="105">
        <f t="shared" si="5"/>
        <v>0</v>
      </c>
      <c r="AS25" s="105">
        <f t="shared" si="5"/>
        <v>0</v>
      </c>
      <c r="AT25" s="105">
        <f t="shared" si="5"/>
        <v>0</v>
      </c>
      <c r="AU25" s="105">
        <f t="shared" si="5"/>
        <v>0</v>
      </c>
      <c r="AV25" s="105">
        <f t="shared" si="5"/>
        <v>0</v>
      </c>
      <c r="AW25" s="33">
        <f t="shared" si="6"/>
        <v>0</v>
      </c>
    </row>
    <row r="26" spans="1:49" ht="18" customHeight="1">
      <c r="A26" s="40">
        <f>+IF(AND(Vakant!AX26&lt;=21,Vakant!BC26&gt;0),Vakant!BC26,0)</f>
        <v>14</v>
      </c>
      <c r="B26" s="40" t="str">
        <f>+IF(AND(A26&gt;0,A26&lt;=21),VLOOKUP(F26,Grupper!$B$1:$C$12,2,FALSE),"")</f>
        <v>A</v>
      </c>
      <c r="C26" s="42">
        <f>IF(OR(AND(A26&gt;0,F26=F25),AND(A26&gt;0,H26=H25),AND(A26&gt;0,H26=F25),AND(A26&gt;0,F26=H25)),(IF(OR(AND(A26&lt;=21,A26&gt;0),A26="semifinal 1",A26="semifinal 2",A26="3:e pris",A26="final"),E25+Tider!$B$2,C25))+Inställningar!$B$3,(IF(OR(AND(A26&lt;=21,A26&gt;0),A26="semifinal 1",A26="semifinal 2",A26="3:e pris",A26="final"),E25+Tider!$B$2,C25)))</f>
        <v>0.45069444444444473</v>
      </c>
      <c r="D26" s="42" t="str">
        <f t="shared" si="0"/>
        <v>-</v>
      </c>
      <c r="E26" s="42">
        <f>IF(OR(AND(A26&gt;0,F26=F25),AND(A26&gt;0,F26=H25),AND(A26&gt;0,H26=H25),AND(A26&gt;0,H26=F25)),(IF(OR(A26&lt;=21,A26="semifinal 1",A26="semifinal 2",A26="3:e pris",A26="final"),C26+Tider!$B$1,E25))+Inställningar!$B$3,(IF(OR(AND(A26&gt;0,A26&lt;=21),A26="semifinal 1",A26="semifinal 2",A26="3:e pris",A26="final"),C26+Tider!$B$1,E25)))</f>
        <v>0.4590277777777781</v>
      </c>
      <c r="F26" s="20" t="str">
        <f>IF(OR(AND(A26&lt;=21,A26&gt;0),A26="semifinal 1",A26="semifinal 2",A26="3:e pris",A26="final"),(VLOOKUP(A26,Vakant!$A$10:$G$51,5,FALSE)),"")</f>
        <v>Marieholms IS</v>
      </c>
      <c r="G26" s="21" t="str">
        <f t="shared" si="1"/>
        <v>-</v>
      </c>
      <c r="H26" s="20" t="str">
        <f>+IF(OR(AND(A26&lt;=21,A26&gt;0),A26="semifinal 1",A26="semifinal 2",A26="3:e pris",A26="final"),(VLOOKUP(A26,Vakant!$A$10:$G$51,7,FALSE)),"")</f>
        <v>Svalövs BK 2</v>
      </c>
      <c r="I26" s="22"/>
      <c r="J26" s="21" t="str">
        <f t="shared" si="2"/>
        <v>-</v>
      </c>
      <c r="L26" s="43"/>
      <c r="M26" s="23">
        <f t="shared" si="3"/>
        <v>0</v>
      </c>
      <c r="N26" s="23">
        <f t="shared" si="3"/>
        <v>0</v>
      </c>
      <c r="O26" s="23">
        <f t="shared" si="3"/>
        <v>0</v>
      </c>
      <c r="P26" s="23">
        <f t="shared" si="3"/>
        <v>0</v>
      </c>
      <c r="Q26" s="23">
        <f t="shared" si="3"/>
        <v>0</v>
      </c>
      <c r="R26" s="23">
        <f t="shared" si="3"/>
        <v>0</v>
      </c>
      <c r="S26" s="23">
        <f t="shared" si="3"/>
        <v>0</v>
      </c>
      <c r="T26" s="23">
        <f t="shared" si="3"/>
        <v>0</v>
      </c>
      <c r="U26" s="23">
        <f t="shared" si="3"/>
        <v>0</v>
      </c>
      <c r="V26" s="23">
        <f t="shared" si="3"/>
        <v>0</v>
      </c>
      <c r="W26" s="23">
        <f t="shared" si="3"/>
        <v>0</v>
      </c>
      <c r="X26" s="23">
        <f t="shared" si="3"/>
        <v>0</v>
      </c>
      <c r="Y26" s="23">
        <f t="shared" si="4"/>
        <v>0</v>
      </c>
      <c r="Z26" s="23">
        <f t="shared" si="4"/>
        <v>0</v>
      </c>
      <c r="AA26" s="23">
        <f t="shared" si="4"/>
        <v>0</v>
      </c>
      <c r="AB26" s="23">
        <f t="shared" si="4"/>
        <v>0</v>
      </c>
      <c r="AC26" s="23">
        <f t="shared" si="4"/>
        <v>0</v>
      </c>
      <c r="AD26" s="23">
        <f t="shared" si="4"/>
        <v>0</v>
      </c>
      <c r="AE26" s="23">
        <f t="shared" si="4"/>
        <v>0</v>
      </c>
      <c r="AF26" s="23">
        <f t="shared" si="4"/>
        <v>0</v>
      </c>
      <c r="AG26" s="23">
        <f t="shared" si="4"/>
        <v>0</v>
      </c>
      <c r="AH26" s="23">
        <f t="shared" si="4"/>
        <v>0</v>
      </c>
      <c r="AI26" s="23">
        <f t="shared" si="4"/>
        <v>0</v>
      </c>
      <c r="AJ26" s="23">
        <f t="shared" si="4"/>
        <v>0</v>
      </c>
      <c r="AK26" s="23">
        <f t="shared" si="5"/>
        <v>0</v>
      </c>
      <c r="AL26" s="23">
        <f t="shared" si="5"/>
        <v>0</v>
      </c>
      <c r="AM26" s="23">
        <f t="shared" si="5"/>
        <v>0</v>
      </c>
      <c r="AN26" s="23">
        <f t="shared" si="5"/>
        <v>0</v>
      </c>
      <c r="AO26" s="23">
        <f t="shared" si="5"/>
        <v>0</v>
      </c>
      <c r="AP26" s="23">
        <f t="shared" si="5"/>
        <v>0</v>
      </c>
      <c r="AQ26" s="23">
        <f t="shared" si="5"/>
        <v>0</v>
      </c>
      <c r="AR26" s="23">
        <f t="shared" si="5"/>
        <v>0</v>
      </c>
      <c r="AS26" s="23">
        <f t="shared" si="5"/>
        <v>0</v>
      </c>
      <c r="AT26" s="23">
        <f t="shared" si="5"/>
        <v>0</v>
      </c>
      <c r="AU26" s="23">
        <f t="shared" si="5"/>
        <v>0</v>
      </c>
      <c r="AV26" s="23">
        <f t="shared" si="5"/>
        <v>0</v>
      </c>
      <c r="AW26" s="33">
        <f t="shared" si="6"/>
        <v>0</v>
      </c>
    </row>
    <row r="27" spans="1:49" ht="18" customHeight="1">
      <c r="A27" s="40">
        <f>+IF(AND(Vakant!AX27&lt;=21,Vakant!BC27&gt;0),Vakant!BC27,0)</f>
        <v>15</v>
      </c>
      <c r="B27" s="40" t="str">
        <f>+IF(AND(A27&gt;0,A27&lt;=21),VLOOKUP(F27,Grupper!$B$1:$C$12,2,FALSE),"")</f>
        <v>B</v>
      </c>
      <c r="C27" s="42">
        <f>IF(OR(AND(A27&gt;0,F27=F26),AND(A27&gt;0,H27=H26),AND(A27&gt;0,H27=F26),AND(A27&gt;0,F27=H26)),(IF(OR(AND(A27&lt;=21,A27&gt;0),A27="semifinal 1",A27="semifinal 2",A27="3:e pris",A27="final"),E26+Tider!$B$2,C26))+Inställningar!$B$3,(IF(OR(AND(A27&lt;=21,A27&gt;0),A27="semifinal 1",A27="semifinal 2",A27="3:e pris",A27="final"),E26+Tider!$B$2,C26)))</f>
        <v>0.45972222222222253</v>
      </c>
      <c r="D27" s="42" t="str">
        <f t="shared" si="0"/>
        <v>-</v>
      </c>
      <c r="E27" s="42">
        <f>IF(OR(AND(A27&gt;0,F27=F26),AND(A27&gt;0,F27=H26),AND(A27&gt;0,H27=H26),AND(A27&gt;0,H27=F26)),(IF(OR(A27&lt;=21,A27="semifinal 1",A27="semifinal 2",A27="3:e pris",A27="final"),C27+Tider!$B$1,E26))+Inställningar!$B$3,(IF(OR(AND(A27&gt;0,A27&lt;=21),A27="semifinal 1",A27="semifinal 2",A27="3:e pris",A27="final"),C27+Tider!$B$1,E26)))</f>
        <v>0.4680555555555559</v>
      </c>
      <c r="F27" s="20" t="str">
        <f>IF(OR(AND(A27&lt;=21,A27&gt;0),A27="semifinal 1",A27="semifinal 2",A27="3:e pris",A27="final"),(VLOOKUP(A27,Vakant!$A$10:$G$51,5,FALSE)),"")</f>
        <v>Eskilsminne IF</v>
      </c>
      <c r="G27" s="21" t="str">
        <f t="shared" si="1"/>
        <v>-</v>
      </c>
      <c r="H27" s="20" t="str">
        <f>+IF(OR(AND(A27&lt;=21,A27&gt;0),A27="semifinal 1",A27="semifinal 2",A27="3:e pris",A27="final"),(VLOOKUP(A27,Vakant!$A$10:$G$51,7,FALSE)),"")</f>
        <v>Billeberga GIF</v>
      </c>
      <c r="I27" s="22"/>
      <c r="J27" s="21" t="str">
        <f t="shared" si="2"/>
        <v>-</v>
      </c>
      <c r="L27" s="43"/>
      <c r="M27" s="23">
        <f t="shared" si="3"/>
        <v>0</v>
      </c>
      <c r="N27" s="23">
        <f t="shared" si="3"/>
        <v>0</v>
      </c>
      <c r="O27" s="23">
        <f t="shared" si="3"/>
        <v>0</v>
      </c>
      <c r="P27" s="23">
        <f t="shared" si="3"/>
        <v>0</v>
      </c>
      <c r="Q27" s="23">
        <f t="shared" si="3"/>
        <v>0</v>
      </c>
      <c r="R27" s="23">
        <f t="shared" si="3"/>
        <v>0</v>
      </c>
      <c r="S27" s="23">
        <f t="shared" si="3"/>
        <v>0</v>
      </c>
      <c r="T27" s="23">
        <f t="shared" si="3"/>
        <v>0</v>
      </c>
      <c r="U27" s="23">
        <f t="shared" si="3"/>
        <v>0</v>
      </c>
      <c r="V27" s="23">
        <f t="shared" si="3"/>
        <v>0</v>
      </c>
      <c r="W27" s="23">
        <f t="shared" si="3"/>
        <v>0</v>
      </c>
      <c r="X27" s="23">
        <f t="shared" si="3"/>
        <v>0</v>
      </c>
      <c r="Y27" s="23">
        <f t="shared" si="4"/>
        <v>0</v>
      </c>
      <c r="Z27" s="23">
        <f t="shared" si="4"/>
        <v>0</v>
      </c>
      <c r="AA27" s="23">
        <f t="shared" si="4"/>
        <v>0</v>
      </c>
      <c r="AB27" s="23">
        <f t="shared" si="4"/>
        <v>0</v>
      </c>
      <c r="AC27" s="23">
        <f t="shared" si="4"/>
        <v>0</v>
      </c>
      <c r="AD27" s="23">
        <f t="shared" si="4"/>
        <v>0</v>
      </c>
      <c r="AE27" s="23">
        <f t="shared" si="4"/>
        <v>0</v>
      </c>
      <c r="AF27" s="23">
        <f t="shared" si="4"/>
        <v>0</v>
      </c>
      <c r="AG27" s="23">
        <f t="shared" si="4"/>
        <v>0</v>
      </c>
      <c r="AH27" s="23">
        <f t="shared" si="4"/>
        <v>0</v>
      </c>
      <c r="AI27" s="23">
        <f t="shared" si="4"/>
        <v>0</v>
      </c>
      <c r="AJ27" s="23">
        <f t="shared" si="4"/>
        <v>0</v>
      </c>
      <c r="AK27" s="23">
        <f t="shared" si="5"/>
        <v>0</v>
      </c>
      <c r="AL27" s="23">
        <f t="shared" si="5"/>
        <v>0</v>
      </c>
      <c r="AM27" s="23">
        <f t="shared" si="5"/>
        <v>0</v>
      </c>
      <c r="AN27" s="23">
        <f t="shared" si="5"/>
        <v>0</v>
      </c>
      <c r="AO27" s="23">
        <f t="shared" si="5"/>
        <v>0</v>
      </c>
      <c r="AP27" s="23">
        <f t="shared" si="5"/>
        <v>0</v>
      </c>
      <c r="AQ27" s="23">
        <f t="shared" si="5"/>
        <v>0</v>
      </c>
      <c r="AR27" s="23">
        <f t="shared" si="5"/>
        <v>0</v>
      </c>
      <c r="AS27" s="23">
        <f t="shared" si="5"/>
        <v>0</v>
      </c>
      <c r="AT27" s="23">
        <f t="shared" si="5"/>
        <v>0</v>
      </c>
      <c r="AU27" s="23">
        <f t="shared" si="5"/>
        <v>0</v>
      </c>
      <c r="AV27" s="23">
        <f t="shared" si="5"/>
        <v>0</v>
      </c>
      <c r="AW27" s="33">
        <f t="shared" si="6"/>
        <v>0</v>
      </c>
    </row>
    <row r="28" spans="1:49" ht="18" customHeight="1">
      <c r="A28" s="40">
        <f>+IF(AND(Vakant!AX28&lt;=21,Vakant!BC28&gt;0),Vakant!BC28,0)</f>
        <v>16</v>
      </c>
      <c r="B28" s="40" t="str">
        <f>+IF(AND(A28&gt;0,A28&lt;=21),VLOOKUP(F28,Grupper!$B$1:$C$12,2,FALSE),"")</f>
        <v>B</v>
      </c>
      <c r="C28" s="42">
        <f>IF(OR(AND(A28&gt;0,F28=F27),AND(A28&gt;0,H28=H27),AND(A28&gt;0,H28=F27),AND(A28&gt;0,F28=H27)),(IF(OR(AND(A28&lt;=21,A28&gt;0),A28="semifinal 1",A28="semifinal 2",A28="3:e pris",A28="final"),E27+Tider!$B$2,C27))+Inställningar!$B$3,(IF(OR(AND(A28&lt;=21,A28&gt;0),A28="semifinal 1",A28="semifinal 2",A28="3:e pris",A28="final"),E27+Tider!$B$2,C27)))</f>
        <v>0.46875000000000033</v>
      </c>
      <c r="D28" s="42" t="str">
        <f t="shared" si="0"/>
        <v>-</v>
      </c>
      <c r="E28" s="42">
        <f>IF(OR(AND(A28&gt;0,F28=F27),AND(A28&gt;0,F28=H27),AND(A28&gt;0,H28=H27),AND(A28&gt;0,H28=F27)),(IF(OR(A28&lt;=21,A28="semifinal 1",A28="semifinal 2",A28="3:e pris",A28="final"),C28+Tider!$B$1,E27))+Inställningar!$B$3,(IF(OR(AND(A28&gt;0,A28&lt;=21),A28="semifinal 1",A28="semifinal 2",A28="3:e pris",A28="final"),C28+Tider!$B$1,E27)))</f>
        <v>0.4770833333333337</v>
      </c>
      <c r="F28" s="20" t="str">
        <f>IF(OR(AND(A28&lt;=21,A28&gt;0),A28="semifinal 1",A28="semifinal 2",A28="3:e pris",A28="final"),(VLOOKUP(A28,Vakant!$A$10:$G$51,5,FALSE)),"")</f>
        <v>IK Wormo</v>
      </c>
      <c r="G28" s="21" t="str">
        <f t="shared" si="1"/>
        <v>-</v>
      </c>
      <c r="H28" s="20" t="str">
        <f>+IF(OR(AND(A28&lt;=21,A28&gt;0),A28="semifinal 1",A28="semifinal 2",A28="3:e pris",A28="final"),(VLOOKUP(A28,Vakant!$A$10:$G$51,7,FALSE)),"")</f>
        <v>Svalövs BK 1</v>
      </c>
      <c r="I28" s="22"/>
      <c r="J28" s="21" t="str">
        <f t="shared" si="2"/>
        <v>-</v>
      </c>
      <c r="L28" s="43"/>
      <c r="M28" s="23">
        <f t="shared" si="3"/>
        <v>0</v>
      </c>
      <c r="N28" s="23">
        <f t="shared" si="3"/>
        <v>0</v>
      </c>
      <c r="O28" s="23">
        <f t="shared" si="3"/>
        <v>0</v>
      </c>
      <c r="P28" s="23">
        <f t="shared" si="3"/>
        <v>0</v>
      </c>
      <c r="Q28" s="23">
        <f t="shared" si="3"/>
        <v>0</v>
      </c>
      <c r="R28" s="23">
        <f t="shared" si="3"/>
        <v>0</v>
      </c>
      <c r="S28" s="23">
        <f t="shared" si="3"/>
        <v>0</v>
      </c>
      <c r="T28" s="23">
        <f t="shared" si="3"/>
        <v>0</v>
      </c>
      <c r="U28" s="23">
        <f t="shared" si="3"/>
        <v>0</v>
      </c>
      <c r="V28" s="23">
        <f t="shared" si="3"/>
        <v>0</v>
      </c>
      <c r="W28" s="23">
        <f t="shared" si="3"/>
        <v>0</v>
      </c>
      <c r="X28" s="23">
        <f t="shared" si="3"/>
        <v>0</v>
      </c>
      <c r="Y28" s="23">
        <f t="shared" si="4"/>
        <v>0</v>
      </c>
      <c r="Z28" s="23">
        <f t="shared" si="4"/>
        <v>0</v>
      </c>
      <c r="AA28" s="23">
        <f t="shared" si="4"/>
        <v>0</v>
      </c>
      <c r="AB28" s="23">
        <f t="shared" si="4"/>
        <v>0</v>
      </c>
      <c r="AC28" s="23">
        <f t="shared" si="4"/>
        <v>0</v>
      </c>
      <c r="AD28" s="23">
        <f t="shared" si="4"/>
        <v>0</v>
      </c>
      <c r="AE28" s="23">
        <f t="shared" si="4"/>
        <v>0</v>
      </c>
      <c r="AF28" s="23">
        <f t="shared" si="4"/>
        <v>0</v>
      </c>
      <c r="AG28" s="23">
        <f t="shared" si="4"/>
        <v>0</v>
      </c>
      <c r="AH28" s="23">
        <f t="shared" si="4"/>
        <v>0</v>
      </c>
      <c r="AI28" s="23">
        <f t="shared" si="4"/>
        <v>0</v>
      </c>
      <c r="AJ28" s="23">
        <f t="shared" si="4"/>
        <v>0</v>
      </c>
      <c r="AK28" s="23">
        <f t="shared" si="5"/>
        <v>0</v>
      </c>
      <c r="AL28" s="23">
        <f t="shared" si="5"/>
        <v>0</v>
      </c>
      <c r="AM28" s="23">
        <f t="shared" si="5"/>
        <v>0</v>
      </c>
      <c r="AN28" s="23">
        <f t="shared" si="5"/>
        <v>0</v>
      </c>
      <c r="AO28" s="23">
        <f t="shared" si="5"/>
        <v>0</v>
      </c>
      <c r="AP28" s="23">
        <f t="shared" si="5"/>
        <v>0</v>
      </c>
      <c r="AQ28" s="23">
        <f t="shared" si="5"/>
        <v>0</v>
      </c>
      <c r="AR28" s="23">
        <f t="shared" si="5"/>
        <v>0</v>
      </c>
      <c r="AS28" s="23">
        <f t="shared" si="5"/>
        <v>0</v>
      </c>
      <c r="AT28" s="23">
        <f t="shared" si="5"/>
        <v>0</v>
      </c>
      <c r="AU28" s="23">
        <f t="shared" si="5"/>
        <v>0</v>
      </c>
      <c r="AV28" s="23">
        <f t="shared" si="5"/>
        <v>0</v>
      </c>
      <c r="AW28" s="33">
        <f t="shared" si="6"/>
        <v>0</v>
      </c>
    </row>
    <row r="29" spans="1:49" ht="18" customHeight="1">
      <c r="A29" s="40">
        <f>+IF(AND(Vakant!AX29&lt;=21,Vakant!BC29&gt;0),Vakant!BC29,0)</f>
        <v>0</v>
      </c>
      <c r="B29" s="40">
        <f>+IF(AND(A29&gt;0,A29&lt;=21),VLOOKUP(F29,Grupper!$B$1:$C$12,2,FALSE),"")</f>
      </c>
      <c r="C29" s="42">
        <f>IF(OR(AND(A29&gt;0,F29=F28),AND(A29&gt;0,H29=H28),AND(A29&gt;0,H29=F28),AND(A29&gt;0,F29=H28)),(IF(OR(AND(A29&lt;=21,A29&gt;0),A29="semifinal 1",A29="semifinal 2",A29="3:e pris",A29="final"),E28+Tider!$B$2,C28))+Inställningar!$B$3,(IF(OR(AND(A29&lt;=21,A29&gt;0),A29="semifinal 1",A29="semifinal 2",A29="3:e pris",A29="final"),E28+Tider!$B$2,C28)))</f>
        <v>0.46875000000000033</v>
      </c>
      <c r="D29" s="42">
        <f t="shared" si="0"/>
      </c>
      <c r="E29" s="42">
        <f>IF(OR(AND(A29&gt;0,F29=F28),AND(A29&gt;0,F29=H28),AND(A29&gt;0,H29=H28),AND(A29&gt;0,H29=F28)),(IF(OR(A29&lt;=21,A29="semifinal 1",A29="semifinal 2",A29="3:e pris",A29="final"),C29+Tider!$B$1,E28))+Inställningar!$B$3,(IF(OR(AND(A29&gt;0,A29&lt;=21),A29="semifinal 1",A29="semifinal 2",A29="3:e pris",A29="final"),C29+Tider!$B$1,E28)))</f>
        <v>0.4770833333333337</v>
      </c>
      <c r="F29" s="20">
        <f>IF(OR(AND(A29&lt;=21,A29&gt;0),A29="semifinal 1",A29="semifinal 2",A29="3:e pris",A29="final"),(VLOOKUP(A29,Vakant!$A$10:$G$51,5,FALSE)),"")</f>
      </c>
      <c r="G29" s="21">
        <f t="shared" si="1"/>
      </c>
      <c r="H29" s="20">
        <f>+IF(OR(AND(A29&lt;=21,A29&gt;0),A29="semifinal 1",A29="semifinal 2",A29="3:e pris",A29="final"),(VLOOKUP(A29,Vakant!$A$10:$G$51,7,FALSE)),"")</f>
      </c>
      <c r="I29" s="22"/>
      <c r="J29" s="21">
        <f t="shared" si="2"/>
      </c>
      <c r="L29" s="43"/>
      <c r="M29" s="23">
        <f t="shared" si="3"/>
        <v>0</v>
      </c>
      <c r="N29" s="23">
        <f t="shared" si="3"/>
        <v>0</v>
      </c>
      <c r="O29" s="23">
        <f t="shared" si="3"/>
        <v>0</v>
      </c>
      <c r="P29" s="23">
        <f t="shared" si="3"/>
        <v>0</v>
      </c>
      <c r="Q29" s="23">
        <f t="shared" si="3"/>
        <v>0</v>
      </c>
      <c r="R29" s="23">
        <f t="shared" si="3"/>
        <v>0</v>
      </c>
      <c r="S29" s="23">
        <f t="shared" si="3"/>
        <v>0</v>
      </c>
      <c r="T29" s="23">
        <f t="shared" si="3"/>
        <v>0</v>
      </c>
      <c r="U29" s="23">
        <f t="shared" si="3"/>
        <v>0</v>
      </c>
      <c r="V29" s="23">
        <f t="shared" si="3"/>
        <v>0</v>
      </c>
      <c r="W29" s="23">
        <f t="shared" si="3"/>
        <v>0</v>
      </c>
      <c r="X29" s="23">
        <f t="shared" si="3"/>
        <v>0</v>
      </c>
      <c r="Y29" s="23">
        <f t="shared" si="4"/>
        <v>0</v>
      </c>
      <c r="Z29" s="23">
        <f t="shared" si="4"/>
        <v>0</v>
      </c>
      <c r="AA29" s="23">
        <f t="shared" si="4"/>
        <v>0</v>
      </c>
      <c r="AB29" s="23">
        <f t="shared" si="4"/>
        <v>0</v>
      </c>
      <c r="AC29" s="23">
        <f t="shared" si="4"/>
        <v>0</v>
      </c>
      <c r="AD29" s="23">
        <f t="shared" si="4"/>
        <v>0</v>
      </c>
      <c r="AE29" s="23">
        <f t="shared" si="4"/>
        <v>0</v>
      </c>
      <c r="AF29" s="23">
        <f t="shared" si="4"/>
        <v>0</v>
      </c>
      <c r="AG29" s="23">
        <f t="shared" si="4"/>
        <v>0</v>
      </c>
      <c r="AH29" s="23">
        <f t="shared" si="4"/>
        <v>0</v>
      </c>
      <c r="AI29" s="23">
        <f t="shared" si="4"/>
        <v>0</v>
      </c>
      <c r="AJ29" s="23">
        <f t="shared" si="4"/>
        <v>0</v>
      </c>
      <c r="AK29" s="23">
        <f t="shared" si="5"/>
        <v>0</v>
      </c>
      <c r="AL29" s="23">
        <f t="shared" si="5"/>
        <v>0</v>
      </c>
      <c r="AM29" s="23">
        <f t="shared" si="5"/>
        <v>0</v>
      </c>
      <c r="AN29" s="23">
        <f t="shared" si="5"/>
        <v>0</v>
      </c>
      <c r="AO29" s="23">
        <f t="shared" si="5"/>
        <v>0</v>
      </c>
      <c r="AP29" s="23">
        <f t="shared" si="5"/>
        <v>0</v>
      </c>
      <c r="AQ29" s="23">
        <f t="shared" si="5"/>
        <v>0</v>
      </c>
      <c r="AR29" s="23">
        <f t="shared" si="5"/>
        <v>0</v>
      </c>
      <c r="AS29" s="23">
        <f t="shared" si="5"/>
        <v>0</v>
      </c>
      <c r="AT29" s="23">
        <f t="shared" si="5"/>
        <v>0</v>
      </c>
      <c r="AU29" s="23">
        <f t="shared" si="5"/>
        <v>0</v>
      </c>
      <c r="AV29" s="23">
        <f t="shared" si="5"/>
        <v>0</v>
      </c>
      <c r="AW29" s="33">
        <f t="shared" si="6"/>
        <v>0</v>
      </c>
    </row>
    <row r="30" spans="1:49" ht="18" customHeight="1">
      <c r="A30" s="40">
        <f>+IF(AND(Vakant!AX30&lt;=21,Vakant!BC30&gt;0),Vakant!BC30,0)</f>
        <v>17</v>
      </c>
      <c r="B30" s="40" t="str">
        <f>+IF(AND(A30&gt;0,A30&lt;=21),VLOOKUP(F30,Grupper!$B$1:$C$12,2,FALSE),"")</f>
        <v>A</v>
      </c>
      <c r="C30" s="42">
        <f>IF(OR(AND(A30&gt;0,F30=F29),AND(A30&gt;0,H30=H29),AND(A30&gt;0,H30=F29),AND(A30&gt;0,F30=H29)),(IF(OR(AND(A30&lt;=21,A30&gt;0),A30="semifinal 1",A30="semifinal 2",A30="3:e pris",A30="final"),E29+Tider!$B$2,C29))+Inställningar!$B$3,(IF(OR(AND(A30&lt;=21,A30&gt;0),A30="semifinal 1",A30="semifinal 2",A30="3:e pris",A30="final"),E29+Tider!$B$2,C29)))</f>
        <v>0.47777777777777813</v>
      </c>
      <c r="D30" s="42" t="str">
        <f t="shared" si="0"/>
        <v>-</v>
      </c>
      <c r="E30" s="42">
        <f>IF(OR(AND(A30&gt;0,F30=F29),AND(A30&gt;0,F30=H29),AND(A30&gt;0,H30=H29),AND(A30&gt;0,H30=F29)),(IF(OR(A30&lt;=21,A30="semifinal 1",A30="semifinal 2",A30="3:e pris",A30="final"),C30+Tider!$B$1,E29))+Inställningar!$B$3,(IF(OR(AND(A30&gt;0,A30&lt;=21),A30="semifinal 1",A30="semifinal 2",A30="3:e pris",A30="final"),C30+Tider!$B$1,E29)))</f>
        <v>0.4861111111111115</v>
      </c>
      <c r="F30" s="20" t="str">
        <f>IF(OR(AND(A30&lt;=21,A30&gt;0),A30="semifinal 1",A30="semifinal 2",A30="3:e pris",A30="final"),(VLOOKUP(A30,Vakant!$A$10:$G$51,5,FALSE)),"")</f>
        <v>Ekeby GIF</v>
      </c>
      <c r="G30" s="21" t="str">
        <f t="shared" si="1"/>
        <v>-</v>
      </c>
      <c r="H30" s="20" t="str">
        <f>+IF(OR(AND(A30&lt;=21,A30&gt;0),A30="semifinal 1",A30="semifinal 2",A30="3:e pris",A30="final"),(VLOOKUP(A30,Vakant!$A$10:$G$51,7,FALSE)),"")</f>
        <v>Teckomatorps SK</v>
      </c>
      <c r="I30" s="22"/>
      <c r="J30" s="21" t="str">
        <f t="shared" si="2"/>
        <v>-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3">
        <f t="shared" si="6"/>
        <v>0</v>
      </c>
    </row>
    <row r="31" spans="1:49" ht="18" customHeight="1">
      <c r="A31" s="40"/>
      <c r="B31" s="40"/>
      <c r="C31" s="42"/>
      <c r="D31" s="42"/>
      <c r="E31" s="42"/>
      <c r="G31" s="21"/>
      <c r="I31" s="22"/>
      <c r="J31" s="21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3"/>
    </row>
    <row r="32" spans="1:49" ht="18" customHeight="1">
      <c r="A32" s="40"/>
      <c r="B32" s="40"/>
      <c r="C32" s="42"/>
      <c r="D32" s="42"/>
      <c r="E32" s="42"/>
      <c r="G32" s="21"/>
      <c r="I32" s="22"/>
      <c r="J32" s="21"/>
      <c r="AW32" s="33"/>
    </row>
    <row r="33" spans="1:49" ht="18" customHeight="1">
      <c r="A33" s="40"/>
      <c r="B33" s="40"/>
      <c r="C33" s="42"/>
      <c r="D33" s="42"/>
      <c r="E33" s="42"/>
      <c r="G33" s="21"/>
      <c r="I33" s="22"/>
      <c r="J33" s="21"/>
      <c r="AW33" s="33"/>
    </row>
    <row r="34" spans="1:49" ht="12.75" customHeight="1" hidden="1">
      <c r="A34" s="40"/>
      <c r="B34" s="40"/>
      <c r="C34" s="42"/>
      <c r="D34" s="42"/>
      <c r="E34" s="42"/>
      <c r="G34" s="21"/>
      <c r="I34" s="22"/>
      <c r="J34" s="21"/>
      <c r="M34" s="23">
        <f aca="true" t="shared" si="7" ref="M34:X37">IF($L34="X",(OR(AND(M$9=$F34,$I34&gt;$K34,$L34="X"),AND(M$9=$H34,$K34&gt;$I34,$L34="X"))),0)</f>
        <v>0</v>
      </c>
      <c r="N34" s="23">
        <f t="shared" si="7"/>
        <v>0</v>
      </c>
      <c r="O34" s="23">
        <f t="shared" si="7"/>
        <v>0</v>
      </c>
      <c r="P34" s="23">
        <f t="shared" si="7"/>
        <v>0</v>
      </c>
      <c r="Q34" s="23">
        <f t="shared" si="7"/>
        <v>0</v>
      </c>
      <c r="T34" s="23">
        <f t="shared" si="7"/>
        <v>0</v>
      </c>
      <c r="U34" s="23">
        <f t="shared" si="7"/>
        <v>0</v>
      </c>
      <c r="V34" s="23">
        <f t="shared" si="7"/>
        <v>0</v>
      </c>
      <c r="W34" s="23">
        <f t="shared" si="7"/>
        <v>0</v>
      </c>
      <c r="X34" s="23">
        <f t="shared" si="7"/>
        <v>0</v>
      </c>
      <c r="Y34" s="23">
        <f aca="true" t="shared" si="8" ref="Y34:AJ37">IF($L34="X",(OR(AND(Y$9=$F34,$I34&lt;$K34,$L34="X"),AND(Y$9=$H34,$K34&lt;$I34,$L34="X"))),0)</f>
        <v>0</v>
      </c>
      <c r="Z34" s="23">
        <f t="shared" si="8"/>
        <v>0</v>
      </c>
      <c r="AA34" s="23">
        <f t="shared" si="8"/>
        <v>0</v>
      </c>
      <c r="AB34" s="23">
        <f t="shared" si="8"/>
        <v>0</v>
      </c>
      <c r="AC34" s="23">
        <f t="shared" si="8"/>
        <v>0</v>
      </c>
      <c r="AF34" s="23">
        <f t="shared" si="8"/>
        <v>0</v>
      </c>
      <c r="AG34" s="23">
        <f t="shared" si="8"/>
        <v>0</v>
      </c>
      <c r="AH34" s="23">
        <f t="shared" si="8"/>
        <v>0</v>
      </c>
      <c r="AI34" s="23">
        <f t="shared" si="8"/>
        <v>0</v>
      </c>
      <c r="AJ34" s="23">
        <f t="shared" si="8"/>
        <v>0</v>
      </c>
      <c r="AK34" s="23">
        <f aca="true" t="shared" si="9" ref="AK34:AV37">IF($L34="X",(OR(AND(AK$9=$F34,$I34=$K34,$L34="X"),AND(AK$9=$H34,$K34=$I34,$L34="X"))),0)</f>
        <v>0</v>
      </c>
      <c r="AL34" s="23">
        <f t="shared" si="9"/>
        <v>0</v>
      </c>
      <c r="AM34" s="23">
        <f t="shared" si="9"/>
        <v>0</v>
      </c>
      <c r="AN34" s="23">
        <f t="shared" si="9"/>
        <v>0</v>
      </c>
      <c r="AO34" s="23">
        <f t="shared" si="9"/>
        <v>0</v>
      </c>
      <c r="AR34" s="23">
        <f t="shared" si="9"/>
        <v>0</v>
      </c>
      <c r="AS34" s="23">
        <f t="shared" si="9"/>
        <v>0</v>
      </c>
      <c r="AT34" s="23">
        <f t="shared" si="9"/>
        <v>0</v>
      </c>
      <c r="AU34" s="23">
        <f t="shared" si="9"/>
        <v>0</v>
      </c>
      <c r="AV34" s="23">
        <f t="shared" si="9"/>
        <v>0</v>
      </c>
      <c r="AW34" s="33">
        <f t="shared" si="6"/>
        <v>0</v>
      </c>
    </row>
    <row r="35" spans="1:49" ht="12.75" customHeight="1" hidden="1">
      <c r="A35" s="40"/>
      <c r="B35" s="40"/>
      <c r="C35" s="42"/>
      <c r="D35" s="42"/>
      <c r="E35" s="42"/>
      <c r="G35" s="21"/>
      <c r="I35" s="22"/>
      <c r="J35" s="21"/>
      <c r="M35" s="23">
        <f t="shared" si="7"/>
        <v>0</v>
      </c>
      <c r="N35" s="23">
        <f t="shared" si="7"/>
        <v>0</v>
      </c>
      <c r="O35" s="23">
        <f t="shared" si="7"/>
        <v>0</v>
      </c>
      <c r="P35" s="23">
        <f t="shared" si="7"/>
        <v>0</v>
      </c>
      <c r="Q35" s="23">
        <f t="shared" si="7"/>
        <v>0</v>
      </c>
      <c r="T35" s="23">
        <f t="shared" si="7"/>
        <v>0</v>
      </c>
      <c r="U35" s="23">
        <f t="shared" si="7"/>
        <v>0</v>
      </c>
      <c r="V35" s="23">
        <f t="shared" si="7"/>
        <v>0</v>
      </c>
      <c r="W35" s="23">
        <f t="shared" si="7"/>
        <v>0</v>
      </c>
      <c r="X35" s="23">
        <f t="shared" si="7"/>
        <v>0</v>
      </c>
      <c r="Y35" s="23">
        <f t="shared" si="8"/>
        <v>0</v>
      </c>
      <c r="Z35" s="23">
        <f t="shared" si="8"/>
        <v>0</v>
      </c>
      <c r="AA35" s="23">
        <f t="shared" si="8"/>
        <v>0</v>
      </c>
      <c r="AB35" s="23">
        <f t="shared" si="8"/>
        <v>0</v>
      </c>
      <c r="AC35" s="23">
        <f t="shared" si="8"/>
        <v>0</v>
      </c>
      <c r="AF35" s="23">
        <f t="shared" si="8"/>
        <v>0</v>
      </c>
      <c r="AG35" s="23">
        <f t="shared" si="8"/>
        <v>0</v>
      </c>
      <c r="AH35" s="23">
        <f t="shared" si="8"/>
        <v>0</v>
      </c>
      <c r="AI35" s="23">
        <f t="shared" si="8"/>
        <v>0</v>
      </c>
      <c r="AJ35" s="23">
        <f t="shared" si="8"/>
        <v>0</v>
      </c>
      <c r="AK35" s="23">
        <f t="shared" si="9"/>
        <v>0</v>
      </c>
      <c r="AL35" s="23">
        <f t="shared" si="9"/>
        <v>0</v>
      </c>
      <c r="AM35" s="23">
        <f t="shared" si="9"/>
        <v>0</v>
      </c>
      <c r="AN35" s="23">
        <f t="shared" si="9"/>
        <v>0</v>
      </c>
      <c r="AO35" s="23">
        <f t="shared" si="9"/>
        <v>0</v>
      </c>
      <c r="AR35" s="23">
        <f t="shared" si="9"/>
        <v>0</v>
      </c>
      <c r="AS35" s="23">
        <f t="shared" si="9"/>
        <v>0</v>
      </c>
      <c r="AT35" s="23">
        <f t="shared" si="9"/>
        <v>0</v>
      </c>
      <c r="AU35" s="23">
        <f t="shared" si="9"/>
        <v>0</v>
      </c>
      <c r="AV35" s="23">
        <f t="shared" si="9"/>
        <v>0</v>
      </c>
      <c r="AW35" s="33">
        <f>+IF(A35&lt;=20,L35,AW34)</f>
        <v>0</v>
      </c>
    </row>
    <row r="36" spans="1:49" ht="12.75" customHeight="1" hidden="1">
      <c r="A36" s="40"/>
      <c r="B36" s="40"/>
      <c r="C36" s="42"/>
      <c r="D36" s="42"/>
      <c r="E36" s="42"/>
      <c r="G36" s="21"/>
      <c r="I36" s="22"/>
      <c r="J36" s="21"/>
      <c r="M36" s="23">
        <f t="shared" si="7"/>
        <v>0</v>
      </c>
      <c r="N36" s="23">
        <f t="shared" si="7"/>
        <v>0</v>
      </c>
      <c r="O36" s="23">
        <f t="shared" si="7"/>
        <v>0</v>
      </c>
      <c r="P36" s="23">
        <f t="shared" si="7"/>
        <v>0</v>
      </c>
      <c r="Q36" s="23">
        <f t="shared" si="7"/>
        <v>0</v>
      </c>
      <c r="T36" s="23">
        <f t="shared" si="7"/>
        <v>0</v>
      </c>
      <c r="U36" s="23">
        <f t="shared" si="7"/>
        <v>0</v>
      </c>
      <c r="V36" s="23">
        <f t="shared" si="7"/>
        <v>0</v>
      </c>
      <c r="W36" s="23">
        <f t="shared" si="7"/>
        <v>0</v>
      </c>
      <c r="X36" s="23">
        <f t="shared" si="7"/>
        <v>0</v>
      </c>
      <c r="Y36" s="23">
        <f t="shared" si="8"/>
        <v>0</v>
      </c>
      <c r="Z36" s="23">
        <f t="shared" si="8"/>
        <v>0</v>
      </c>
      <c r="AA36" s="23">
        <f t="shared" si="8"/>
        <v>0</v>
      </c>
      <c r="AB36" s="23">
        <f t="shared" si="8"/>
        <v>0</v>
      </c>
      <c r="AC36" s="23">
        <f t="shared" si="8"/>
        <v>0</v>
      </c>
      <c r="AF36" s="23">
        <f t="shared" si="8"/>
        <v>0</v>
      </c>
      <c r="AG36" s="23">
        <f t="shared" si="8"/>
        <v>0</v>
      </c>
      <c r="AH36" s="23">
        <f t="shared" si="8"/>
        <v>0</v>
      </c>
      <c r="AI36" s="23">
        <f t="shared" si="8"/>
        <v>0</v>
      </c>
      <c r="AJ36" s="23">
        <f t="shared" si="8"/>
        <v>0</v>
      </c>
      <c r="AK36" s="23">
        <f t="shared" si="9"/>
        <v>0</v>
      </c>
      <c r="AL36" s="23">
        <f t="shared" si="9"/>
        <v>0</v>
      </c>
      <c r="AM36" s="23">
        <f t="shared" si="9"/>
        <v>0</v>
      </c>
      <c r="AN36" s="23">
        <f t="shared" si="9"/>
        <v>0</v>
      </c>
      <c r="AO36" s="23">
        <f t="shared" si="9"/>
        <v>0</v>
      </c>
      <c r="AR36" s="23">
        <f t="shared" si="9"/>
        <v>0</v>
      </c>
      <c r="AS36" s="23">
        <f t="shared" si="9"/>
        <v>0</v>
      </c>
      <c r="AT36" s="23">
        <f t="shared" si="9"/>
        <v>0</v>
      </c>
      <c r="AU36" s="23">
        <f t="shared" si="9"/>
        <v>0</v>
      </c>
      <c r="AV36" s="23">
        <f t="shared" si="9"/>
        <v>0</v>
      </c>
      <c r="AW36" s="33">
        <f>+IF(A36&lt;=20,L36,AW35)</f>
        <v>0</v>
      </c>
    </row>
    <row r="37" spans="1:49" ht="12.75" customHeight="1" hidden="1">
      <c r="A37" s="40"/>
      <c r="B37" s="40"/>
      <c r="C37" s="42"/>
      <c r="D37" s="42"/>
      <c r="E37" s="42"/>
      <c r="F37" s="106"/>
      <c r="G37" s="21"/>
      <c r="I37" s="22"/>
      <c r="J37" s="21"/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F37" s="23">
        <f t="shared" si="8"/>
        <v>0</v>
      </c>
      <c r="AG37" s="23">
        <f t="shared" si="8"/>
        <v>0</v>
      </c>
      <c r="AH37" s="23">
        <f t="shared" si="8"/>
        <v>0</v>
      </c>
      <c r="AI37" s="23">
        <f t="shared" si="8"/>
        <v>0</v>
      </c>
      <c r="AJ37" s="23">
        <f t="shared" si="8"/>
        <v>0</v>
      </c>
      <c r="AK37" s="23">
        <f t="shared" si="9"/>
        <v>0</v>
      </c>
      <c r="AL37" s="23">
        <f t="shared" si="9"/>
        <v>0</v>
      </c>
      <c r="AM37" s="23">
        <f t="shared" si="9"/>
        <v>0</v>
      </c>
      <c r="AN37" s="23">
        <f t="shared" si="9"/>
        <v>0</v>
      </c>
      <c r="AO37" s="23">
        <f t="shared" si="9"/>
        <v>0</v>
      </c>
      <c r="AR37" s="23">
        <f t="shared" si="9"/>
        <v>0</v>
      </c>
      <c r="AS37" s="23">
        <f t="shared" si="9"/>
        <v>0</v>
      </c>
      <c r="AT37" s="23">
        <f t="shared" si="9"/>
        <v>0</v>
      </c>
      <c r="AU37" s="23">
        <f t="shared" si="9"/>
        <v>0</v>
      </c>
      <c r="AV37" s="23">
        <f t="shared" si="9"/>
        <v>0</v>
      </c>
      <c r="AW37" s="33">
        <f>+IF(A37&lt;=20,L37,AW36)</f>
        <v>0</v>
      </c>
    </row>
    <row r="38" spans="1:49" ht="18" customHeight="1">
      <c r="A38" s="40">
        <f>IF(Inställningar!B4="JA",IF(Inställningar!$B$5="JA",Tider!E24,Tider!A23),"")</f>
      </c>
      <c r="B38" s="41"/>
      <c r="C38" s="107">
        <f>+IF(OR(A38&lt;=21,A38="semifinal 1",A38="semifinal 2",A38="3:e pris",A38="final"),E30+Tider!$B$2,C30)</f>
        <v>0.47777777777777813</v>
      </c>
      <c r="D38" s="21">
        <f>IF(Inställningar!$B$4="JA","-","")</f>
      </c>
      <c r="E38" s="42">
        <f>+IF(OR(A38&lt;=21,A38="semifinal 1",A38="semifinal 2",A38="3:e pris",A38="final"),C38+Tider!$B$1,E30)</f>
        <v>0.4861111111111115</v>
      </c>
      <c r="F38" s="44" t="str">
        <f>IF(AND(Inställningar!$B$4="JA",Inställningar!B5="nej"),(IF(OR(AND(L29="x",A30=0,A31=0,A32=0),AND(L28="x",A29=0,A30=0,A31=0),AND(L27="x",A28=0,A29=0,A30=0),AND(L26="x",A27=0,A28=0,A29=0)),'Alt Tabell'!C14,"Vinnare grupp A")),(IF(OR(AND(L29="x",A30=0,A31=0,A32=0),AND(L28="x",A29=0,A30=0,A31=0),AND(L27="x",A28=0,A29=0,A30=0),AND(L26="x",A27=0,A28=0,A29=0)),'Alt Tabell alla möter alla'!C11,"Vinnare")))</f>
        <v>Vinnare</v>
      </c>
      <c r="G38" s="21">
        <f>IF(Inställningar!$B$4="JA","-","")</f>
      </c>
      <c r="H38" s="20" t="str">
        <f>IF(AND(Inställningar!$B$4="JA",Inställningar!B5="nej"),(IF(OR(AND(L29="x",A30=0,A31=0,A32=0),AND(L28="x",A29=0,A30=0,A31=0),AND(L27="x",A28=0,A29=0,A30=0),AND(L26="x",A27=0,A28=0,A29=0)),'Alt Tabell'!C20,"Tvåan grupp B")),(IF(OR(AND(L29="x",A30=0,A31=0,A32=0),AND(L28="x",A29=0,A30=0,A31=0),AND(L27="x",A28=0,A29=0,A30=0),AND(L26="x",A27=0,A28=0,A29=0)),'Alt Tabell alla möter alla'!C13,"Trean")))</f>
        <v>Trean</v>
      </c>
      <c r="I38" s="22"/>
      <c r="J38" s="21">
        <f>IF(Inställningar!$B$4="JA","-","")</f>
      </c>
      <c r="L38" s="43"/>
      <c r="AW38" s="33">
        <f t="shared" si="6"/>
        <v>0</v>
      </c>
    </row>
    <row r="39" spans="1:49" ht="18" customHeight="1">
      <c r="A39" s="40">
        <f>IF(Inställningar!B4="JA",IF(Inställningar!$B$5="JA",Tider!E25,Tider!A24),"")</f>
      </c>
      <c r="B39" s="41"/>
      <c r="C39" s="107">
        <f>+IF(OR(A39&lt;=21,A39="semifinal 1",A39="semifinal 2",A39="3:e pris",A39="final"),E38+Tider!$B$2,C38)</f>
        <v>0.47777777777777813</v>
      </c>
      <c r="D39" s="21">
        <f>IF(Inställningar!$B$4="JA","-","")</f>
      </c>
      <c r="E39" s="42">
        <f>+IF(OR(A39&lt;=20,A39="semifinal 1",A39="semifinal 2",A39="3:e pris",A39="final"),C39+Tider!$B$1,E38)</f>
        <v>0.4861111111111115</v>
      </c>
      <c r="F39" s="44" t="str">
        <f>IF(AND(Inställningar!$B$4="JA",Inställningar!B5="nej"),(IF(OR(AND(L29="x",A30=0,A31=0,A32=0),AND(L28="x",A29=0,A30=0,A31=0),AND(L27="x",A28=0,A29=0,A30=0),AND(L26="x",A27=0,A28=0,A29=0)),'Alt Tabell'!C19,"Vinnare grupp B")),(IF(OR(AND(L29="x",A30=0,A31=0,A32=0),AND(L28="x",A29=0,A30=0,A31=0),AND(L27="x",A28=0,A29=0,A30=0),AND(L26="x",A27=0,A28=0,A29=0)),'Alt Tabell alla möter alla'!C12,"Tvåan")))</f>
        <v>Tvåan</v>
      </c>
      <c r="G39" s="21">
        <f>IF(Inställningar!$B$4="JA","-","")</f>
      </c>
      <c r="H39" s="20" t="str">
        <f>IF(AND(Inställningar!$B$4="JA",Inställningar!B5="nej"),(IF(OR(AND(L29="x",A30=0,A31=0,A32=0),AND(L28="x",A29=0,A30=0,A31=0),AND(L27="x",A28=0,A29=0,A30=0),AND(L26="x",A27=0,A28=0,A29=0)),'Alt Tabell'!C15,"Tvåan grupp A")),(IF(OR(AND(L29="x",A30=0,A31=0,A32=0),AND(L28="x",A29=0,A30=0,A31=0),AND(L27="x",A28=0,A29=0,A30=0),AND(L26="x",A27=0,A28=0,A29=0)),'Alt Tabell alla möter alla'!C14,"Fyran")))</f>
        <v>Fyran</v>
      </c>
      <c r="I39" s="22"/>
      <c r="J39" s="21">
        <f>IF(Inställningar!$B$4="JA","-","")</f>
      </c>
      <c r="L39" s="43"/>
      <c r="AW39" s="33">
        <f t="shared" si="6"/>
        <v>0</v>
      </c>
    </row>
    <row r="40" spans="1:49" ht="18" customHeight="1">
      <c r="A40" s="40">
        <f>IF(Inställningar!B4="JA",IF(Inställningar!$B$5="JA",Tider!E26,Tider!A25),"")</f>
      </c>
      <c r="B40" s="41"/>
      <c r="C40" s="107">
        <f>+IF(OR(A40&lt;=21,A40="semifinal 1",A40="semifinal 2",A40="3:e pris",A40="final"),E39+Tider!$B$2,C39)</f>
        <v>0.47777777777777813</v>
      </c>
      <c r="D40" s="21">
        <f>IF(Inställningar!$B$4="JA","-","")</f>
      </c>
      <c r="E40" s="42">
        <f>+IF(OR(A40&lt;=20,A40="semifinal 1",A40="semifinal 2",A40="3:e pris",A40="final"),C40+Tider!$B$1,E39)</f>
        <v>0.4861111111111115</v>
      </c>
      <c r="F40" s="20">
        <f>IF(Inställningar!$B$4="JA",(IF(AND(L38="X",OR(I38&gt;0,K38&gt;0)),(IF(I38&lt;K38,F38,H38)),"Förlorare semi 1")),"")</f>
      </c>
      <c r="G40" s="21">
        <f>IF(Inställningar!$B$4="JA","-","")</f>
      </c>
      <c r="H40" s="20">
        <f>IF(Inställningar!$B$4="JA",(IF(AND(L39="x",OR(I39&gt;0,K39&gt;0)),(IF(I39&lt;K39,F39,H39)),"Förlorare semi 2")),"")</f>
      </c>
      <c r="I40" s="22"/>
      <c r="J40" s="21">
        <f>IF(Inställningar!$B$4="JA","-","")</f>
      </c>
      <c r="L40" s="43"/>
      <c r="AW40" s="33">
        <f t="shared" si="6"/>
        <v>0</v>
      </c>
    </row>
    <row r="41" spans="1:49" ht="18" customHeight="1">
      <c r="A41" s="40">
        <f>IF(Inställningar!B4="JA",IF(Inställningar!$B$5="JA",Tider!E27,Tider!A26),"")</f>
      </c>
      <c r="B41" s="41"/>
      <c r="C41" s="107">
        <f>+IF(OR(A41&lt;=21,A41="semifinal 1",A41="semifinal 2",A41="3:e pris",A41="final"),E40+Tider!$B$2,C40)</f>
        <v>0.47777777777777813</v>
      </c>
      <c r="D41" s="21">
        <f>IF(Inställningar!$B$4="JA","-","")</f>
      </c>
      <c r="E41" s="42">
        <f>+IF(OR(A41&lt;=20,A41="semifinal 1",A41="semifinal 2",A41="3:e pris",A41="final"),C41+Tider!$B$1,E40)</f>
        <v>0.4861111111111115</v>
      </c>
      <c r="F41" s="20">
        <f>IF(Inställningar!$B$4="JA",(IF(L38="X",(IF(I38&gt;K38,F38,H38)),"Vinnare semi 1")),"")</f>
      </c>
      <c r="G41" s="21">
        <f>IF(Inställningar!$B$4="JA","-","")</f>
      </c>
      <c r="H41" s="20">
        <f>IF(Inställningar!$B$4="JA",(IF(L39="X",(IF(I39&gt;K39,F39,H39)),"Vinnare semi 2")),"")</f>
      </c>
      <c r="I41" s="22"/>
      <c r="J41" s="21">
        <f>IF(Inställningar!$B$4="JA","-","")</f>
      </c>
      <c r="L41" s="43"/>
      <c r="AW41" s="33">
        <f t="shared" si="6"/>
        <v>0</v>
      </c>
    </row>
    <row r="42" spans="1:49" ht="26.25" customHeight="1">
      <c r="A42" s="45">
        <f>+IF(L41="X","Slutresultat","")</f>
      </c>
      <c r="B42" s="108"/>
      <c r="G42" s="45">
        <f>+IF(L41="X","Cupens Lirare","")</f>
      </c>
      <c r="H42" s="24"/>
      <c r="I42" s="22"/>
      <c r="J42" s="20"/>
      <c r="AW42" s="33">
        <f t="shared" si="6"/>
        <v>0</v>
      </c>
    </row>
    <row r="43" spans="1:49" ht="23.25" customHeight="1">
      <c r="A43" s="47">
        <f>+IF(L41="X","Vinnare","")</f>
      </c>
      <c r="B43" s="48"/>
      <c r="C43" s="49">
        <f>IF(AND(L41="X",OR(I41&gt;0,K41&gt;0)),(IF(I41&gt;K41,F41,H41)),"")</f>
      </c>
      <c r="D43" s="49"/>
      <c r="E43" s="49"/>
      <c r="F43" s="49"/>
      <c r="G43" s="19">
        <f>+IF(L41="X","Namn","")</f>
      </c>
      <c r="H43" s="50"/>
      <c r="I43" s="50"/>
      <c r="J43" s="50"/>
      <c r="K43" s="50"/>
      <c r="L43" s="51"/>
      <c r="AW43" s="24">
        <f t="shared" si="6"/>
        <v>0</v>
      </c>
    </row>
    <row r="44" spans="1:49" ht="23.25" customHeight="1">
      <c r="A44" s="47">
        <f>+IF(L41="X","Tvåa","")</f>
      </c>
      <c r="B44" s="48"/>
      <c r="C44" s="49">
        <f>+IF(AND(L41="X",OR(I41&gt;0,K41&gt;0)),(IF(I41&lt;K41,F41,H41)),"")</f>
      </c>
      <c r="D44" s="49"/>
      <c r="E44" s="49"/>
      <c r="F44" s="49"/>
      <c r="G44" s="19">
        <f>+IF(L41="X","Klubb","")</f>
      </c>
      <c r="H44" s="50"/>
      <c r="I44" s="50"/>
      <c r="J44" s="50"/>
      <c r="K44" s="50"/>
      <c r="L44" s="51"/>
      <c r="AW44" s="24">
        <f t="shared" si="6"/>
        <v>0</v>
      </c>
    </row>
    <row r="45" spans="1:49" ht="23.25" customHeight="1">
      <c r="A45" s="47">
        <f>+IF(L41="X","Trea","")</f>
      </c>
      <c r="B45" s="48"/>
      <c r="C45" s="49">
        <f>+IF(AND(L41="X",OR(I41&gt;0,K41&gt;0)),(IF(I40&gt;K40,F40,H40)),"")</f>
      </c>
      <c r="D45" s="49"/>
      <c r="E45" s="49"/>
      <c r="F45" s="49"/>
      <c r="G45" s="49"/>
      <c r="J45" s="20"/>
      <c r="K45" s="20"/>
      <c r="L45" s="20"/>
      <c r="AW45" s="24">
        <f t="shared" si="6"/>
        <v>0</v>
      </c>
    </row>
    <row r="46" spans="1:49" ht="23.25" customHeight="1">
      <c r="A46" s="52">
        <f>+IF(L41="X","Fyra","")</f>
      </c>
      <c r="B46" s="53"/>
      <c r="C46" s="49">
        <f>++IF(AND(L41="X",OR(I41&gt;0,K41&gt;0)),(IF(I40&lt;K40,F40,H40)),"")</f>
      </c>
      <c r="D46" s="49"/>
      <c r="E46" s="49"/>
      <c r="F46" s="49"/>
      <c r="G46" s="49"/>
      <c r="J46" s="20"/>
      <c r="K46" s="20"/>
      <c r="L46" s="20"/>
      <c r="AW46" s="24">
        <f t="shared" si="6"/>
        <v>0</v>
      </c>
    </row>
    <row r="47" spans="1:49" ht="18" customHeight="1">
      <c r="A47" s="40">
        <f>+IF(Vakant!AX48&gt;0,Vakant!AX48,"")</f>
      </c>
      <c r="B47" s="40"/>
      <c r="C47" s="42"/>
      <c r="D47" s="42"/>
      <c r="E47" s="42"/>
      <c r="F47" s="20">
        <f>IF(OR(A47&lt;=20,A47="semifinal 1",A47="semifinal 2",A47="3:e pris",A47="final"),(VLOOKUP(A47,Vakant!$A$10:$G$51,5,FALSE)),"")</f>
      </c>
      <c r="G47" s="21">
        <f>+IF((OR(A47&lt;=20,A47="semifinal 1",A47="semifinal 2",A47="3:e pris",A47="final")),"-","")</f>
      </c>
      <c r="H47" s="20">
        <f>+IF(OR(A47&lt;=20,A47="semifinal 1",A47="semifinal 2",A47="3:e pris",A47="final"),(VLOOKUP(A47,Vakant!$A$10:$G$51,7,FALSE)),"")</f>
      </c>
      <c r="J47" s="21">
        <f>+IF((OR(A47&lt;=20,A47="semifinal 1",A47="semifinal 2",A47="3:e pris",A47="final")),"-","")</f>
      </c>
      <c r="K47" s="20"/>
      <c r="L47" s="20"/>
      <c r="AW47" s="33">
        <f t="shared" si="6"/>
        <v>0</v>
      </c>
    </row>
    <row r="48" spans="1:49" ht="18" customHeight="1">
      <c r="A48" s="40">
        <f>+IF(Vakant!AX49&gt;0,Vakant!AX49,"")</f>
      </c>
      <c r="B48" s="40"/>
      <c r="C48" s="42"/>
      <c r="D48" s="42"/>
      <c r="E48" s="42"/>
      <c r="F48" s="20">
        <f>IF(OR(A48&lt;=20,A48="semifinal 1",A48="semifinal 2",A48="3:e pris",A48="final"),(VLOOKUP(A48,Vakant!$A$10:$G$51,5,FALSE)),"")</f>
      </c>
      <c r="G48" s="21">
        <f>+IF((OR(A48&lt;=20,A48="semifinal 1",A48="semifinal 2",A48="3:e pris",A48="final")),"-","")</f>
      </c>
      <c r="H48" s="20">
        <f>+IF(OR(A48&lt;=20,A48="semifinal 1",A48="semifinal 2",A48="3:e pris",A48="final"),(VLOOKUP(A48,Vakant!$A$10:$G$51,7,FALSE)),"")</f>
      </c>
      <c r="J48" s="21">
        <f>+IF((OR(A48&lt;=20,A48="semifinal 1",A48="semifinal 2",A48="3:e pris",A48="final")),"-","")</f>
      </c>
      <c r="K48" s="20"/>
      <c r="L48" s="20"/>
      <c r="AW48" s="33"/>
    </row>
    <row r="49" spans="1:49" ht="18" customHeight="1">
      <c r="A49" s="40">
        <f>+IF(Vakant!AX50&gt;0,Vakant!AX50,"")</f>
      </c>
      <c r="B49" s="40"/>
      <c r="C49" s="42"/>
      <c r="D49" s="42"/>
      <c r="E49" s="42"/>
      <c r="F49" s="20">
        <f>IF(OR(A49&lt;=20,A49="semifinal 1",A49="semifinal 2",A49="3:e pris",A49="final"),(VLOOKUP(A49,Vakant!$A$10:$G$51,5,FALSE)),"")</f>
      </c>
      <c r="G49" s="21">
        <f>+IF((OR(A49&lt;=20,A49="semifinal 1",A49="semifinal 2",A49="3:e pris",A49="final")),"-","")</f>
      </c>
      <c r="H49" s="20">
        <f>+IF(OR(A49&lt;=20,A49="semifinal 1",A49="semifinal 2",A49="3:e pris",A49="final"),(VLOOKUP(A49,Vakant!$A$10:$G$51,7,FALSE)),"")</f>
      </c>
      <c r="J49" s="21">
        <f>+IF((OR(A49&lt;=20,A49="semifinal 1",A49="semifinal 2",A49="3:e pris",A49="final")),"-","")</f>
      </c>
      <c r="K49" s="20"/>
      <c r="L49" s="20"/>
      <c r="AW49" s="33"/>
    </row>
    <row r="50" spans="1:49" ht="18" customHeight="1">
      <c r="A50" s="40">
        <f>+IF(Vakant!AX51&gt;0,Vakant!AX51,"")</f>
      </c>
      <c r="B50" s="40"/>
      <c r="C50" s="42"/>
      <c r="D50" s="42"/>
      <c r="E50" s="42"/>
      <c r="F50" s="20">
        <f>IF(OR(A50&lt;=20,A50="semifinal 1",A50="semifinal 2",A50="3:e pris",A50="final"),(VLOOKUP(A50,Vakant!$A$10:$G$51,5,FALSE)),"")</f>
      </c>
      <c r="G50" s="21">
        <f>+IF((OR(A50&lt;=20,A50="semifinal 1",A50="semifinal 2",A50="3:e pris",A50="final")),"-","")</f>
      </c>
      <c r="H50" s="20">
        <f>+IF(OR(A50&lt;=20,A50="semifinal 1",A50="semifinal 2",A50="3:e pris",A50="final"),(VLOOKUP(A50,Vakant!$A$10:$G$51,7,FALSE)),"")</f>
      </c>
      <c r="J50" s="21">
        <f>+IF((OR(A50&lt;=20,A50="semifinal 1",A50="semifinal 2",A50="3:e pris",A50="final")),"-","")</f>
      </c>
      <c r="K50" s="20"/>
      <c r="L50" s="20"/>
      <c r="AW50" s="33"/>
    </row>
  </sheetData>
  <sheetProtection sheet="1" objects="1" scenarios="1"/>
  <mergeCells count="3">
    <mergeCell ref="I9:K9"/>
    <mergeCell ref="H43:K43"/>
    <mergeCell ref="H44:K44"/>
  </mergeCells>
  <conditionalFormatting sqref="C38:C41">
    <cfRule type="cellIs" priority="1" dxfId="2" operator="equal" stopIfTrue="1">
      <formula>$C$34</formula>
    </cfRule>
  </conditionalFormatting>
  <conditionalFormatting sqref="E10">
    <cfRule type="cellIs" priority="2" dxfId="2" operator="equal" stopIfTrue="1">
      <formula>$E$9</formula>
    </cfRule>
  </conditionalFormatting>
  <conditionalFormatting sqref="E35">
    <cfRule type="cellIs" priority="3" dxfId="2" operator="equal" stopIfTrue="1">
      <formula>$E$34</formula>
    </cfRule>
  </conditionalFormatting>
  <conditionalFormatting sqref="E12">
    <cfRule type="cellIs" priority="4" dxfId="2" operator="equal" stopIfTrue="1">
      <formula>$E$11</formula>
    </cfRule>
  </conditionalFormatting>
  <conditionalFormatting sqref="E13">
    <cfRule type="cellIs" priority="5" dxfId="2" operator="equal" stopIfTrue="1">
      <formula>$E$12</formula>
    </cfRule>
  </conditionalFormatting>
  <conditionalFormatting sqref="E14">
    <cfRule type="cellIs" priority="6" dxfId="2" operator="equal" stopIfTrue="1">
      <formula>$E$13</formula>
    </cfRule>
  </conditionalFormatting>
  <conditionalFormatting sqref="E15">
    <cfRule type="cellIs" priority="7" dxfId="2" operator="equal" stopIfTrue="1">
      <formula>$E$14</formula>
    </cfRule>
  </conditionalFormatting>
  <conditionalFormatting sqref="E16">
    <cfRule type="cellIs" priority="8" dxfId="2" operator="equal" stopIfTrue="1">
      <formula>$E$15</formula>
    </cfRule>
  </conditionalFormatting>
  <conditionalFormatting sqref="E17">
    <cfRule type="cellIs" priority="9" dxfId="2" operator="equal" stopIfTrue="1">
      <formula>$E$16</formula>
    </cfRule>
  </conditionalFormatting>
  <conditionalFormatting sqref="E18">
    <cfRule type="cellIs" priority="10" dxfId="2" operator="equal" stopIfTrue="1">
      <formula>$E$17</formula>
    </cfRule>
  </conditionalFormatting>
  <conditionalFormatting sqref="E19">
    <cfRule type="cellIs" priority="11" dxfId="2" operator="equal" stopIfTrue="1">
      <formula>$E$18</formula>
    </cfRule>
  </conditionalFormatting>
  <conditionalFormatting sqref="E20">
    <cfRule type="cellIs" priority="12" dxfId="2" operator="equal" stopIfTrue="1">
      <formula>$E$19</formula>
    </cfRule>
  </conditionalFormatting>
  <conditionalFormatting sqref="E21">
    <cfRule type="cellIs" priority="13" dxfId="2" operator="equal" stopIfTrue="1">
      <formula>$E$20</formula>
    </cfRule>
  </conditionalFormatting>
  <conditionalFormatting sqref="E22">
    <cfRule type="cellIs" priority="14" dxfId="2" operator="equal" stopIfTrue="1">
      <formula>$E$21</formula>
    </cfRule>
  </conditionalFormatting>
  <conditionalFormatting sqref="E23">
    <cfRule type="cellIs" priority="15" dxfId="2" operator="equal" stopIfTrue="1">
      <formula>$E$22</formula>
    </cfRule>
  </conditionalFormatting>
  <conditionalFormatting sqref="E24">
    <cfRule type="cellIs" priority="16" dxfId="2" operator="equal" stopIfTrue="1">
      <formula>$E$23</formula>
    </cfRule>
  </conditionalFormatting>
  <conditionalFormatting sqref="E25">
    <cfRule type="cellIs" priority="17" dxfId="2" operator="equal" stopIfTrue="1">
      <formula>$E$24</formula>
    </cfRule>
  </conditionalFormatting>
  <conditionalFormatting sqref="E26">
    <cfRule type="cellIs" priority="18" dxfId="2" operator="equal" stopIfTrue="1">
      <formula>$E$25</formula>
    </cfRule>
  </conditionalFormatting>
  <conditionalFormatting sqref="E27">
    <cfRule type="cellIs" priority="19" dxfId="2" operator="equal" stopIfTrue="1">
      <formula>$E$26</formula>
    </cfRule>
  </conditionalFormatting>
  <conditionalFormatting sqref="E28">
    <cfRule type="cellIs" priority="20" dxfId="2" operator="equal" stopIfTrue="1">
      <formula>$E$27</formula>
    </cfRule>
  </conditionalFormatting>
  <conditionalFormatting sqref="E29">
    <cfRule type="cellIs" priority="21" dxfId="2" operator="equal" stopIfTrue="1">
      <formula>$E$28</formula>
    </cfRule>
  </conditionalFormatting>
  <conditionalFormatting sqref="E32">
    <cfRule type="cellIs" priority="22" dxfId="2" operator="equal" stopIfTrue="1">
      <formula>$E$31</formula>
    </cfRule>
  </conditionalFormatting>
  <conditionalFormatting sqref="E33">
    <cfRule type="cellIs" priority="23" dxfId="2" operator="equal" stopIfTrue="1">
      <formula>$E$32</formula>
    </cfRule>
  </conditionalFormatting>
  <conditionalFormatting sqref="E34">
    <cfRule type="cellIs" priority="24" dxfId="2" operator="equal" stopIfTrue="1">
      <formula>$E$33</formula>
    </cfRule>
  </conditionalFormatting>
  <conditionalFormatting sqref="C10">
    <cfRule type="cellIs" priority="25" dxfId="2" operator="equal" stopIfTrue="1">
      <formula>$C$9</formula>
    </cfRule>
  </conditionalFormatting>
  <conditionalFormatting sqref="E30:E31">
    <cfRule type="cellIs" priority="26" dxfId="2" operator="equal" stopIfTrue="1">
      <formula>$E$29</formula>
    </cfRule>
  </conditionalFormatting>
  <conditionalFormatting sqref="C34">
    <cfRule type="expression" priority="27" dxfId="2" stopIfTrue="1">
      <formula>$C$33</formula>
    </cfRule>
  </conditionalFormatting>
  <conditionalFormatting sqref="C35">
    <cfRule type="expression" priority="28" dxfId="2" stopIfTrue="1">
      <formula>"$C$34"</formula>
    </cfRule>
  </conditionalFormatting>
  <conditionalFormatting sqref="C36">
    <cfRule type="expression" priority="29" dxfId="2" stopIfTrue="1">
      <formula>$C$35</formula>
    </cfRule>
  </conditionalFormatting>
  <conditionalFormatting sqref="C37">
    <cfRule type="expression" priority="30" dxfId="2" stopIfTrue="1">
      <formula>$C$36</formula>
    </cfRule>
  </conditionalFormatting>
  <conditionalFormatting sqref="E36">
    <cfRule type="expression" priority="31" dxfId="2" stopIfTrue="1">
      <formula>$E$35</formula>
    </cfRule>
  </conditionalFormatting>
  <conditionalFormatting sqref="A10:A37">
    <cfRule type="cellIs" priority="32" dxfId="2" operator="equal" stopIfTrue="1">
      <formula>0</formula>
    </cfRule>
  </conditionalFormatting>
  <conditionalFormatting sqref="C11">
    <cfRule type="cellIs" priority="33" dxfId="2" operator="equal" stopIfTrue="1">
      <formula>$C$10</formula>
    </cfRule>
  </conditionalFormatting>
  <conditionalFormatting sqref="C14">
    <cfRule type="cellIs" priority="34" dxfId="2" operator="equal" stopIfTrue="1">
      <formula>"$C$13"</formula>
    </cfRule>
  </conditionalFormatting>
  <conditionalFormatting sqref="C15">
    <cfRule type="cellIs" priority="35" dxfId="2" operator="equal" stopIfTrue="1">
      <formula>"$C$14"</formula>
    </cfRule>
  </conditionalFormatting>
  <conditionalFormatting sqref="C16">
    <cfRule type="cellIs" priority="36" dxfId="2" operator="equal" stopIfTrue="1">
      <formula>"$C$15"</formula>
    </cfRule>
  </conditionalFormatting>
  <conditionalFormatting sqref="C24">
    <cfRule type="cellIs" priority="37" dxfId="2" operator="equal" stopIfTrue="1">
      <formula>"$C$23"</formula>
    </cfRule>
  </conditionalFormatting>
  <conditionalFormatting sqref="C25">
    <cfRule type="cellIs" priority="38" dxfId="2" operator="equal" stopIfTrue="1">
      <formula>"$C$24"</formula>
    </cfRule>
  </conditionalFormatting>
  <conditionalFormatting sqref="C26">
    <cfRule type="cellIs" priority="39" dxfId="2" operator="equal" stopIfTrue="1">
      <formula>"$C$25"</formula>
    </cfRule>
  </conditionalFormatting>
  <conditionalFormatting sqref="C27">
    <cfRule type="cellIs" priority="40" dxfId="2" operator="equal" stopIfTrue="1">
      <formula>"$C$26"</formula>
    </cfRule>
  </conditionalFormatting>
  <conditionalFormatting sqref="C28">
    <cfRule type="cellIs" priority="41" dxfId="2" operator="equal" stopIfTrue="1">
      <formula>"$C$27"</formula>
    </cfRule>
  </conditionalFormatting>
  <conditionalFormatting sqref="C29">
    <cfRule type="cellIs" priority="42" dxfId="2" operator="equal" stopIfTrue="1">
      <formula>"$C$28"</formula>
    </cfRule>
  </conditionalFormatting>
  <conditionalFormatting sqref="C30">
    <cfRule type="cellIs" priority="43" dxfId="2" operator="equal" stopIfTrue="1">
      <formula>"$C$29"</formula>
    </cfRule>
  </conditionalFormatting>
  <conditionalFormatting sqref="C32">
    <cfRule type="cellIs" priority="44" dxfId="2" operator="equal" stopIfTrue="1">
      <formula>"$C$31"</formula>
    </cfRule>
  </conditionalFormatting>
  <conditionalFormatting sqref="C33">
    <cfRule type="cellIs" priority="45" dxfId="2" operator="equal" stopIfTrue="1">
      <formula>"$C$32"</formula>
    </cfRule>
  </conditionalFormatting>
  <conditionalFormatting sqref="C20">
    <cfRule type="cellIs" priority="46" dxfId="2" operator="equal" stopIfTrue="1">
      <formula>$C$19</formula>
    </cfRule>
  </conditionalFormatting>
  <conditionalFormatting sqref="C21">
    <cfRule type="cellIs" priority="47" dxfId="2" operator="equal" stopIfTrue="1">
      <formula>$C$20</formula>
    </cfRule>
  </conditionalFormatting>
  <conditionalFormatting sqref="C22">
    <cfRule type="cellIs" priority="48" dxfId="2" operator="equal" stopIfTrue="1">
      <formula>$C$21</formula>
    </cfRule>
  </conditionalFormatting>
  <conditionalFormatting sqref="C23">
    <cfRule type="cellIs" priority="49" dxfId="2" operator="equal" stopIfTrue="1">
      <formula>$C$22</formula>
    </cfRule>
  </conditionalFormatting>
  <conditionalFormatting sqref="C12">
    <cfRule type="cellIs" priority="50" dxfId="2" operator="equal" stopIfTrue="1">
      <formula>$C$11</formula>
    </cfRule>
  </conditionalFormatting>
  <conditionalFormatting sqref="C13">
    <cfRule type="cellIs" priority="51" dxfId="2" operator="equal" stopIfTrue="1">
      <formula>$C$12</formula>
    </cfRule>
  </conditionalFormatting>
  <conditionalFormatting sqref="C17">
    <cfRule type="cellIs" priority="52" dxfId="2" operator="equal" stopIfTrue="1">
      <formula>$C$16</formula>
    </cfRule>
  </conditionalFormatting>
  <conditionalFormatting sqref="C19">
    <cfRule type="cellIs" priority="53" dxfId="2" operator="equal" stopIfTrue="1">
      <formula>$C$18</formula>
    </cfRule>
  </conditionalFormatting>
  <conditionalFormatting sqref="C18">
    <cfRule type="cellIs" priority="54" dxfId="2" operator="equal" stopIfTrue="1">
      <formula>$C$17</formula>
    </cfRule>
  </conditionalFormatting>
  <conditionalFormatting sqref="C31">
    <cfRule type="cellIs" priority="55" dxfId="2" operator="equal" stopIfTrue="1">
      <formula>$C$30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/>
  <headerFooter alignWithMargins="0">
    <oddHeader>&amp;C&amp;24&amp;E&amp;F</oddHeader>
    <oddFooter>&amp;R&amp;8&amp;D Carola Sääski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Familjen Sääski</dc:creator>
  <cp:keywords/>
  <dc:description/>
  <cp:lastModifiedBy>fashionweek</cp:lastModifiedBy>
  <cp:lastPrinted>2009-09-20T14:43:48Z</cp:lastPrinted>
  <dcterms:created xsi:type="dcterms:W3CDTF">2007-12-09T13:46:53Z</dcterms:created>
  <dcterms:modified xsi:type="dcterms:W3CDTF">2010-10-31T11:07:52Z</dcterms:modified>
  <cp:category/>
  <cp:version/>
  <cp:contentType/>
  <cp:contentStatus/>
</cp:coreProperties>
</file>