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05"/>
  <workbookPr/>
  <mc:AlternateContent xmlns:mc="http://schemas.openxmlformats.org/markup-compatibility/2006">
    <mc:Choice Requires="x15">
      <x15ac:absPath xmlns:x15ac="http://schemas.microsoft.com/office/spreadsheetml/2010/11/ac" url="C:\Users\lin17nyl\OneDrive - Sundsvalls kommun\Mina dokument\Privat\Övrigt\"/>
    </mc:Choice>
  </mc:AlternateContent>
  <xr:revisionPtr revIDLastSave="0" documentId="8_{CD7D5749-1E26-4146-934B-DFE4505A96A0}" xr6:coauthVersionLast="47" xr6:coauthVersionMax="47" xr10:uidLastSave="{00000000-0000-0000-0000-000000000000}"/>
  <bookViews>
    <workbookView xWindow="0" yWindow="0" windowWidth="28800" windowHeight="14100" firstSheet="3" activeTab="2" xr2:uid="{00000000-000D-0000-FFFF-FFFF00000000}"/>
  </bookViews>
  <sheets>
    <sheet name="2021" sheetId="1" r:id="rId1"/>
    <sheet name="2023-2025" sheetId="2" r:id="rId2"/>
    <sheet name="2025" sheetId="3" r:id="rId3"/>
    <sheet name="2026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" i="4" l="1"/>
  <c r="F58" i="4"/>
  <c r="C58" i="4"/>
  <c r="O42" i="4"/>
  <c r="N42" i="4"/>
  <c r="O36" i="4"/>
  <c r="O35" i="4"/>
  <c r="O33" i="4"/>
  <c r="O32" i="4"/>
  <c r="N35" i="4"/>
  <c r="N34" i="4"/>
  <c r="N33" i="4"/>
  <c r="N32" i="4"/>
  <c r="O29" i="4"/>
  <c r="N29" i="4"/>
  <c r="O24" i="4"/>
  <c r="N24" i="4"/>
  <c r="N23" i="4"/>
  <c r="O15" i="4"/>
  <c r="O14" i="4"/>
  <c r="O12" i="4"/>
  <c r="N9" i="4"/>
  <c r="F49" i="4"/>
  <c r="C49" i="4"/>
  <c r="C48" i="4"/>
  <c r="C46" i="4"/>
  <c r="C45" i="4"/>
  <c r="I38" i="4"/>
  <c r="O28" i="4" s="1"/>
  <c r="I36" i="4"/>
  <c r="O23" i="4" s="1"/>
  <c r="I29" i="4"/>
  <c r="O19" i="4" s="1"/>
  <c r="I27" i="4"/>
  <c r="O34" i="4" s="1"/>
  <c r="F41" i="4"/>
  <c r="C38" i="4"/>
  <c r="C37" i="4"/>
  <c r="C35" i="4"/>
  <c r="O25" i="4"/>
  <c r="N43" i="4"/>
  <c r="N44" i="4" s="1"/>
  <c r="O43" i="4"/>
  <c r="O20" i="4"/>
  <c r="O16" i="4"/>
  <c r="O9" i="4"/>
  <c r="I17" i="4"/>
  <c r="O8" i="4"/>
  <c r="O6" i="4"/>
  <c r="O17" i="4"/>
  <c r="I50" i="4"/>
  <c r="O26" i="4"/>
  <c r="O30" i="4"/>
  <c r="I16" i="4"/>
  <c r="H20" i="3"/>
  <c r="G37" i="4"/>
  <c r="G36" i="4"/>
  <c r="G35" i="4"/>
  <c r="G34" i="4"/>
  <c r="G33" i="4"/>
  <c r="G32" i="4"/>
  <c r="G31" i="4"/>
  <c r="G30" i="4"/>
  <c r="G29" i="4"/>
  <c r="G28" i="4"/>
  <c r="G27" i="4"/>
  <c r="G56" i="4"/>
  <c r="G55" i="4"/>
  <c r="G48" i="4"/>
  <c r="G47" i="4"/>
  <c r="G46" i="4"/>
  <c r="G45" i="4"/>
  <c r="G40" i="4"/>
  <c r="G39" i="4"/>
  <c r="G38" i="4"/>
  <c r="G21" i="4"/>
  <c r="G20" i="4"/>
  <c r="G19" i="4"/>
  <c r="G18" i="4"/>
  <c r="G16" i="4"/>
  <c r="G14" i="4"/>
  <c r="G12" i="4"/>
  <c r="G11" i="4"/>
  <c r="G10" i="4"/>
  <c r="G7" i="4"/>
  <c r="G6" i="4"/>
  <c r="D50" i="4"/>
  <c r="D42" i="4"/>
  <c r="N25" i="4"/>
  <c r="F22" i="4"/>
  <c r="N36" i="4" s="1"/>
  <c r="D22" i="4"/>
  <c r="C22" i="4"/>
  <c r="N26" i="4"/>
  <c r="N20" i="4"/>
  <c r="N19" i="4"/>
  <c r="N21" i="4" s="1"/>
  <c r="F17" i="4"/>
  <c r="G17" i="4" s="1"/>
  <c r="C17" i="4"/>
  <c r="D15" i="4"/>
  <c r="G15" i="4" s="1"/>
  <c r="N16" i="4"/>
  <c r="N15" i="4"/>
  <c r="F13" i="4"/>
  <c r="N28" i="4" s="1"/>
  <c r="N14" i="4"/>
  <c r="C12" i="4"/>
  <c r="N13" i="4"/>
  <c r="F9" i="4"/>
  <c r="D8" i="4"/>
  <c r="N8" i="4"/>
  <c r="N7" i="4"/>
  <c r="N6" i="4"/>
  <c r="P27" i="3"/>
  <c r="E17" i="3"/>
  <c r="E13" i="3"/>
  <c r="P4" i="3"/>
  <c r="P17" i="3"/>
  <c r="P12" i="3"/>
  <c r="P13" i="3"/>
  <c r="P14" i="3"/>
  <c r="P11" i="3"/>
  <c r="P18" i="3"/>
  <c r="P7" i="3"/>
  <c r="P22" i="3"/>
  <c r="P33" i="3"/>
  <c r="P31" i="3"/>
  <c r="P30" i="3"/>
  <c r="P5" i="3"/>
  <c r="P23" i="3"/>
  <c r="P21" i="3"/>
  <c r="P24" i="3" s="1"/>
  <c r="P32" i="3"/>
  <c r="P26" i="3"/>
  <c r="P28" i="3" s="1"/>
  <c r="E49" i="3"/>
  <c r="C50" i="3"/>
  <c r="E50" i="3"/>
  <c r="E41" i="3"/>
  <c r="E42" i="3"/>
  <c r="C42" i="3"/>
  <c r="E22" i="3"/>
  <c r="P34" i="3" s="1"/>
  <c r="P6" i="3"/>
  <c r="E9" i="3"/>
  <c r="P10" i="3" s="1"/>
  <c r="P15" i="3" s="1"/>
  <c r="B12" i="3"/>
  <c r="B49" i="3"/>
  <c r="B48" i="3"/>
  <c r="B46" i="3"/>
  <c r="B45" i="3"/>
  <c r="B50" i="3" s="1"/>
  <c r="B38" i="3"/>
  <c r="B37" i="3"/>
  <c r="B35" i="3"/>
  <c r="C22" i="3"/>
  <c r="B22" i="3"/>
  <c r="C15" i="3"/>
  <c r="B17" i="3"/>
  <c r="B23" i="3"/>
  <c r="C8" i="3"/>
  <c r="C23" i="3" s="1"/>
  <c r="F48" i="2"/>
  <c r="F43" i="2"/>
  <c r="F40" i="2"/>
  <c r="F39" i="2"/>
  <c r="E30" i="2"/>
  <c r="E31" i="2"/>
  <c r="E28" i="2"/>
  <c r="F16" i="2"/>
  <c r="F13" i="2"/>
  <c r="F8" i="2"/>
  <c r="F17" i="2" s="1"/>
  <c r="E34" i="2"/>
  <c r="C39" i="2"/>
  <c r="E38" i="2"/>
  <c r="E37" i="2"/>
  <c r="E35" i="2"/>
  <c r="E39" i="2" s="1"/>
  <c r="E16" i="2"/>
  <c r="E11" i="2"/>
  <c r="E10" i="2"/>
  <c r="E17" i="2" s="1"/>
  <c r="C13" i="2"/>
  <c r="C8" i="2"/>
  <c r="C16" i="2"/>
  <c r="C11" i="2"/>
  <c r="B30" i="2"/>
  <c r="B11" i="2"/>
  <c r="B16" i="2"/>
  <c r="B10" i="2"/>
  <c r="B17" i="2"/>
  <c r="C17" i="2"/>
  <c r="G9" i="4" l="1"/>
  <c r="N12" i="4"/>
  <c r="O44" i="4"/>
  <c r="N37" i="4"/>
  <c r="O37" i="4"/>
  <c r="O7" i="4"/>
  <c r="O10" i="4" s="1"/>
  <c r="I23" i="4"/>
  <c r="O21" i="4"/>
  <c r="I42" i="4"/>
  <c r="I51" i="4"/>
  <c r="C23" i="4"/>
  <c r="C42" i="4"/>
  <c r="C50" i="4"/>
  <c r="D23" i="4"/>
  <c r="G8" i="4"/>
  <c r="N30" i="4"/>
  <c r="G13" i="4"/>
  <c r="G22" i="4"/>
  <c r="F42" i="4"/>
  <c r="G42" i="4" s="1"/>
  <c r="G41" i="4"/>
  <c r="F50" i="4"/>
  <c r="G49" i="4"/>
  <c r="G23" i="4"/>
  <c r="N10" i="4"/>
  <c r="F23" i="4"/>
  <c r="N17" i="4"/>
  <c r="C51" i="4"/>
  <c r="D51" i="4"/>
  <c r="D53" i="4" s="1"/>
  <c r="D58" i="4" s="1"/>
  <c r="Y4" i="3"/>
  <c r="X4" i="3"/>
  <c r="W4" i="3"/>
  <c r="P36" i="3"/>
  <c r="P8" i="3"/>
  <c r="P19" i="3"/>
  <c r="E23" i="3"/>
  <c r="E51" i="3"/>
  <c r="E53" i="3" s="1"/>
  <c r="E56" i="3" s="1"/>
  <c r="E60" i="3" s="1"/>
  <c r="C51" i="3"/>
  <c r="C53" i="3" s="1"/>
  <c r="C56" i="3" s="1"/>
  <c r="C60" i="3" s="1"/>
  <c r="B42" i="3"/>
  <c r="C40" i="2"/>
  <c r="C43" i="2" s="1"/>
  <c r="E40" i="2"/>
  <c r="E43" i="2" s="1"/>
  <c r="E48" i="2" s="1"/>
  <c r="C48" i="2"/>
  <c r="B39" i="2"/>
  <c r="E31" i="1"/>
  <c r="E12" i="1"/>
  <c r="E16" i="1" s="1"/>
  <c r="E32" i="1" s="1"/>
  <c r="E34" i="1" s="1"/>
  <c r="E36" i="1" s="1"/>
  <c r="E38" i="1" s="1"/>
  <c r="B31" i="1"/>
  <c r="B32" i="1" s="1"/>
  <c r="B34" i="1" s="1"/>
  <c r="B36" i="1" s="1"/>
  <c r="B38" i="1" s="1"/>
  <c r="C31" i="1"/>
  <c r="C32" i="1" s="1"/>
  <c r="C34" i="1" s="1"/>
  <c r="C36" i="1" s="1"/>
  <c r="C38" i="1" s="1"/>
  <c r="D29" i="1"/>
  <c r="D28" i="1"/>
  <c r="D25" i="1"/>
  <c r="D24" i="1"/>
  <c r="D23" i="1"/>
  <c r="D22" i="1"/>
  <c r="D21" i="1"/>
  <c r="D15" i="1"/>
  <c r="D16" i="1" s="1"/>
  <c r="C53" i="4" l="1"/>
  <c r="I53" i="4"/>
  <c r="N39" i="4"/>
  <c r="N45" i="4" s="1"/>
  <c r="O39" i="4"/>
  <c r="O45" i="4" s="1"/>
  <c r="O51" i="4"/>
  <c r="O54" i="4" s="1"/>
  <c r="F51" i="4"/>
  <c r="F53" i="4" s="1"/>
  <c r="G50" i="4"/>
  <c r="P38" i="3"/>
  <c r="B51" i="3"/>
  <c r="B53" i="3" s="1"/>
  <c r="B56" i="3" s="1"/>
  <c r="B60" i="3" s="1"/>
  <c r="B40" i="2"/>
  <c r="B43" i="2" s="1"/>
  <c r="B48" i="2" s="1"/>
  <c r="D31" i="1"/>
  <c r="D32" i="1" s="1"/>
  <c r="D34" i="1" s="1"/>
  <c r="D36" i="1" s="1"/>
  <c r="D38" i="1" s="1"/>
  <c r="G51" i="4" l="1"/>
  <c r="G53" i="4" l="1"/>
  <c r="G58" i="4" l="1"/>
</calcChain>
</file>

<file path=xl/sharedStrings.xml><?xml version="1.0" encoding="utf-8"?>
<sst xmlns="http://schemas.openxmlformats.org/spreadsheetml/2006/main" count="378" uniqueCount="176">
  <si>
    <t>Selånger SOK</t>
  </si>
  <si>
    <t>Budget 2020</t>
  </si>
  <si>
    <t xml:space="preserve">Utfall </t>
  </si>
  <si>
    <t>Utfall</t>
  </si>
  <si>
    <t>Budget</t>
  </si>
  <si>
    <t>Kommentar</t>
  </si>
  <si>
    <t>Intäkter</t>
  </si>
  <si>
    <t>Medlemsavgifter</t>
  </si>
  <si>
    <t>Höjning av medlemsavgiften nästa år, räknade på ca 30% höjning</t>
  </si>
  <si>
    <t>Selånger marknad</t>
  </si>
  <si>
    <t>Skid och orienteringsarrangemang</t>
  </si>
  <si>
    <t>Orienteringsarrangemang</t>
  </si>
  <si>
    <t>Skidarrangemang</t>
  </si>
  <si>
    <t>Skidorienteringsarrangemang</t>
  </si>
  <si>
    <t>Bidrag</t>
  </si>
  <si>
    <t>53200kr av kommunen, förhoppningsvis 26500 kr i kartbidrag</t>
  </si>
  <si>
    <t>Uthyrning hulistugan</t>
  </si>
  <si>
    <t>Hulistugan cafe</t>
  </si>
  <si>
    <t>Övriga intäkter</t>
  </si>
  <si>
    <t>Alla sponsoravtal har löpt ut, så vi behöver jobba på nya, ca 20000kr på newbody och ullmax 2020</t>
  </si>
  <si>
    <t>Summa intäkter</t>
  </si>
  <si>
    <t>Inköp kläder</t>
  </si>
  <si>
    <t>Inköp hulicafe</t>
  </si>
  <si>
    <t>Tävlingsavgifter</t>
  </si>
  <si>
    <t>Idrottsverksamhet orientering</t>
  </si>
  <si>
    <t>Idrottsverksamhet skidor</t>
  </si>
  <si>
    <t>Idrottsverkamhet skidorientering</t>
  </si>
  <si>
    <t>Övrig kostnad idrottsverksamhet</t>
  </si>
  <si>
    <t>Fastighetskostnader</t>
  </si>
  <si>
    <t>Kostnad skoter</t>
  </si>
  <si>
    <t>Försäkringar</t>
  </si>
  <si>
    <t>Övriga förbrukningsinventarier</t>
  </si>
  <si>
    <t>Övriga externa tjänster</t>
  </si>
  <si>
    <t>Övriga kostnader</t>
  </si>
  <si>
    <t>Summa kostnader</t>
  </si>
  <si>
    <t>Avskrivningar</t>
  </si>
  <si>
    <t>Rörelseresultat</t>
  </si>
  <si>
    <t>Redovisat resultat</t>
  </si>
  <si>
    <t>Investeringar</t>
  </si>
  <si>
    <t>Resultat efter investeringar</t>
  </si>
  <si>
    <t>Budget 2025</t>
  </si>
  <si>
    <t>Medlemsavgiften höjdes, vi har fått in 65000 fram till 230311</t>
  </si>
  <si>
    <t>Fler medlemmar</t>
  </si>
  <si>
    <t>TDM, RTTH, Fyrsprinten</t>
  </si>
  <si>
    <t>Fler tävlingar 2025</t>
  </si>
  <si>
    <t>St olofsrännet 26840 fakt, 23000 hulicafé Sankt Olof</t>
  </si>
  <si>
    <t>Fakturerade åkare, sponsor Sankt Olof och försäljning</t>
  </si>
  <si>
    <t>SkidOL arrangemang</t>
  </si>
  <si>
    <t>Lägeravgift</t>
  </si>
  <si>
    <t>Läger och 25-manna</t>
  </si>
  <si>
    <t>Anläggningsbidrag på 54500kr, 6297 aktivitetsbidrag , dusch MOF, verksamhetsbidrag, LOK</t>
  </si>
  <si>
    <t>Anläggningsbidrag 60700 kr</t>
  </si>
  <si>
    <t>Vi har höjt hyran</t>
  </si>
  <si>
    <t>23000 sankt olof, 8720 sundsvallsloppet, ca 28000 kr fram till 230311</t>
  </si>
  <si>
    <t>Sålt i Hulicafé tom 250311 42500 kr (utan Sankt olof)</t>
  </si>
  <si>
    <t>Selånger Marknad</t>
  </si>
  <si>
    <t>Vi får ersättning för antal timmar, ska vi fortsätta med det</t>
  </si>
  <si>
    <t>Försäljning kläder</t>
  </si>
  <si>
    <t>50000 kr Sundsvallsloppet, sponsring, hällomsloppet</t>
  </si>
  <si>
    <t>Sundsvallsloppet, hällomsloppet, sponsring, försäljning Ullmax</t>
  </si>
  <si>
    <t>Rörelsens kostnader</t>
  </si>
  <si>
    <t>Vi behöver se över subventioneringen av kläder</t>
  </si>
  <si>
    <t>Inköp material och utrustning</t>
  </si>
  <si>
    <t>2024 hade vi en kostnad för inköp av nummerlappar</t>
  </si>
  <si>
    <t>Tävlingsavgifter skidor</t>
  </si>
  <si>
    <t>Tävlingsavgifter orientering</t>
  </si>
  <si>
    <t>Tävlingsavgifter skidOL</t>
  </si>
  <si>
    <t>Kostnader tävling skidor</t>
  </si>
  <si>
    <t>Pokaler, avgifter etc</t>
  </si>
  <si>
    <t>Kostnader tävling orientering</t>
  </si>
  <si>
    <t>Karttryck, tävlingsagift SOFT etc</t>
  </si>
  <si>
    <t>Läger Bruksvallarna, Spårknappar, skidförbundet etc</t>
  </si>
  <si>
    <t>2024 köpte vi in utrustning till träningar och tävlingar</t>
  </si>
  <si>
    <t>Lägerkostnad skidor</t>
  </si>
  <si>
    <t>Årsavgift SOFT, licens OCAD, skärmar, batteri sportident, inköp läger, 25-manna</t>
  </si>
  <si>
    <t>2024 köpte vi in startklocka</t>
  </si>
  <si>
    <t>Kostnad 25-manna</t>
  </si>
  <si>
    <t>Utbildning etc</t>
  </si>
  <si>
    <t>Övriga externa kostnader</t>
  </si>
  <si>
    <t>El, vatten, sophantering, underhåll av lokaler</t>
  </si>
  <si>
    <t>Lägre elhandelskostnad men högre nätkostnad</t>
  </si>
  <si>
    <t>Skoterkostnader</t>
  </si>
  <si>
    <t>Försäkring, bränsle, reparationer</t>
  </si>
  <si>
    <t>Summa</t>
  </si>
  <si>
    <t>Mycket är redan avskrivet</t>
  </si>
  <si>
    <t>Räntekostnader</t>
  </si>
  <si>
    <t>Ränteintäkter</t>
  </si>
  <si>
    <t>Projektredovisning</t>
  </si>
  <si>
    <t>Resultat</t>
  </si>
  <si>
    <t>Enskild kr</t>
  </si>
  <si>
    <t>Familj kr</t>
  </si>
  <si>
    <t>Snitt?</t>
  </si>
  <si>
    <t>Antal medlemmar?</t>
  </si>
  <si>
    <t>Konto</t>
  </si>
  <si>
    <t>Sponsring</t>
  </si>
  <si>
    <t>Utbildning</t>
  </si>
  <si>
    <t>St. Olof skidtävling</t>
  </si>
  <si>
    <t>Övriga skidtävlingar</t>
  </si>
  <si>
    <t>Sundsvallsloppet</t>
  </si>
  <si>
    <t>St. Olofsloppet</t>
  </si>
  <si>
    <t>Lägeravgift skidor</t>
  </si>
  <si>
    <t>OL tävlingar</t>
  </si>
  <si>
    <t>25manna</t>
  </si>
  <si>
    <t>SkidO DM</t>
  </si>
  <si>
    <t>Hällomsloppet</t>
  </si>
  <si>
    <t>Sponsring &amp; samarbetsavtal</t>
  </si>
  <si>
    <t>-</t>
  </si>
  <si>
    <t>Övriga bidrag</t>
  </si>
  <si>
    <t>Anläggningsbidrag 67 tkr, LOK 17 tkr, kartbidrag 5 tkr, övriga</t>
  </si>
  <si>
    <t>Hulicafé  (netto)</t>
  </si>
  <si>
    <t>ca. 45 % marginal</t>
  </si>
  <si>
    <t>Uthyrning Huli</t>
  </si>
  <si>
    <t>Newbody &amp; Ullmax</t>
  </si>
  <si>
    <t>Medelpadsskidan</t>
  </si>
  <si>
    <t>Läger skidor</t>
  </si>
  <si>
    <t>Övriga skidkostnader</t>
  </si>
  <si>
    <t>Övriga orienteringskostnader</t>
  </si>
  <si>
    <t>Fastighet</t>
  </si>
  <si>
    <t>Skoter</t>
  </si>
  <si>
    <t>Kläder</t>
  </si>
  <si>
    <t>Primärt st. olofsrännet</t>
  </si>
  <si>
    <t>sannolikt del till DM</t>
  </si>
  <si>
    <t>Övrigt</t>
  </si>
  <si>
    <t>Kartframställning</t>
  </si>
  <si>
    <t>Banksaldo</t>
  </si>
  <si>
    <t>Summa rörelsekostnader</t>
  </si>
  <si>
    <t>not: dåligt placerade!</t>
  </si>
  <si>
    <t>Lampor belysningsstolpar 25 tkr</t>
  </si>
  <si>
    <t>vattentermosar 8 tkr</t>
  </si>
  <si>
    <t>Fortnox, Telia, Laget.se</t>
  </si>
  <si>
    <t>Summa övriga externa kostnader</t>
  </si>
  <si>
    <t>Resultat innan avskrivningar</t>
  </si>
  <si>
    <t>Utfall-budget</t>
  </si>
  <si>
    <t>Resultaträkning</t>
  </si>
  <si>
    <t>ca. 400 medlemmar</t>
  </si>
  <si>
    <t>SCA, Eurocon, Coop Nord</t>
  </si>
  <si>
    <t>Anläggningsbidrag, LOK-stöd, övrigt</t>
  </si>
  <si>
    <t>anmälningsavg., parkering</t>
  </si>
  <si>
    <t>DM?</t>
  </si>
  <si>
    <t>Tävlingar</t>
  </si>
  <si>
    <t>exkl. Hulicafé (ca. 30 tkr vinst)</t>
  </si>
  <si>
    <t>Hällomsloppet/traillopp</t>
  </si>
  <si>
    <t xml:space="preserve">3910, 3950, 3960, 3980, 3990, </t>
  </si>
  <si>
    <t>Anläggnignsbidrag, LOK-stöd, övrigt</t>
  </si>
  <si>
    <t>Hulistugan</t>
  </si>
  <si>
    <t>Hulicafé</t>
  </si>
  <si>
    <t>ca. 50 % marginal</t>
  </si>
  <si>
    <t xml:space="preserve">Traillopp </t>
  </si>
  <si>
    <t>Skidsektionen</t>
  </si>
  <si>
    <t>Tävlingsavgifter, övrigt</t>
  </si>
  <si>
    <t>+-0</t>
  </si>
  <si>
    <t>Orienteringssektionen</t>
  </si>
  <si>
    <t>50% marginal</t>
  </si>
  <si>
    <t>Rörelsekostnader</t>
  </si>
  <si>
    <t>El, reparation och underhåll. Täcks delvis utav anläggningsbidrag</t>
  </si>
  <si>
    <t>Kostnader tävling skidor (St. Olof)</t>
  </si>
  <si>
    <t>Pokal/medalj, bensin, övrigt</t>
  </si>
  <si>
    <t>Driftkostnad</t>
  </si>
  <si>
    <t>Vinst från försäljning läggs på subventionering</t>
  </si>
  <si>
    <t>2x avg.</t>
  </si>
  <si>
    <t>Förbrukningsinventarier,bankkostnad, bokföring, internet</t>
  </si>
  <si>
    <t>Resultat innan avskrivningar och räntor</t>
  </si>
  <si>
    <t>Avskrivningar och räntor</t>
  </si>
  <si>
    <t>Räntekostnad/intäkt</t>
  </si>
  <si>
    <t>5020, 5060, 5070, 5090</t>
  </si>
  <si>
    <t>Kassaflöde 2026</t>
  </si>
  <si>
    <t>6110, 6230, 6300, 6570, 6990</t>
  </si>
  <si>
    <t>Banksaldo 2026-01-01</t>
  </si>
  <si>
    <t>Inköp skoter</t>
  </si>
  <si>
    <t>Resultat exkl. avskrivningar</t>
  </si>
  <si>
    <t>Sekretariatsvagn</t>
  </si>
  <si>
    <t>??</t>
  </si>
  <si>
    <t>Underhåll Hulistugan</t>
  </si>
  <si>
    <t>Banksaldo 2026-12-31</t>
  </si>
  <si>
    <t>7821, 7832, 7834, 7838</t>
  </si>
  <si>
    <t>Ingen medelpadsskida, lägre intäkter St. Olof vs. Sundsvallsloppet, lägre intäkter Hällsomsloppet/traillopp.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</si>
</sst>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16" fontId="4" fillId="0" borderId="0" xfId="0" applyNumberFormat="1" applyFont="1"/>
    <xf numFmtId="3" fontId="3" fillId="0" borderId="0" xfId="0" applyNumberFormat="1" applyFont="1"/>
    <xf numFmtId="3" fontId="4" fillId="0" borderId="0" xfId="0" applyNumberFormat="1" applyFont="1"/>
    <xf numFmtId="43" fontId="3" fillId="0" borderId="0" xfId="1" applyFont="1"/>
    <xf numFmtId="43" fontId="4" fillId="0" borderId="0" xfId="1" applyFont="1"/>
    <xf numFmtId="164" fontId="3" fillId="0" borderId="0" xfId="1" applyNumberFormat="1" applyFont="1"/>
    <xf numFmtId="164" fontId="4" fillId="0" borderId="0" xfId="1" applyNumberFormat="1" applyFont="1"/>
    <xf numFmtId="0" fontId="4" fillId="0" borderId="0" xfId="0" applyFont="1" applyAlignment="1">
      <alignment horizontal="left"/>
    </xf>
    <xf numFmtId="3" fontId="3" fillId="0" borderId="0" xfId="1" applyNumberFormat="1" applyFont="1"/>
    <xf numFmtId="3" fontId="4" fillId="0" borderId="0" xfId="1" applyNumberFormat="1" applyFont="1"/>
    <xf numFmtId="0" fontId="5" fillId="0" borderId="0" xfId="0" applyFont="1"/>
    <xf numFmtId="0" fontId="5" fillId="0" borderId="0" xfId="0" applyFont="1" applyAlignment="1">
      <alignment horizontal="right"/>
    </xf>
    <xf numFmtId="3" fontId="3" fillId="0" borderId="0" xfId="1" applyNumberFormat="1" applyFont="1" applyAlignment="1"/>
    <xf numFmtId="9" fontId="0" fillId="0" borderId="0" xfId="0" applyNumberFormat="1"/>
    <xf numFmtId="3" fontId="0" fillId="0" borderId="0" xfId="0" applyNumberFormat="1"/>
    <xf numFmtId="0" fontId="6" fillId="0" borderId="0" xfId="0" applyFont="1"/>
    <xf numFmtId="3" fontId="0" fillId="0" borderId="0" xfId="1" applyNumberFormat="1" applyFont="1"/>
    <xf numFmtId="0" fontId="4" fillId="2" borderId="0" xfId="0" applyFont="1" applyFill="1"/>
    <xf numFmtId="0" fontId="0" fillId="2" borderId="0" xfId="0" applyFill="1"/>
    <xf numFmtId="0" fontId="4" fillId="2" borderId="1" xfId="0" applyFont="1" applyFill="1" applyBorder="1"/>
    <xf numFmtId="3" fontId="4" fillId="2" borderId="1" xfId="1" applyNumberFormat="1" applyFont="1" applyFill="1" applyBorder="1"/>
    <xf numFmtId="0" fontId="0" fillId="2" borderId="1" xfId="0" applyFill="1" applyBorder="1"/>
    <xf numFmtId="3" fontId="5" fillId="2" borderId="0" xfId="0" applyNumberFormat="1" applyFont="1" applyFill="1"/>
    <xf numFmtId="3" fontId="5" fillId="0" borderId="0" xfId="0" applyNumberFormat="1" applyFont="1"/>
    <xf numFmtId="3" fontId="4" fillId="0" borderId="1" xfId="1" applyNumberFormat="1" applyFont="1" applyFill="1" applyBorder="1"/>
    <xf numFmtId="3" fontId="0" fillId="3" borderId="0" xfId="0" applyNumberFormat="1" applyFill="1"/>
    <xf numFmtId="3" fontId="3" fillId="0" borderId="0" xfId="1" applyNumberFormat="1" applyFont="1" applyFill="1"/>
    <xf numFmtId="0" fontId="6" fillId="4" borderId="0" xfId="0" applyFont="1" applyFill="1"/>
    <xf numFmtId="3" fontId="0" fillId="5" borderId="0" xfId="0" applyNumberFormat="1" applyFill="1"/>
    <xf numFmtId="3" fontId="0" fillId="6" borderId="0" xfId="0" applyNumberFormat="1" applyFill="1"/>
    <xf numFmtId="3" fontId="0" fillId="7" borderId="0" xfId="0" applyNumberFormat="1" applyFill="1"/>
    <xf numFmtId="3" fontId="0" fillId="8" borderId="0" xfId="0" applyNumberFormat="1" applyFill="1"/>
    <xf numFmtId="0" fontId="0" fillId="0" borderId="0" xfId="0" applyAlignment="1">
      <alignment horizontal="right"/>
    </xf>
    <xf numFmtId="0" fontId="7" fillId="0" borderId="0" xfId="0" applyFont="1"/>
    <xf numFmtId="0" fontId="5" fillId="0" borderId="1" xfId="0" applyFont="1" applyBorder="1"/>
    <xf numFmtId="0" fontId="5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6" fillId="0" borderId="6" xfId="0" applyFont="1" applyBorder="1"/>
    <xf numFmtId="0" fontId="5" fillId="9" borderId="7" xfId="0" applyFont="1" applyFill="1" applyBorder="1"/>
    <xf numFmtId="3" fontId="5" fillId="9" borderId="2" xfId="0" applyNumberFormat="1" applyFont="1" applyFill="1" applyBorder="1"/>
    <xf numFmtId="0" fontId="0" fillId="0" borderId="8" xfId="0" applyBorder="1"/>
    <xf numFmtId="0" fontId="4" fillId="10" borderId="9" xfId="0" applyFont="1" applyFill="1" applyBorder="1"/>
    <xf numFmtId="0" fontId="5" fillId="10" borderId="9" xfId="0" applyFont="1" applyFill="1" applyBorder="1"/>
    <xf numFmtId="0" fontId="5" fillId="10" borderId="9" xfId="0" applyFont="1" applyFill="1" applyBorder="1" applyAlignment="1">
      <alignment horizontal="right"/>
    </xf>
    <xf numFmtId="0" fontId="6" fillId="10" borderId="9" xfId="0" applyFont="1" applyFill="1" applyBorder="1"/>
    <xf numFmtId="165" fontId="0" fillId="0" borderId="0" xfId="0" applyNumberFormat="1"/>
    <xf numFmtId="165" fontId="0" fillId="0" borderId="0" xfId="0" applyNumberFormat="1" applyAlignment="1">
      <alignment horizontal="right"/>
    </xf>
    <xf numFmtId="0" fontId="6" fillId="0" borderId="0" xfId="0" applyFont="1" applyAlignment="1">
      <alignment horizontal="right"/>
    </xf>
    <xf numFmtId="0" fontId="6" fillId="10" borderId="9" xfId="0" applyFont="1" applyFill="1" applyBorder="1" applyAlignment="1">
      <alignment horizontal="right"/>
    </xf>
    <xf numFmtId="0" fontId="8" fillId="0" borderId="0" xfId="0" applyFont="1"/>
    <xf numFmtId="3" fontId="3" fillId="0" borderId="0" xfId="1" applyNumberFormat="1" applyFont="1" applyBorder="1"/>
    <xf numFmtId="0" fontId="0" fillId="2" borderId="0" xfId="0" applyFill="1" applyAlignment="1">
      <alignment horizontal="right"/>
    </xf>
    <xf numFmtId="3" fontId="3" fillId="2" borderId="0" xfId="1" applyNumberFormat="1" applyFont="1" applyFill="1" applyBorder="1" applyAlignment="1">
      <alignment horizontal="right"/>
    </xf>
    <xf numFmtId="3" fontId="0" fillId="0" borderId="0" xfId="1" applyNumberFormat="1" applyFont="1" applyBorder="1"/>
    <xf numFmtId="3" fontId="3" fillId="0" borderId="0" xfId="1" applyNumberFormat="1" applyFont="1" applyBorder="1" applyAlignment="1"/>
    <xf numFmtId="3" fontId="0" fillId="2" borderId="0" xfId="0" applyNumberFormat="1" applyFill="1"/>
    <xf numFmtId="3" fontId="3" fillId="0" borderId="0" xfId="1" applyNumberFormat="1" applyFont="1" applyFill="1" applyBorder="1"/>
    <xf numFmtId="3" fontId="3" fillId="2" borderId="0" xfId="1" applyNumberFormat="1" applyFont="1" applyFill="1" applyBorder="1"/>
    <xf numFmtId="14" fontId="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0" fontId="5" fillId="9" borderId="9" xfId="0" applyFont="1" applyFill="1" applyBorder="1"/>
    <xf numFmtId="3" fontId="5" fillId="9" borderId="9" xfId="0" applyNumberFormat="1" applyFont="1" applyFill="1" applyBorder="1"/>
    <xf numFmtId="0" fontId="5" fillId="10" borderId="9" xfId="0" applyFont="1" applyFill="1" applyBorder="1" applyAlignment="1">
      <alignment horizontal="left"/>
    </xf>
  </cellXfs>
  <cellStyles count="2">
    <cellStyle name="Normal" xfId="0" builtinId="0"/>
    <cellStyle name="Tusental" xfId="1" builtinId="3"/>
  </cellStyles>
  <dxfs count="32"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9C0006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zoomScale="130" zoomScaleNormal="130" workbookViewId="0">
      <selection activeCell="C7" sqref="C7"/>
    </sheetView>
  </sheetViews>
  <sheetFormatPr defaultRowHeight="15"/>
  <cols>
    <col min="1" max="1" width="31.85546875" bestFit="1" customWidth="1"/>
    <col min="2" max="2" width="8.85546875" bestFit="1" customWidth="1"/>
    <col min="3" max="3" width="8.140625" bestFit="1" customWidth="1"/>
    <col min="4" max="4" width="11.42578125" bestFit="1" customWidth="1"/>
    <col min="5" max="5" width="12.140625" bestFit="1" customWidth="1"/>
    <col min="6" max="6" width="83.85546875" bestFit="1" customWidth="1"/>
  </cols>
  <sheetData>
    <row r="1" spans="1:6" ht="18.75">
      <c r="A1" s="1" t="s">
        <v>0</v>
      </c>
      <c r="B1" s="2"/>
      <c r="C1" s="2"/>
      <c r="D1" s="2"/>
      <c r="E1" s="2"/>
    </row>
    <row r="2" spans="1:6">
      <c r="A2" s="2" t="s">
        <v>1</v>
      </c>
      <c r="B2" s="2"/>
      <c r="C2" s="2"/>
      <c r="D2" s="2"/>
      <c r="E2" s="2"/>
    </row>
    <row r="3" spans="1:6">
      <c r="A3" s="2"/>
      <c r="B3" s="2"/>
      <c r="C3" s="2"/>
      <c r="D3" s="2"/>
      <c r="E3" s="4"/>
    </row>
    <row r="4" spans="1:6">
      <c r="A4" s="2"/>
      <c r="B4" s="4" t="s">
        <v>2</v>
      </c>
      <c r="C4" s="4" t="s">
        <v>3</v>
      </c>
      <c r="D4" s="4" t="s">
        <v>2</v>
      </c>
      <c r="E4" s="4" t="s">
        <v>4</v>
      </c>
      <c r="F4" s="4" t="s">
        <v>5</v>
      </c>
    </row>
    <row r="5" spans="1:6">
      <c r="A5" s="3" t="s">
        <v>6</v>
      </c>
      <c r="B5" s="3">
        <v>2018</v>
      </c>
      <c r="C5" s="3">
        <v>2019</v>
      </c>
      <c r="D5" s="5">
        <v>44155</v>
      </c>
      <c r="E5" s="3">
        <v>2021</v>
      </c>
    </row>
    <row r="6" spans="1:6">
      <c r="A6" s="2" t="s">
        <v>7</v>
      </c>
      <c r="B6" s="6">
        <v>30900</v>
      </c>
      <c r="C6" s="6">
        <v>42250</v>
      </c>
      <c r="D6" s="10">
        <v>35900</v>
      </c>
      <c r="E6" s="8">
        <v>47000</v>
      </c>
      <c r="F6" t="s">
        <v>8</v>
      </c>
    </row>
    <row r="7" spans="1:6">
      <c r="A7" s="2" t="s">
        <v>9</v>
      </c>
      <c r="B7" s="6">
        <v>208876</v>
      </c>
      <c r="C7" s="6">
        <v>213609</v>
      </c>
      <c r="D7" s="10">
        <v>0</v>
      </c>
      <c r="E7" s="8">
        <v>0</v>
      </c>
    </row>
    <row r="8" spans="1:6">
      <c r="A8" s="2" t="s">
        <v>10</v>
      </c>
      <c r="B8" s="6">
        <v>92263</v>
      </c>
      <c r="C8" s="6">
        <v>70258</v>
      </c>
      <c r="D8" s="10">
        <v>0</v>
      </c>
      <c r="E8" s="8">
        <v>0</v>
      </c>
    </row>
    <row r="9" spans="1:6">
      <c r="A9" s="2" t="s">
        <v>11</v>
      </c>
      <c r="B9" s="6"/>
      <c r="C9" s="6"/>
      <c r="D9" s="10">
        <v>60852</v>
      </c>
      <c r="E9" s="8">
        <v>60000</v>
      </c>
    </row>
    <row r="10" spans="1:6">
      <c r="A10" s="2" t="s">
        <v>12</v>
      </c>
      <c r="B10" s="6"/>
      <c r="C10" s="6"/>
      <c r="D10" s="10">
        <v>30644</v>
      </c>
      <c r="E10" s="8">
        <v>20000</v>
      </c>
    </row>
    <row r="11" spans="1:6">
      <c r="A11" s="2" t="s">
        <v>13</v>
      </c>
      <c r="B11" s="6"/>
      <c r="C11" s="6"/>
      <c r="D11" s="10">
        <v>5250</v>
      </c>
      <c r="E11" s="8">
        <v>0</v>
      </c>
    </row>
    <row r="12" spans="1:6">
      <c r="A12" s="2" t="s">
        <v>14</v>
      </c>
      <c r="B12" s="6">
        <v>45880</v>
      </c>
      <c r="C12" s="6">
        <v>94543</v>
      </c>
      <c r="D12" s="10">
        <v>59472</v>
      </c>
      <c r="E12" s="8">
        <f>53200+26500</f>
        <v>79700</v>
      </c>
      <c r="F12" t="s">
        <v>15</v>
      </c>
    </row>
    <row r="13" spans="1:6">
      <c r="A13" s="2" t="s">
        <v>16</v>
      </c>
      <c r="B13" s="6">
        <v>40600</v>
      </c>
      <c r="C13" s="6">
        <v>44500</v>
      </c>
      <c r="D13" s="10">
        <v>17000</v>
      </c>
      <c r="E13" s="8">
        <v>30000</v>
      </c>
    </row>
    <row r="14" spans="1:6">
      <c r="A14" s="2" t="s">
        <v>17</v>
      </c>
      <c r="B14" s="6">
        <v>65760</v>
      </c>
      <c r="C14" s="6">
        <v>25824</v>
      </c>
      <c r="D14" s="10">
        <v>2930</v>
      </c>
      <c r="E14" s="8">
        <v>10000</v>
      </c>
    </row>
    <row r="15" spans="1:6">
      <c r="A15" s="2" t="s">
        <v>18</v>
      </c>
      <c r="B15" s="6">
        <v>134523</v>
      </c>
      <c r="C15" s="6">
        <v>52152</v>
      </c>
      <c r="D15" s="10">
        <f>1913+11266+1500+3300+200-857+25465</f>
        <v>42787</v>
      </c>
      <c r="E15" s="8">
        <v>40000</v>
      </c>
      <c r="F15" t="s">
        <v>19</v>
      </c>
    </row>
    <row r="16" spans="1:6">
      <c r="A16" s="3" t="s">
        <v>20</v>
      </c>
      <c r="B16" s="7">
        <v>618802</v>
      </c>
      <c r="C16" s="7">
        <v>543136</v>
      </c>
      <c r="D16" s="11">
        <f>SUM(D6:D15)</f>
        <v>254835</v>
      </c>
      <c r="E16" s="9">
        <f>SUM(E6:E15)</f>
        <v>286700</v>
      </c>
    </row>
    <row r="17" spans="1:9">
      <c r="A17" s="3"/>
      <c r="B17" s="7"/>
      <c r="C17" s="7"/>
      <c r="D17" s="11"/>
      <c r="E17" s="9"/>
    </row>
    <row r="18" spans="1:9">
      <c r="A18" s="2" t="s">
        <v>21</v>
      </c>
      <c r="B18" s="6">
        <v>159162</v>
      </c>
      <c r="C18" s="6">
        <v>17132</v>
      </c>
      <c r="D18" s="10">
        <v>0</v>
      </c>
      <c r="E18" s="8">
        <v>10000</v>
      </c>
    </row>
    <row r="19" spans="1:9">
      <c r="A19" s="2" t="s">
        <v>22</v>
      </c>
      <c r="B19" s="6">
        <v>29181</v>
      </c>
      <c r="C19" s="6">
        <v>19904</v>
      </c>
      <c r="D19" s="10">
        <v>2664</v>
      </c>
      <c r="E19" s="8">
        <v>4000</v>
      </c>
    </row>
    <row r="20" spans="1:9">
      <c r="A20" s="2" t="s">
        <v>23</v>
      </c>
      <c r="B20" s="6">
        <v>67799</v>
      </c>
      <c r="C20" s="6">
        <v>66078</v>
      </c>
      <c r="D20" s="10">
        <v>0</v>
      </c>
      <c r="E20" s="8"/>
    </row>
    <row r="21" spans="1:9">
      <c r="A21" s="2" t="s">
        <v>24</v>
      </c>
      <c r="B21" s="6"/>
      <c r="C21" s="6"/>
      <c r="D21" s="10">
        <f>17203+8300.55+31354</f>
        <v>56857.55</v>
      </c>
      <c r="E21" s="8">
        <v>50000</v>
      </c>
    </row>
    <row r="22" spans="1:9">
      <c r="A22" s="2" t="s">
        <v>25</v>
      </c>
      <c r="B22" s="6"/>
      <c r="C22" s="6"/>
      <c r="D22" s="10">
        <f>17286+24586+19348</f>
        <v>61220</v>
      </c>
      <c r="E22" s="8">
        <v>50000</v>
      </c>
    </row>
    <row r="23" spans="1:9">
      <c r="A23" s="2" t="s">
        <v>26</v>
      </c>
      <c r="B23" s="6"/>
      <c r="C23" s="6"/>
      <c r="D23" s="10">
        <f>7898+634</f>
        <v>8532</v>
      </c>
      <c r="E23" s="8">
        <v>5000</v>
      </c>
    </row>
    <row r="24" spans="1:9">
      <c r="A24" s="2" t="s">
        <v>27</v>
      </c>
      <c r="B24" s="6">
        <v>147880</v>
      </c>
      <c r="C24" s="6">
        <v>175529</v>
      </c>
      <c r="D24" s="10">
        <f>32313+841</f>
        <v>33154</v>
      </c>
      <c r="E24" s="8">
        <v>20000</v>
      </c>
    </row>
    <row r="25" spans="1:9">
      <c r="A25" s="2" t="s">
        <v>28</v>
      </c>
      <c r="B25" s="6">
        <v>38471</v>
      </c>
      <c r="C25" s="6">
        <v>56242</v>
      </c>
      <c r="D25" s="10">
        <f>39134.9+1049+1557+32008</f>
        <v>73748.899999999994</v>
      </c>
      <c r="E25" s="8">
        <v>60000</v>
      </c>
    </row>
    <row r="26" spans="1:9">
      <c r="A26" s="2" t="s">
        <v>29</v>
      </c>
      <c r="B26" s="6">
        <v>10424</v>
      </c>
      <c r="C26" s="6">
        <v>11069</v>
      </c>
      <c r="D26" s="10">
        <v>3246.93</v>
      </c>
      <c r="E26" s="8">
        <v>5000</v>
      </c>
    </row>
    <row r="27" spans="1:9">
      <c r="A27" s="2" t="s">
        <v>30</v>
      </c>
      <c r="B27" s="6">
        <v>20036</v>
      </c>
      <c r="C27" s="6">
        <v>17193</v>
      </c>
      <c r="D27" s="10">
        <v>17743</v>
      </c>
      <c r="E27" s="8">
        <v>18000</v>
      </c>
    </row>
    <row r="28" spans="1:9">
      <c r="A28" s="2" t="s">
        <v>31</v>
      </c>
      <c r="B28" s="6">
        <v>97742</v>
      </c>
      <c r="C28" s="6">
        <v>23608</v>
      </c>
      <c r="D28" s="10">
        <f>2502+4487+211.85</f>
        <v>7200.85</v>
      </c>
      <c r="E28" s="8">
        <v>8000</v>
      </c>
    </row>
    <row r="29" spans="1:9">
      <c r="A29" s="2" t="s">
        <v>32</v>
      </c>
      <c r="B29" s="6">
        <v>60305</v>
      </c>
      <c r="C29" s="6">
        <v>6115</v>
      </c>
      <c r="D29" s="10">
        <f>4056+99.08+2432.24+1634</f>
        <v>8221.32</v>
      </c>
      <c r="E29" s="8">
        <v>9000</v>
      </c>
    </row>
    <row r="30" spans="1:9">
      <c r="A30" s="2" t="s">
        <v>33</v>
      </c>
      <c r="B30" s="6">
        <v>42871</v>
      </c>
      <c r="C30" s="6">
        <v>6306</v>
      </c>
      <c r="D30" s="10">
        <v>5755</v>
      </c>
      <c r="E30" s="8">
        <v>6000</v>
      </c>
    </row>
    <row r="31" spans="1:9">
      <c r="A31" s="3" t="s">
        <v>34</v>
      </c>
      <c r="B31" s="7">
        <f>SUM(B18:B30)</f>
        <v>673871</v>
      </c>
      <c r="C31" s="7">
        <f>SUM(C18:C30)</f>
        <v>399176</v>
      </c>
      <c r="D31" s="11">
        <f>SUM(D18:D30)</f>
        <v>278343.55</v>
      </c>
      <c r="E31" s="11">
        <f>SUM(E18:E30)</f>
        <v>245000</v>
      </c>
      <c r="H31" s="7"/>
      <c r="I31" s="7"/>
    </row>
    <row r="32" spans="1:9">
      <c r="A32" s="2"/>
      <c r="B32" s="6">
        <f>B16-B31</f>
        <v>-55069</v>
      </c>
      <c r="C32" s="6">
        <f>C16-C31</f>
        <v>143960</v>
      </c>
      <c r="D32" s="10">
        <f>D16-D31</f>
        <v>-23508.549999999988</v>
      </c>
      <c r="E32" s="10">
        <f>E16-E31</f>
        <v>41700</v>
      </c>
      <c r="H32" s="6"/>
      <c r="I32" s="6"/>
    </row>
    <row r="33" spans="1:9">
      <c r="A33" s="2" t="s">
        <v>35</v>
      </c>
      <c r="B33" s="6">
        <v>66142</v>
      </c>
      <c r="C33" s="6">
        <v>66142</v>
      </c>
      <c r="D33" s="10">
        <v>66142</v>
      </c>
      <c r="E33" s="10">
        <v>66142</v>
      </c>
      <c r="H33" s="6"/>
      <c r="I33" s="6"/>
    </row>
    <row r="34" spans="1:9">
      <c r="A34" s="3" t="s">
        <v>36</v>
      </c>
      <c r="B34" s="7">
        <f>B32-B33</f>
        <v>-121211</v>
      </c>
      <c r="C34" s="7">
        <f>C32-C33</f>
        <v>77818</v>
      </c>
      <c r="D34" s="11">
        <f>D32-D33</f>
        <v>-89650.549999999988</v>
      </c>
      <c r="E34" s="11">
        <f>E32-E33</f>
        <v>-24442</v>
      </c>
      <c r="H34" s="7"/>
      <c r="I34" s="7"/>
    </row>
    <row r="35" spans="1:9">
      <c r="A35" s="2"/>
      <c r="B35" s="2"/>
      <c r="C35" s="2"/>
      <c r="D35" s="10"/>
      <c r="E35" s="8"/>
      <c r="H35" s="2"/>
      <c r="I35" s="2"/>
    </row>
    <row r="36" spans="1:9">
      <c r="A36" s="3" t="s">
        <v>37</v>
      </c>
      <c r="B36" s="7">
        <f>B34</f>
        <v>-121211</v>
      </c>
      <c r="C36" s="7">
        <f>C34</f>
        <v>77818</v>
      </c>
      <c r="D36" s="11">
        <f>D34</f>
        <v>-89650.549999999988</v>
      </c>
      <c r="E36" s="11">
        <f>E34</f>
        <v>-24442</v>
      </c>
      <c r="H36" s="7"/>
      <c r="I36" s="7"/>
    </row>
    <row r="37" spans="1:9">
      <c r="A37" s="3" t="s">
        <v>38</v>
      </c>
      <c r="B37" s="6">
        <v>-70295</v>
      </c>
      <c r="C37" s="2">
        <v>0</v>
      </c>
      <c r="D37" s="10">
        <v>0</v>
      </c>
      <c r="E37" s="10">
        <v>0</v>
      </c>
      <c r="H37" s="6"/>
      <c r="I37" s="2"/>
    </row>
    <row r="38" spans="1:9">
      <c r="A38" s="3" t="s">
        <v>39</v>
      </c>
      <c r="B38" s="7">
        <f>B36+B37</f>
        <v>-191506</v>
      </c>
      <c r="C38" s="7">
        <f>C36</f>
        <v>77818</v>
      </c>
      <c r="D38" s="11">
        <f>D36</f>
        <v>-89650.549999999988</v>
      </c>
      <c r="E38" s="11">
        <f>E36</f>
        <v>-24442</v>
      </c>
      <c r="H38" s="7"/>
      <c r="I38" s="7"/>
    </row>
    <row r="39" spans="1:9">
      <c r="A39" s="2"/>
      <c r="B39" s="2"/>
      <c r="C39" s="2"/>
      <c r="D39" s="2"/>
      <c r="E39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9"/>
  <sheetViews>
    <sheetView zoomScale="130" zoomScaleNormal="130" workbookViewId="0"/>
  </sheetViews>
  <sheetFormatPr defaultRowHeight="15"/>
  <cols>
    <col min="1" max="1" width="31.85546875" bestFit="1" customWidth="1"/>
    <col min="2" max="2" width="12.5703125" bestFit="1" customWidth="1"/>
    <col min="3" max="3" width="12.28515625" bestFit="1" customWidth="1"/>
    <col min="4" max="4" width="79.5703125" customWidth="1"/>
    <col min="5" max="5" width="8.5703125" customWidth="1"/>
    <col min="6" max="6" width="9.7109375" customWidth="1"/>
    <col min="7" max="7" width="47.28515625" bestFit="1" customWidth="1"/>
  </cols>
  <sheetData>
    <row r="1" spans="1:7" ht="18.75">
      <c r="A1" s="1" t="s">
        <v>0</v>
      </c>
      <c r="B1" s="2"/>
      <c r="C1" s="2"/>
    </row>
    <row r="2" spans="1:7">
      <c r="A2" s="2" t="s">
        <v>40</v>
      </c>
      <c r="B2" s="2"/>
      <c r="C2" s="2"/>
    </row>
    <row r="3" spans="1:7">
      <c r="A3" s="2"/>
      <c r="B3" s="2"/>
      <c r="C3" s="4"/>
    </row>
    <row r="4" spans="1:7">
      <c r="A4" s="2"/>
      <c r="B4" s="4" t="s">
        <v>2</v>
      </c>
      <c r="C4" s="4" t="s">
        <v>4</v>
      </c>
      <c r="D4" s="12"/>
      <c r="E4" s="16" t="s">
        <v>3</v>
      </c>
      <c r="F4" s="16" t="s">
        <v>4</v>
      </c>
    </row>
    <row r="5" spans="1:7">
      <c r="A5" s="3" t="s">
        <v>6</v>
      </c>
      <c r="B5" s="4">
        <v>2023</v>
      </c>
      <c r="C5" s="4">
        <v>2024</v>
      </c>
      <c r="E5" s="15">
        <v>2024</v>
      </c>
      <c r="F5" s="15">
        <v>2025</v>
      </c>
    </row>
    <row r="6" spans="1:7">
      <c r="A6" s="2" t="s">
        <v>7</v>
      </c>
      <c r="B6" s="13">
        <v>74100</v>
      </c>
      <c r="C6" s="13">
        <v>80000</v>
      </c>
      <c r="D6" t="s">
        <v>41</v>
      </c>
      <c r="E6" s="13">
        <v>87000</v>
      </c>
      <c r="F6" s="13">
        <v>95000</v>
      </c>
      <c r="G6" t="s">
        <v>42</v>
      </c>
    </row>
    <row r="7" spans="1:7">
      <c r="A7" s="2" t="s">
        <v>11</v>
      </c>
      <c r="B7" s="13">
        <v>60687</v>
      </c>
      <c r="C7" s="13">
        <v>45000</v>
      </c>
      <c r="D7" t="s">
        <v>43</v>
      </c>
      <c r="E7" s="13">
        <v>83240</v>
      </c>
      <c r="F7" s="13">
        <v>100000</v>
      </c>
      <c r="G7" t="s">
        <v>44</v>
      </c>
    </row>
    <row r="8" spans="1:7">
      <c r="A8" s="2" t="s">
        <v>12</v>
      </c>
      <c r="B8" s="13">
        <v>49123</v>
      </c>
      <c r="C8" s="13">
        <f>26840+23000</f>
        <v>49840</v>
      </c>
      <c r="D8" t="s">
        <v>45</v>
      </c>
      <c r="E8" s="13">
        <v>52165</v>
      </c>
      <c r="F8" s="13">
        <f>20000+9000+25000</f>
        <v>54000</v>
      </c>
      <c r="G8" t="s">
        <v>46</v>
      </c>
    </row>
    <row r="9" spans="1:7">
      <c r="A9" s="2" t="s">
        <v>47</v>
      </c>
      <c r="B9" s="13">
        <v>0</v>
      </c>
      <c r="C9" s="13">
        <v>0</v>
      </c>
      <c r="E9" s="13">
        <v>455</v>
      </c>
      <c r="F9" s="13">
        <v>0</v>
      </c>
    </row>
    <row r="10" spans="1:7">
      <c r="A10" s="2" t="s">
        <v>48</v>
      </c>
      <c r="B10" s="13">
        <f>44100+25500</f>
        <v>69600</v>
      </c>
      <c r="C10" s="13">
        <v>70000</v>
      </c>
      <c r="D10" t="s">
        <v>49</v>
      </c>
      <c r="E10" s="13">
        <f>53870+27800</f>
        <v>81670</v>
      </c>
      <c r="F10" s="13">
        <v>80000</v>
      </c>
    </row>
    <row r="11" spans="1:7">
      <c r="A11" s="2" t="s">
        <v>14</v>
      </c>
      <c r="B11" s="13">
        <f>16863.64+60796.6+3246+9875</f>
        <v>90781.239999999991</v>
      </c>
      <c r="C11" s="13">
        <f>60796+6297+5000+15000-93</f>
        <v>87000</v>
      </c>
      <c r="D11" t="s">
        <v>50</v>
      </c>
      <c r="E11" s="13">
        <f>16040+61522.6+3853.75</f>
        <v>81416.350000000006</v>
      </c>
      <c r="F11" s="13">
        <v>90000</v>
      </c>
      <c r="G11" t="s">
        <v>51</v>
      </c>
    </row>
    <row r="12" spans="1:7">
      <c r="A12" s="2" t="s">
        <v>16</v>
      </c>
      <c r="B12" s="13">
        <v>53100</v>
      </c>
      <c r="C12" s="13">
        <v>50000</v>
      </c>
      <c r="D12" t="s">
        <v>52</v>
      </c>
      <c r="E12" s="13">
        <v>40650</v>
      </c>
      <c r="F12" s="13">
        <v>40000</v>
      </c>
    </row>
    <row r="13" spans="1:7">
      <c r="A13" s="2" t="s">
        <v>17</v>
      </c>
      <c r="B13" s="13">
        <v>88696</v>
      </c>
      <c r="C13" s="13">
        <f>8720+28000+13280</f>
        <v>50000</v>
      </c>
      <c r="D13" t="s">
        <v>53</v>
      </c>
      <c r="E13" s="13">
        <v>74380</v>
      </c>
      <c r="F13" s="13">
        <f>42500+15000</f>
        <v>57500</v>
      </c>
      <c r="G13" t="s">
        <v>54</v>
      </c>
    </row>
    <row r="14" spans="1:7">
      <c r="A14" s="2" t="s">
        <v>55</v>
      </c>
      <c r="B14" s="13">
        <v>13176</v>
      </c>
      <c r="C14" s="13">
        <v>0</v>
      </c>
      <c r="D14" t="s">
        <v>56</v>
      </c>
      <c r="E14" s="13">
        <v>0</v>
      </c>
      <c r="F14" s="13">
        <v>0</v>
      </c>
    </row>
    <row r="15" spans="1:7">
      <c r="A15" s="2" t="s">
        <v>57</v>
      </c>
      <c r="B15" s="13">
        <v>20255</v>
      </c>
      <c r="C15" s="13">
        <v>15000</v>
      </c>
      <c r="E15" s="13">
        <v>17465</v>
      </c>
      <c r="F15" s="13">
        <v>10000</v>
      </c>
    </row>
    <row r="16" spans="1:7">
      <c r="A16" s="2" t="s">
        <v>18</v>
      </c>
      <c r="B16" s="13">
        <f>1872+107358</f>
        <v>109230</v>
      </c>
      <c r="C16" s="13">
        <f>50000+35000+15000</f>
        <v>100000</v>
      </c>
      <c r="D16" t="s">
        <v>58</v>
      </c>
      <c r="E16" s="13">
        <f>1677+124906.5</f>
        <v>126583.5</v>
      </c>
      <c r="F16" s="17">
        <f>50000+15000+15000+15000</f>
        <v>95000</v>
      </c>
      <c r="G16" t="s">
        <v>59</v>
      </c>
    </row>
    <row r="17" spans="1:7">
      <c r="A17" s="3" t="s">
        <v>20</v>
      </c>
      <c r="B17" s="14">
        <f>SUM(B6:B16)</f>
        <v>628748.24</v>
      </c>
      <c r="C17" s="14">
        <f>SUM(C6:C16)</f>
        <v>546840</v>
      </c>
      <c r="E17" s="14">
        <f>SUM(E6:E16)</f>
        <v>645024.85</v>
      </c>
      <c r="F17" s="14">
        <f>SUM(F6:F16)</f>
        <v>621500</v>
      </c>
    </row>
    <row r="18" spans="1:7">
      <c r="A18" s="3"/>
      <c r="B18" s="11"/>
      <c r="C18" s="9"/>
    </row>
    <row r="19" spans="1:7">
      <c r="A19" s="3" t="s">
        <v>60</v>
      </c>
      <c r="B19" s="11"/>
      <c r="C19" s="9"/>
    </row>
    <row r="20" spans="1:7">
      <c r="A20" s="2" t="s">
        <v>21</v>
      </c>
      <c r="B20" s="13">
        <v>36779</v>
      </c>
      <c r="C20" s="13">
        <v>30000</v>
      </c>
      <c r="E20" s="13">
        <v>104735</v>
      </c>
      <c r="F20" s="13">
        <v>50000</v>
      </c>
      <c r="G20" t="s">
        <v>61</v>
      </c>
    </row>
    <row r="21" spans="1:7">
      <c r="A21" s="2" t="s">
        <v>62</v>
      </c>
      <c r="B21" s="13">
        <v>0</v>
      </c>
      <c r="C21" s="13">
        <v>0</v>
      </c>
      <c r="E21" s="13">
        <v>17399</v>
      </c>
      <c r="F21" s="13">
        <v>0</v>
      </c>
      <c r="G21" t="s">
        <v>63</v>
      </c>
    </row>
    <row r="22" spans="1:7">
      <c r="A22" s="2" t="s">
        <v>22</v>
      </c>
      <c r="B22" s="13">
        <v>61714.36</v>
      </c>
      <c r="C22" s="13">
        <v>50000</v>
      </c>
      <c r="E22" s="13">
        <v>56340</v>
      </c>
      <c r="F22" s="13">
        <v>45000</v>
      </c>
    </row>
    <row r="23" spans="1:7">
      <c r="A23" s="2" t="s">
        <v>64</v>
      </c>
      <c r="B23" s="13">
        <v>27376</v>
      </c>
      <c r="C23" s="13">
        <v>25000</v>
      </c>
      <c r="E23" s="13">
        <v>37025</v>
      </c>
      <c r="F23" s="13">
        <v>30000</v>
      </c>
      <c r="G23" s="18"/>
    </row>
    <row r="24" spans="1:7">
      <c r="A24" s="2" t="s">
        <v>65</v>
      </c>
      <c r="B24" s="13">
        <v>50805</v>
      </c>
      <c r="C24" s="13">
        <v>45000</v>
      </c>
      <c r="E24" s="13">
        <v>46388</v>
      </c>
      <c r="F24" s="13">
        <v>45000</v>
      </c>
    </row>
    <row r="25" spans="1:7">
      <c r="A25" s="2" t="s">
        <v>66</v>
      </c>
      <c r="B25" s="13">
        <v>1465</v>
      </c>
      <c r="C25" s="13">
        <v>5000</v>
      </c>
      <c r="E25" s="13">
        <v>6245</v>
      </c>
      <c r="F25" s="13">
        <v>5000</v>
      </c>
    </row>
    <row r="26" spans="1:7">
      <c r="A26" s="2" t="s">
        <v>67</v>
      </c>
      <c r="B26" s="13">
        <v>18809.45</v>
      </c>
      <c r="C26" s="13">
        <v>20000</v>
      </c>
      <c r="D26" t="s">
        <v>68</v>
      </c>
      <c r="E26" s="13">
        <v>19192</v>
      </c>
      <c r="F26" s="13">
        <v>20000</v>
      </c>
      <c r="G26" t="s">
        <v>68</v>
      </c>
    </row>
    <row r="27" spans="1:7">
      <c r="A27" s="2" t="s">
        <v>69</v>
      </c>
      <c r="B27" s="13">
        <v>27233.93</v>
      </c>
      <c r="C27" s="13">
        <v>25000</v>
      </c>
      <c r="D27" t="s">
        <v>70</v>
      </c>
      <c r="E27" s="13">
        <v>19838</v>
      </c>
      <c r="F27" s="13">
        <v>20000</v>
      </c>
      <c r="G27" t="s">
        <v>70</v>
      </c>
    </row>
    <row r="28" spans="1:7">
      <c r="A28" s="2" t="s">
        <v>25</v>
      </c>
      <c r="B28" s="13">
        <v>90967.5</v>
      </c>
      <c r="C28" s="13">
        <v>80000</v>
      </c>
      <c r="D28" t="s">
        <v>71</v>
      </c>
      <c r="E28" s="13">
        <f>174292-90580</f>
        <v>83712</v>
      </c>
      <c r="F28" s="13">
        <v>40000</v>
      </c>
      <c r="G28" t="s">
        <v>72</v>
      </c>
    </row>
    <row r="29" spans="1:7">
      <c r="A29" s="2" t="s">
        <v>73</v>
      </c>
      <c r="B29" s="13">
        <v>0</v>
      </c>
      <c r="C29" s="13">
        <v>0</v>
      </c>
      <c r="E29" s="13">
        <v>90580</v>
      </c>
      <c r="F29" s="13">
        <v>90000</v>
      </c>
    </row>
    <row r="30" spans="1:7">
      <c r="A30" s="2" t="s">
        <v>24</v>
      </c>
      <c r="B30" s="13">
        <f>80902.41+8904</f>
        <v>89806.41</v>
      </c>
      <c r="C30" s="13">
        <v>80000</v>
      </c>
      <c r="D30" t="s">
        <v>74</v>
      </c>
      <c r="E30" s="13">
        <f>87219-63088</f>
        <v>24131</v>
      </c>
      <c r="F30" s="13">
        <v>20000</v>
      </c>
      <c r="G30" t="s">
        <v>75</v>
      </c>
    </row>
    <row r="31" spans="1:7">
      <c r="A31" s="2" t="s">
        <v>76</v>
      </c>
      <c r="B31" s="13">
        <v>0</v>
      </c>
      <c r="C31" s="13">
        <v>0</v>
      </c>
      <c r="E31" s="13">
        <f>28408+34680</f>
        <v>63088</v>
      </c>
      <c r="F31" s="13">
        <v>60000</v>
      </c>
    </row>
    <row r="32" spans="1:7">
      <c r="A32" s="2" t="s">
        <v>27</v>
      </c>
      <c r="B32" s="13">
        <v>5900</v>
      </c>
      <c r="C32" s="13">
        <v>5000</v>
      </c>
      <c r="D32" t="s">
        <v>77</v>
      </c>
      <c r="E32" s="13">
        <v>8750</v>
      </c>
      <c r="F32" s="13">
        <v>5000</v>
      </c>
    </row>
    <row r="33" spans="1:7">
      <c r="A33" s="3" t="s">
        <v>78</v>
      </c>
      <c r="B33" s="13"/>
      <c r="C33" s="13"/>
      <c r="E33" s="13"/>
      <c r="F33" s="13"/>
    </row>
    <row r="34" spans="1:7">
      <c r="A34" s="2" t="s">
        <v>28</v>
      </c>
      <c r="B34" s="13">
        <v>62653.4</v>
      </c>
      <c r="C34" s="13">
        <v>60000</v>
      </c>
      <c r="D34" t="s">
        <v>79</v>
      </c>
      <c r="E34" s="13">
        <f>58758+7297+6295</f>
        <v>72350</v>
      </c>
      <c r="F34" s="13">
        <v>70000</v>
      </c>
      <c r="G34" t="s">
        <v>80</v>
      </c>
    </row>
    <row r="35" spans="1:7">
      <c r="A35" s="2" t="s">
        <v>81</v>
      </c>
      <c r="B35" s="13">
        <v>14545.19</v>
      </c>
      <c r="C35" s="13">
        <v>10000</v>
      </c>
      <c r="D35" t="s">
        <v>82</v>
      </c>
      <c r="E35" s="13">
        <f>12931</f>
        <v>12931</v>
      </c>
      <c r="F35" s="13">
        <v>13000</v>
      </c>
    </row>
    <row r="36" spans="1:7">
      <c r="A36" s="2" t="s">
        <v>30</v>
      </c>
      <c r="B36" s="13">
        <v>20745</v>
      </c>
      <c r="C36" s="13">
        <v>21000</v>
      </c>
      <c r="E36" s="13">
        <v>23916</v>
      </c>
      <c r="F36" s="13">
        <v>24000</v>
      </c>
    </row>
    <row r="37" spans="1:7">
      <c r="A37" s="2" t="s">
        <v>31</v>
      </c>
      <c r="B37" s="13">
        <v>9517.5499999999993</v>
      </c>
      <c r="C37" s="13">
        <v>7000</v>
      </c>
      <c r="E37" s="13">
        <f>9732</f>
        <v>9732</v>
      </c>
      <c r="F37" s="13">
        <v>7000</v>
      </c>
    </row>
    <row r="38" spans="1:7">
      <c r="A38" s="2" t="s">
        <v>33</v>
      </c>
      <c r="B38" s="13">
        <v>21884.080000000002</v>
      </c>
      <c r="C38" s="13">
        <v>15000</v>
      </c>
      <c r="E38" s="13">
        <f>1665+3656+3279+6595</f>
        <v>15195</v>
      </c>
      <c r="F38" s="13">
        <v>15000</v>
      </c>
    </row>
    <row r="39" spans="1:7">
      <c r="A39" s="3" t="s">
        <v>34</v>
      </c>
      <c r="B39" s="14">
        <f>SUM(B20:B38)</f>
        <v>540201.87</v>
      </c>
      <c r="C39" s="14">
        <f>SUM(C20:C38)</f>
        <v>478000</v>
      </c>
      <c r="E39" s="14">
        <f>SUM(E20:E38)</f>
        <v>711547</v>
      </c>
      <c r="F39" s="14">
        <f>SUM(F20:F38)</f>
        <v>559000</v>
      </c>
    </row>
    <row r="40" spans="1:7">
      <c r="A40" s="2" t="s">
        <v>83</v>
      </c>
      <c r="B40" s="13">
        <f>B17-B39</f>
        <v>88546.37</v>
      </c>
      <c r="C40" s="13">
        <f>C17-C39</f>
        <v>68840</v>
      </c>
      <c r="E40" s="13">
        <f>E17-E39</f>
        <v>-66522.150000000023</v>
      </c>
      <c r="F40" s="13">
        <f>F17-F39</f>
        <v>62500</v>
      </c>
    </row>
    <row r="41" spans="1:7">
      <c r="A41" s="2"/>
      <c r="B41" s="13"/>
      <c r="C41" s="13"/>
    </row>
    <row r="42" spans="1:7">
      <c r="A42" s="2" t="s">
        <v>35</v>
      </c>
      <c r="B42" s="13">
        <v>47072.82</v>
      </c>
      <c r="C42" s="13">
        <v>35000</v>
      </c>
      <c r="D42" t="s">
        <v>84</v>
      </c>
      <c r="E42" s="13">
        <v>37073</v>
      </c>
      <c r="F42" s="13">
        <v>37000</v>
      </c>
    </row>
    <row r="43" spans="1:7">
      <c r="A43" s="3" t="s">
        <v>36</v>
      </c>
      <c r="B43" s="14">
        <f>B40-B42</f>
        <v>41473.549999999996</v>
      </c>
      <c r="C43" s="14">
        <f>C40-C42</f>
        <v>33840</v>
      </c>
      <c r="E43" s="14">
        <f>E40-E42</f>
        <v>-103595.15000000002</v>
      </c>
      <c r="F43" s="14">
        <f>F40-F42</f>
        <v>25500</v>
      </c>
    </row>
    <row r="44" spans="1:7">
      <c r="A44" s="3"/>
      <c r="B44" s="14"/>
      <c r="C44" s="14"/>
    </row>
    <row r="45" spans="1:7">
      <c r="A45" s="2" t="s">
        <v>85</v>
      </c>
      <c r="B45" s="13">
        <v>0</v>
      </c>
      <c r="C45" s="13">
        <v>3000</v>
      </c>
      <c r="E45" s="13">
        <v>0</v>
      </c>
    </row>
    <row r="46" spans="1:7">
      <c r="A46" s="2" t="s">
        <v>86</v>
      </c>
      <c r="B46" s="13">
        <v>15938.41</v>
      </c>
      <c r="C46" s="13">
        <v>15000</v>
      </c>
      <c r="E46" s="13">
        <v>17592</v>
      </c>
      <c r="F46" s="13">
        <v>17000</v>
      </c>
    </row>
    <row r="47" spans="1:7">
      <c r="A47" s="2"/>
      <c r="B47" s="13"/>
      <c r="C47" s="13"/>
      <c r="E47" s="13"/>
    </row>
    <row r="48" spans="1:7">
      <c r="A48" s="3" t="s">
        <v>37</v>
      </c>
      <c r="B48" s="14">
        <f>B43-B45+B46</f>
        <v>57411.959999999992</v>
      </c>
      <c r="C48" s="14">
        <f>C43-C45+C46</f>
        <v>45840</v>
      </c>
      <c r="E48" s="14">
        <f>E43+E46</f>
        <v>-86003.150000000023</v>
      </c>
      <c r="F48" s="14">
        <f>F43+F46</f>
        <v>42500</v>
      </c>
    </row>
    <row r="49" spans="1:3">
      <c r="A49" s="2"/>
      <c r="B49" s="10"/>
      <c r="C49" s="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C552F-C034-42E7-8F4B-B658633CC1C5}">
  <sheetPr>
    <pageSetUpPr fitToPage="1"/>
  </sheetPr>
  <dimension ref="A1:Z69"/>
  <sheetViews>
    <sheetView showGridLines="0" tabSelected="1" topLeftCell="J1" workbookViewId="0">
      <selection activeCell="E1" sqref="E1:Y1048576"/>
    </sheetView>
  </sheetViews>
  <sheetFormatPr defaultRowHeight="15" outlineLevelCol="1"/>
  <cols>
    <col min="1" max="1" width="29.140625" bestFit="1" customWidth="1"/>
    <col min="2" max="2" width="9.7109375" bestFit="1" customWidth="1"/>
    <col min="3" max="3" width="7.85546875" bestFit="1" customWidth="1"/>
    <col min="4" max="4" width="8.85546875" customWidth="1"/>
    <col min="5" max="5" width="9.28515625" hidden="1" customWidth="1" outlineLevel="1"/>
    <col min="6" max="14" width="0" hidden="1" customWidth="1" outlineLevel="1"/>
    <col min="15" max="15" width="27" hidden="1" customWidth="1" outlineLevel="1"/>
    <col min="16" max="16" width="0" hidden="1" customWidth="1" outlineLevel="1"/>
    <col min="17" max="17" width="16.85546875" hidden="1" customWidth="1" outlineLevel="1"/>
    <col min="18" max="25" width="0" hidden="1" customWidth="1" outlineLevel="1"/>
    <col min="26" max="26" width="9.140625" collapsed="1"/>
  </cols>
  <sheetData>
    <row r="1" spans="1:25" ht="18.75">
      <c r="A1" s="1" t="s">
        <v>0</v>
      </c>
    </row>
    <row r="2" spans="1:25">
      <c r="A2" s="2" t="s">
        <v>40</v>
      </c>
    </row>
    <row r="3" spans="1:25">
      <c r="A3" s="2"/>
      <c r="E3" s="37"/>
      <c r="H3" s="37"/>
      <c r="O3" s="40" t="s">
        <v>87</v>
      </c>
      <c r="P3" s="39" t="s">
        <v>88</v>
      </c>
      <c r="Q3" s="41"/>
      <c r="T3" t="s">
        <v>89</v>
      </c>
      <c r="U3" t="s">
        <v>90</v>
      </c>
      <c r="V3" t="s">
        <v>91</v>
      </c>
      <c r="W3" t="s">
        <v>92</v>
      </c>
    </row>
    <row r="4" spans="1:25">
      <c r="A4" s="2"/>
      <c r="B4" s="16" t="s">
        <v>3</v>
      </c>
      <c r="C4" s="16" t="s">
        <v>4</v>
      </c>
      <c r="E4" s="16" t="s">
        <v>3</v>
      </c>
      <c r="F4" s="20" t="s">
        <v>93</v>
      </c>
      <c r="H4" s="16" t="s">
        <v>4</v>
      </c>
      <c r="O4" s="42" t="s">
        <v>7</v>
      </c>
      <c r="P4" s="19">
        <f>E6</f>
        <v>90100</v>
      </c>
      <c r="Q4" s="43"/>
      <c r="T4" s="15">
        <v>500</v>
      </c>
      <c r="U4" s="15">
        <v>800</v>
      </c>
      <c r="V4" s="15">
        <v>600</v>
      </c>
      <c r="W4">
        <f>$P$4/T4</f>
        <v>180.2</v>
      </c>
      <c r="X4">
        <f t="shared" ref="X4:Y4" si="0">$P$4/U4</f>
        <v>112.625</v>
      </c>
      <c r="Y4">
        <f t="shared" si="0"/>
        <v>150.16666666666666</v>
      </c>
    </row>
    <row r="5" spans="1:25">
      <c r="A5" s="3" t="s">
        <v>6</v>
      </c>
      <c r="B5" s="15">
        <v>2024</v>
      </c>
      <c r="C5" s="15">
        <v>2025</v>
      </c>
      <c r="E5" s="16">
        <v>2025</v>
      </c>
      <c r="F5" s="20"/>
      <c r="H5" s="16">
        <v>2026</v>
      </c>
      <c r="O5" s="42" t="s">
        <v>94</v>
      </c>
      <c r="P5" s="19">
        <f>E16</f>
        <v>37000</v>
      </c>
      <c r="Q5" s="43"/>
    </row>
    <row r="6" spans="1:25">
      <c r="A6" s="2" t="s">
        <v>7</v>
      </c>
      <c r="B6" s="13">
        <v>87000</v>
      </c>
      <c r="C6" s="13">
        <v>92000</v>
      </c>
      <c r="D6" t="s">
        <v>42</v>
      </c>
      <c r="E6" s="30">
        <v>90100</v>
      </c>
      <c r="F6" s="20">
        <v>3510</v>
      </c>
      <c r="H6" s="37"/>
      <c r="O6" s="42" t="s">
        <v>14</v>
      </c>
      <c r="P6" s="19">
        <f>E17</f>
        <v>107418</v>
      </c>
      <c r="Q6" s="43"/>
    </row>
    <row r="7" spans="1:25">
      <c r="A7" s="2" t="s">
        <v>11</v>
      </c>
      <c r="B7" s="13">
        <v>83240</v>
      </c>
      <c r="C7" s="13">
        <v>90000</v>
      </c>
      <c r="D7" t="s">
        <v>44</v>
      </c>
      <c r="E7" s="30">
        <v>130675</v>
      </c>
      <c r="F7" s="20">
        <v>3112</v>
      </c>
      <c r="H7" s="37"/>
      <c r="O7" s="42" t="s">
        <v>95</v>
      </c>
      <c r="P7" s="19">
        <f>-E40</f>
        <v>-27761</v>
      </c>
      <c r="Q7" s="43"/>
    </row>
    <row r="8" spans="1:25">
      <c r="A8" s="2" t="s">
        <v>12</v>
      </c>
      <c r="B8" s="13">
        <v>52165</v>
      </c>
      <c r="C8" s="13">
        <f>20000+9000+25000</f>
        <v>54000</v>
      </c>
      <c r="D8" t="s">
        <v>46</v>
      </c>
      <c r="O8" s="42"/>
      <c r="P8" s="28">
        <f>SUM(P4:P7)</f>
        <v>206757</v>
      </c>
      <c r="Q8" s="43"/>
    </row>
    <row r="9" spans="1:25">
      <c r="A9" s="2" t="s">
        <v>96</v>
      </c>
      <c r="B9" s="13"/>
      <c r="C9" s="13"/>
      <c r="E9" s="30">
        <f>53325</f>
        <v>53325</v>
      </c>
      <c r="F9" s="20">
        <v>3111</v>
      </c>
      <c r="O9" s="42"/>
      <c r="Q9" s="43"/>
    </row>
    <row r="10" spans="1:25">
      <c r="A10" s="2" t="s">
        <v>97</v>
      </c>
      <c r="B10" s="13"/>
      <c r="C10" s="13"/>
      <c r="E10" s="30">
        <v>60950</v>
      </c>
      <c r="F10" s="20">
        <v>3115</v>
      </c>
      <c r="G10" t="s">
        <v>98</v>
      </c>
      <c r="O10" s="42" t="s">
        <v>99</v>
      </c>
      <c r="P10" s="19">
        <f>E9-E33-12320</f>
        <v>25719</v>
      </c>
      <c r="Q10" s="43"/>
    </row>
    <row r="11" spans="1:25">
      <c r="A11" s="2" t="s">
        <v>47</v>
      </c>
      <c r="B11" s="13">
        <v>455</v>
      </c>
      <c r="C11" s="13">
        <v>0</v>
      </c>
      <c r="E11" s="30">
        <v>21925</v>
      </c>
      <c r="F11" s="20">
        <v>3113</v>
      </c>
      <c r="O11" s="42" t="s">
        <v>98</v>
      </c>
      <c r="P11" s="19">
        <f>E10-5253</f>
        <v>55697</v>
      </c>
      <c r="Q11" s="43"/>
    </row>
    <row r="12" spans="1:25">
      <c r="A12" s="2" t="s">
        <v>100</v>
      </c>
      <c r="B12" s="13">
        <f>53870</f>
        <v>53870</v>
      </c>
      <c r="C12" s="13">
        <v>50000</v>
      </c>
      <c r="E12" s="30">
        <v>56428</v>
      </c>
      <c r="F12" s="20">
        <v>3312</v>
      </c>
      <c r="O12" s="42" t="s">
        <v>101</v>
      </c>
      <c r="P12" s="19">
        <f>E7-2142</f>
        <v>128533</v>
      </c>
      <c r="Q12" s="43"/>
    </row>
    <row r="13" spans="1:25">
      <c r="A13" s="2" t="s">
        <v>102</v>
      </c>
      <c r="B13" s="13">
        <v>27800</v>
      </c>
      <c r="C13" s="21">
        <v>30000</v>
      </c>
      <c r="E13" s="30">
        <f>30500+2700</f>
        <v>33200</v>
      </c>
      <c r="F13" s="20">
        <v>3315</v>
      </c>
      <c r="O13" s="42" t="s">
        <v>103</v>
      </c>
      <c r="P13" s="19">
        <f>E11-6210</f>
        <v>15715</v>
      </c>
      <c r="Q13" s="43"/>
    </row>
    <row r="14" spans="1:25">
      <c r="A14" s="2" t="s">
        <v>16</v>
      </c>
      <c r="B14" s="13">
        <v>40650</v>
      </c>
      <c r="C14" s="13">
        <v>40000</v>
      </c>
      <c r="E14" s="30">
        <v>52200</v>
      </c>
      <c r="F14" s="20">
        <v>3410</v>
      </c>
      <c r="O14" s="42" t="s">
        <v>104</v>
      </c>
      <c r="P14" s="19">
        <f>E21-525</f>
        <v>22982</v>
      </c>
      <c r="Q14" s="43"/>
    </row>
    <row r="15" spans="1:25">
      <c r="A15" s="2" t="s">
        <v>17</v>
      </c>
      <c r="B15" s="13">
        <v>74380</v>
      </c>
      <c r="C15" s="13">
        <f>42500+15000</f>
        <v>57500</v>
      </c>
      <c r="D15" t="s">
        <v>54</v>
      </c>
      <c r="E15" s="36">
        <v>51430</v>
      </c>
      <c r="F15" s="20">
        <v>3170</v>
      </c>
      <c r="O15" s="42"/>
      <c r="P15" s="28">
        <f>SUM(P10:P14)</f>
        <v>248646</v>
      </c>
      <c r="Q15" s="43"/>
    </row>
    <row r="16" spans="1:25">
      <c r="A16" s="2" t="s">
        <v>105</v>
      </c>
      <c r="B16" s="13" t="s">
        <v>106</v>
      </c>
      <c r="C16" s="17" t="s">
        <v>106</v>
      </c>
      <c r="E16" s="30">
        <v>37000</v>
      </c>
      <c r="F16" s="20">
        <v>3920</v>
      </c>
      <c r="O16" s="42"/>
      <c r="Q16" s="43"/>
    </row>
    <row r="17" spans="1:17">
      <c r="A17" s="2" t="s">
        <v>107</v>
      </c>
      <c r="B17" s="13">
        <f>16040+61522.6+3853.75</f>
        <v>81416.350000000006</v>
      </c>
      <c r="C17" s="13">
        <v>90000</v>
      </c>
      <c r="D17" t="s">
        <v>51</v>
      </c>
      <c r="E17" s="30">
        <f>17173+66860+21482+4603-2700</f>
        <v>107418</v>
      </c>
      <c r="F17" s="20">
        <v>3990</v>
      </c>
      <c r="G17" t="s">
        <v>108</v>
      </c>
      <c r="O17" s="42" t="s">
        <v>109</v>
      </c>
      <c r="P17" s="19">
        <f>47574-23680</f>
        <v>23894</v>
      </c>
      <c r="Q17" s="44" t="s">
        <v>110</v>
      </c>
    </row>
    <row r="18" spans="1:17">
      <c r="A18" s="2" t="s">
        <v>57</v>
      </c>
      <c r="B18" s="13">
        <v>17465</v>
      </c>
      <c r="C18" s="13">
        <v>10000</v>
      </c>
      <c r="E18" s="35">
        <v>16031</v>
      </c>
      <c r="F18" s="20"/>
      <c r="O18" s="42" t="s">
        <v>111</v>
      </c>
      <c r="P18" s="19">
        <f>E14</f>
        <v>52200</v>
      </c>
      <c r="Q18" s="43"/>
    </row>
    <row r="19" spans="1:17">
      <c r="A19" s="2" t="s">
        <v>112</v>
      </c>
      <c r="B19" s="13" t="s">
        <v>106</v>
      </c>
      <c r="C19" s="17" t="s">
        <v>106</v>
      </c>
      <c r="E19" s="35">
        <v>83457</v>
      </c>
      <c r="F19" s="20">
        <v>3911</v>
      </c>
      <c r="O19" s="42"/>
      <c r="P19" s="28">
        <f>SUM(P17:P18)</f>
        <v>76094</v>
      </c>
      <c r="Q19" s="43"/>
    </row>
    <row r="20" spans="1:17">
      <c r="A20" s="2" t="s">
        <v>113</v>
      </c>
      <c r="B20" s="13">
        <v>0</v>
      </c>
      <c r="C20" s="17">
        <v>0</v>
      </c>
      <c r="E20" s="30">
        <v>20045</v>
      </c>
      <c r="F20" s="20">
        <v>3960</v>
      </c>
      <c r="H20">
        <f>E12/E36</f>
        <v>0.45581072239230352</v>
      </c>
      <c r="O20" s="42"/>
      <c r="Q20" s="43"/>
    </row>
    <row r="21" spans="1:17">
      <c r="A21" s="2" t="s">
        <v>104</v>
      </c>
      <c r="B21" s="13">
        <v>0</v>
      </c>
      <c r="C21" s="17">
        <v>0</v>
      </c>
      <c r="E21" s="30">
        <v>23507</v>
      </c>
      <c r="F21" s="20">
        <v>3110</v>
      </c>
      <c r="O21" s="42" t="s">
        <v>114</v>
      </c>
      <c r="P21" s="19">
        <f>E12-E36</f>
        <v>-67369</v>
      </c>
      <c r="Q21" s="43"/>
    </row>
    <row r="22" spans="1:17">
      <c r="A22" s="2" t="s">
        <v>18</v>
      </c>
      <c r="B22" s="13">
        <f>1677+124906.5</f>
        <v>126583.5</v>
      </c>
      <c r="C22" s="17">
        <f>50000+15000+15000+15000</f>
        <v>95000</v>
      </c>
      <c r="D22" t="s">
        <v>59</v>
      </c>
      <c r="E22" s="33">
        <f>841577.2-837691</f>
        <v>3886.1999999999534</v>
      </c>
      <c r="F22" s="20"/>
      <c r="O22" s="42" t="s">
        <v>115</v>
      </c>
      <c r="P22" s="19">
        <f>-SUM(E30,E35)</f>
        <v>-74734</v>
      </c>
      <c r="Q22" s="43"/>
    </row>
    <row r="23" spans="1:17">
      <c r="A23" s="24" t="s">
        <v>20</v>
      </c>
      <c r="B23" s="25">
        <f>SUM(B6:B22)</f>
        <v>645024.85</v>
      </c>
      <c r="C23" s="25">
        <f>SUM(C6:C22)</f>
        <v>608500</v>
      </c>
      <c r="D23" s="26"/>
      <c r="E23" s="29">
        <f>SUM(E6:E22)</f>
        <v>841577.2</v>
      </c>
      <c r="F23" s="20"/>
      <c r="O23" s="42" t="s">
        <v>113</v>
      </c>
      <c r="P23" s="19">
        <f>E20</f>
        <v>20045</v>
      </c>
      <c r="Q23" s="43"/>
    </row>
    <row r="24" spans="1:17">
      <c r="O24" s="42"/>
      <c r="P24" s="28">
        <f>SUM(P21:P23)</f>
        <v>-122058</v>
      </c>
      <c r="Q24" s="43"/>
    </row>
    <row r="25" spans="1:17">
      <c r="A25" s="3"/>
      <c r="E25" s="19"/>
      <c r="F25" s="20"/>
      <c r="O25" s="42"/>
      <c r="Q25" s="43"/>
    </row>
    <row r="26" spans="1:17">
      <c r="A26" s="3" t="s">
        <v>60</v>
      </c>
      <c r="E26" s="19"/>
      <c r="F26" s="20"/>
      <c r="O26" s="42" t="s">
        <v>102</v>
      </c>
      <c r="P26" s="19">
        <f>E13-E38</f>
        <v>-36986</v>
      </c>
      <c r="Q26" s="43"/>
    </row>
    <row r="27" spans="1:17">
      <c r="A27" s="2" t="s">
        <v>21</v>
      </c>
      <c r="B27" s="13">
        <v>104735</v>
      </c>
      <c r="C27" s="13">
        <v>50000</v>
      </c>
      <c r="D27" t="s">
        <v>61</v>
      </c>
      <c r="E27" s="35">
        <v>101011</v>
      </c>
      <c r="F27" s="20">
        <v>4011</v>
      </c>
      <c r="O27" s="42" t="s">
        <v>116</v>
      </c>
      <c r="P27" s="19">
        <f>-SUM(E31,E32,E34,E37,E39)</f>
        <v>-125278</v>
      </c>
      <c r="Q27" s="43"/>
    </row>
    <row r="28" spans="1:17">
      <c r="A28" s="2" t="s">
        <v>62</v>
      </c>
      <c r="B28" s="13">
        <v>17399</v>
      </c>
      <c r="C28" s="13">
        <v>0</v>
      </c>
      <c r="D28" t="s">
        <v>63</v>
      </c>
      <c r="E28" s="19"/>
      <c r="F28" s="20"/>
      <c r="O28" s="42"/>
      <c r="P28" s="28">
        <f>SUM(P26:P27)</f>
        <v>-162264</v>
      </c>
      <c r="Q28" s="43"/>
    </row>
    <row r="29" spans="1:17">
      <c r="A29" s="2" t="s">
        <v>22</v>
      </c>
      <c r="B29" s="13">
        <v>56340</v>
      </c>
      <c r="C29" s="13">
        <v>45000</v>
      </c>
      <c r="E29" s="36">
        <v>53986</v>
      </c>
      <c r="F29" s="20"/>
      <c r="O29" s="42"/>
      <c r="Q29" s="43"/>
    </row>
    <row r="30" spans="1:17">
      <c r="A30" s="2" t="s">
        <v>64</v>
      </c>
      <c r="B30" s="13">
        <v>37025</v>
      </c>
      <c r="C30" s="13">
        <v>30000</v>
      </c>
      <c r="D30" s="18"/>
      <c r="E30" s="30">
        <v>48992</v>
      </c>
      <c r="F30" s="20"/>
      <c r="O30" s="42" t="s">
        <v>117</v>
      </c>
      <c r="P30" s="19">
        <f>-E45</f>
        <v>-99183</v>
      </c>
      <c r="Q30" s="43"/>
    </row>
    <row r="31" spans="1:17">
      <c r="A31" s="2" t="s">
        <v>65</v>
      </c>
      <c r="B31" s="13">
        <v>46388</v>
      </c>
      <c r="C31" s="13">
        <v>45000</v>
      </c>
      <c r="E31" s="34">
        <v>47445</v>
      </c>
      <c r="F31" s="20"/>
      <c r="O31" s="42" t="s">
        <v>118</v>
      </c>
      <c r="P31" s="19">
        <f>-E46</f>
        <v>-4748</v>
      </c>
      <c r="Q31" s="43"/>
    </row>
    <row r="32" spans="1:17">
      <c r="A32" s="2" t="s">
        <v>66</v>
      </c>
      <c r="B32" s="13">
        <v>6245</v>
      </c>
      <c r="C32" s="13">
        <v>5000</v>
      </c>
      <c r="E32" s="34">
        <v>6110</v>
      </c>
      <c r="F32" s="20"/>
      <c r="O32" s="42" t="s">
        <v>119</v>
      </c>
      <c r="P32" s="19">
        <f>E18+E19-E27</f>
        <v>-1523</v>
      </c>
      <c r="Q32" s="43"/>
    </row>
    <row r="33" spans="1:17">
      <c r="A33" s="2" t="s">
        <v>67</v>
      </c>
      <c r="B33" s="31">
        <v>19192</v>
      </c>
      <c r="C33" s="31">
        <v>20000</v>
      </c>
      <c r="D33" t="s">
        <v>68</v>
      </c>
      <c r="E33" s="30">
        <v>15286</v>
      </c>
      <c r="F33" s="20" t="s">
        <v>120</v>
      </c>
      <c r="O33" s="42" t="s">
        <v>30</v>
      </c>
      <c r="P33" s="19">
        <f>-E47</f>
        <v>-23633</v>
      </c>
      <c r="Q33" s="43"/>
    </row>
    <row r="34" spans="1:17">
      <c r="A34" s="2" t="s">
        <v>69</v>
      </c>
      <c r="B34" s="13">
        <v>19838</v>
      </c>
      <c r="C34" s="13">
        <v>20000</v>
      </c>
      <c r="D34" t="s">
        <v>70</v>
      </c>
      <c r="E34" s="34">
        <v>51030</v>
      </c>
      <c r="F34" s="32" t="s">
        <v>121</v>
      </c>
      <c r="O34" s="42" t="s">
        <v>122</v>
      </c>
      <c r="P34" s="19">
        <f>E22-E41-E48-E49+E58</f>
        <v>-26495.800000000047</v>
      </c>
      <c r="Q34" s="43"/>
    </row>
    <row r="35" spans="1:17">
      <c r="A35" s="2" t="s">
        <v>25</v>
      </c>
      <c r="B35" s="13">
        <f>174292-90580</f>
        <v>83712</v>
      </c>
      <c r="C35" s="13">
        <v>40000</v>
      </c>
      <c r="D35" t="s">
        <v>72</v>
      </c>
      <c r="E35" s="30">
        <v>25742</v>
      </c>
      <c r="F35" s="20"/>
      <c r="O35" s="42" t="s">
        <v>35</v>
      </c>
      <c r="P35" s="19">
        <v>-37072</v>
      </c>
      <c r="Q35" s="43"/>
    </row>
    <row r="36" spans="1:17">
      <c r="A36" s="2" t="s">
        <v>73</v>
      </c>
      <c r="B36" s="13">
        <v>90580</v>
      </c>
      <c r="C36" s="13">
        <v>90000</v>
      </c>
      <c r="E36" s="30">
        <v>123797</v>
      </c>
      <c r="F36" s="20"/>
      <c r="O36" s="42"/>
      <c r="P36" s="28">
        <f>SUM(P30:P35)</f>
        <v>-192654.80000000005</v>
      </c>
      <c r="Q36" s="43"/>
    </row>
    <row r="37" spans="1:17">
      <c r="A37" s="2" t="s">
        <v>24</v>
      </c>
      <c r="B37" s="13">
        <f>87219-63088</f>
        <v>24131</v>
      </c>
      <c r="C37" s="13">
        <v>20000</v>
      </c>
      <c r="D37" t="s">
        <v>75</v>
      </c>
      <c r="E37" s="34">
        <v>7744</v>
      </c>
      <c r="F37" s="20"/>
      <c r="O37" s="42"/>
      <c r="Q37" s="43"/>
    </row>
    <row r="38" spans="1:17">
      <c r="A38" s="2" t="s">
        <v>76</v>
      </c>
      <c r="B38" s="13">
        <f>28408+34680</f>
        <v>63088</v>
      </c>
      <c r="C38" s="13">
        <v>60000</v>
      </c>
      <c r="E38" s="30">
        <v>70186</v>
      </c>
      <c r="F38" s="20"/>
      <c r="O38" s="45" t="s">
        <v>88</v>
      </c>
      <c r="P38" s="46">
        <f>SUM(P8,P15,P19,P24,P28,P36)</f>
        <v>54520.199999999953</v>
      </c>
      <c r="Q38" s="47"/>
    </row>
    <row r="39" spans="1:17">
      <c r="A39" s="2" t="s">
        <v>123</v>
      </c>
      <c r="B39" s="13"/>
      <c r="C39" s="13"/>
      <c r="E39" s="34">
        <v>12949</v>
      </c>
      <c r="F39" s="20"/>
    </row>
    <row r="40" spans="1:17">
      <c r="A40" s="2" t="s">
        <v>95</v>
      </c>
      <c r="B40" s="13"/>
      <c r="C40" s="13"/>
      <c r="E40" s="30">
        <v>27761</v>
      </c>
      <c r="F40" s="20"/>
      <c r="P40" s="19"/>
    </row>
    <row r="41" spans="1:17">
      <c r="A41" s="2" t="s">
        <v>27</v>
      </c>
      <c r="B41" s="13">
        <v>8750</v>
      </c>
      <c r="C41" s="13">
        <v>5000</v>
      </c>
      <c r="E41" s="33">
        <f>589873-588504</f>
        <v>1369</v>
      </c>
      <c r="F41" s="20"/>
      <c r="O41" s="15" t="s">
        <v>124</v>
      </c>
      <c r="P41" s="19">
        <v>1050000</v>
      </c>
    </row>
    <row r="42" spans="1:17">
      <c r="A42" s="24" t="s">
        <v>125</v>
      </c>
      <c r="B42" s="25">
        <f>SUM(B27:B41)</f>
        <v>577423</v>
      </c>
      <c r="C42" s="25">
        <f>SUM(C27:C41)</f>
        <v>430000</v>
      </c>
      <c r="D42" s="26"/>
      <c r="E42" s="25">
        <f>SUM(E27:E41)</f>
        <v>593408</v>
      </c>
      <c r="F42" s="20"/>
      <c r="O42" s="38" t="s">
        <v>126</v>
      </c>
      <c r="P42" s="19"/>
    </row>
    <row r="43" spans="1:17">
      <c r="A43" s="2"/>
      <c r="B43" s="13"/>
      <c r="C43" s="13"/>
      <c r="E43" s="19"/>
      <c r="F43" s="20"/>
      <c r="P43" s="19"/>
    </row>
    <row r="44" spans="1:17">
      <c r="A44" s="3" t="s">
        <v>78</v>
      </c>
      <c r="B44" s="13"/>
      <c r="C44" s="13"/>
      <c r="E44" s="19"/>
      <c r="F44" s="20"/>
    </row>
    <row r="45" spans="1:17">
      <c r="A45" s="2" t="s">
        <v>28</v>
      </c>
      <c r="B45" s="13">
        <f>58758+7297+6295</f>
        <v>72350</v>
      </c>
      <c r="C45" s="13">
        <v>70000</v>
      </c>
      <c r="D45" t="s">
        <v>80</v>
      </c>
      <c r="E45" s="30">
        <v>99183</v>
      </c>
      <c r="F45" s="20" t="s">
        <v>127</v>
      </c>
    </row>
    <row r="46" spans="1:17">
      <c r="A46" s="2" t="s">
        <v>81</v>
      </c>
      <c r="B46" s="13">
        <f>12931</f>
        <v>12931</v>
      </c>
      <c r="C46" s="13">
        <v>13000</v>
      </c>
      <c r="E46" s="30">
        <v>4748</v>
      </c>
      <c r="F46" s="20"/>
    </row>
    <row r="47" spans="1:17">
      <c r="A47" s="2" t="s">
        <v>30</v>
      </c>
      <c r="B47" s="13">
        <v>23916</v>
      </c>
      <c r="C47" s="13">
        <v>24000</v>
      </c>
      <c r="E47" s="30">
        <v>23633</v>
      </c>
      <c r="F47" s="20"/>
    </row>
    <row r="48" spans="1:17">
      <c r="A48" s="2" t="s">
        <v>31</v>
      </c>
      <c r="B48" s="13">
        <f>9732</f>
        <v>9732</v>
      </c>
      <c r="C48" s="13">
        <v>7000</v>
      </c>
      <c r="E48" s="33">
        <v>9995</v>
      </c>
      <c r="F48" s="20" t="s">
        <v>128</v>
      </c>
    </row>
    <row r="49" spans="1:6">
      <c r="A49" s="2" t="s">
        <v>33</v>
      </c>
      <c r="B49" s="13">
        <f>1665+3656+3279+6595</f>
        <v>15195</v>
      </c>
      <c r="C49" s="13">
        <v>15000</v>
      </c>
      <c r="E49" s="33">
        <f>159715-SUM(E45:E48)</f>
        <v>22156</v>
      </c>
      <c r="F49" s="20" t="s">
        <v>129</v>
      </c>
    </row>
    <row r="50" spans="1:6">
      <c r="A50" s="24" t="s">
        <v>130</v>
      </c>
      <c r="B50" s="25">
        <f>SUM(B45:B49)</f>
        <v>134124</v>
      </c>
      <c r="C50" s="25">
        <f>SUM(C45:C49)</f>
        <v>129000</v>
      </c>
      <c r="D50" s="26"/>
      <c r="E50" s="25">
        <f>SUM(E45:E49)</f>
        <v>159715</v>
      </c>
      <c r="F50" s="20"/>
    </row>
    <row r="51" spans="1:6">
      <c r="A51" s="24" t="s">
        <v>34</v>
      </c>
      <c r="B51" s="25">
        <f>B50+B42</f>
        <v>711547</v>
      </c>
      <c r="C51" s="25">
        <f>C50+C42</f>
        <v>559000</v>
      </c>
      <c r="D51" s="26"/>
      <c r="E51" s="25">
        <f>E50+E42</f>
        <v>753123</v>
      </c>
      <c r="F51" s="20"/>
    </row>
    <row r="52" spans="1:6">
      <c r="A52" s="2"/>
      <c r="B52" s="13"/>
      <c r="C52" s="13"/>
      <c r="E52" s="19"/>
      <c r="F52" s="20"/>
    </row>
    <row r="53" spans="1:6">
      <c r="A53" s="22" t="s">
        <v>131</v>
      </c>
      <c r="B53" s="27">
        <f>B23-B51</f>
        <v>-66522.150000000023</v>
      </c>
      <c r="C53" s="27">
        <f>C23-C51</f>
        <v>49500</v>
      </c>
      <c r="D53" s="23"/>
      <c r="E53" s="27">
        <f>E23-E51</f>
        <v>88454.199999999953</v>
      </c>
    </row>
    <row r="54" spans="1:6">
      <c r="A54" s="3"/>
      <c r="B54" s="19"/>
      <c r="C54" s="19"/>
      <c r="E54" s="19"/>
    </row>
    <row r="55" spans="1:6">
      <c r="A55" s="2" t="s">
        <v>35</v>
      </c>
      <c r="B55" s="13">
        <v>37073</v>
      </c>
      <c r="C55" s="13">
        <v>37000</v>
      </c>
      <c r="E55" s="30">
        <v>37072</v>
      </c>
    </row>
    <row r="56" spans="1:6">
      <c r="A56" s="22" t="s">
        <v>36</v>
      </c>
      <c r="B56" s="27">
        <f>B53-B55</f>
        <v>-103595.15000000002</v>
      </c>
      <c r="C56" s="27">
        <f>C53-C55</f>
        <v>12500</v>
      </c>
      <c r="D56" s="23"/>
      <c r="E56" s="27">
        <f>E53-E55</f>
        <v>51382.199999999953</v>
      </c>
    </row>
    <row r="57" spans="1:6">
      <c r="A57" s="3"/>
      <c r="E57" s="19"/>
    </row>
    <row r="58" spans="1:6">
      <c r="A58" s="2" t="s">
        <v>86</v>
      </c>
      <c r="B58" s="13">
        <v>17592</v>
      </c>
      <c r="C58" s="13">
        <v>17000</v>
      </c>
      <c r="E58" s="33">
        <v>3138</v>
      </c>
    </row>
    <row r="59" spans="1:6">
      <c r="A59" s="2"/>
      <c r="B59" s="13"/>
      <c r="E59" s="19"/>
    </row>
    <row r="60" spans="1:6">
      <c r="A60" s="22" t="s">
        <v>37</v>
      </c>
      <c r="B60" s="27">
        <f>B56+B58</f>
        <v>-86003.150000000023</v>
      </c>
      <c r="C60" s="27">
        <f>C56+C58</f>
        <v>29500</v>
      </c>
      <c r="D60" s="23"/>
      <c r="E60" s="27">
        <f>E56+E58</f>
        <v>54520.199999999953</v>
      </c>
    </row>
    <row r="61" spans="1:6">
      <c r="A61" s="2"/>
      <c r="E61" s="19"/>
    </row>
    <row r="62" spans="1:6">
      <c r="E62" s="19"/>
    </row>
    <row r="63" spans="1:6">
      <c r="E63" s="19"/>
    </row>
    <row r="64" spans="1:6">
      <c r="E64" s="19"/>
    </row>
    <row r="65" spans="5:5">
      <c r="E65" s="19"/>
    </row>
    <row r="66" spans="5:5">
      <c r="E66" s="19"/>
    </row>
    <row r="67" spans="5:5">
      <c r="E67" s="19"/>
    </row>
    <row r="68" spans="5:5">
      <c r="E68" s="19"/>
    </row>
    <row r="69" spans="5:5">
      <c r="E69" s="19"/>
    </row>
  </sheetData>
  <pageMargins left="0.7" right="0.7" top="0.75" bottom="0.75" header="0.3" footer="0.3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CDA5F-B3F8-446A-A3D5-B74BCD12C7D0}">
  <sheetPr>
    <pageSetUpPr fitToPage="1"/>
  </sheetPr>
  <dimension ref="A1:R69"/>
  <sheetViews>
    <sheetView showGridLines="0" topLeftCell="A32" workbookViewId="0">
      <selection activeCell="P35" sqref="P35"/>
    </sheetView>
  </sheetViews>
  <sheetFormatPr defaultRowHeight="15" outlineLevelCol="1"/>
  <cols>
    <col min="1" max="1" width="29.140625" bestFit="1" customWidth="1"/>
    <col min="2" max="2" width="29.5703125" style="37" hidden="1" customWidth="1" outlineLevel="1"/>
    <col min="3" max="3" width="10.42578125" bestFit="1" customWidth="1" collapsed="1"/>
    <col min="4" max="4" width="7.85546875" hidden="1" customWidth="1" outlineLevel="1"/>
    <col min="5" max="5" width="56.85546875" hidden="1" customWidth="1" outlineLevel="1"/>
    <col min="6" max="6" width="9.7109375" bestFit="1" customWidth="1" collapsed="1"/>
    <col min="7" max="7" width="13" hidden="1" customWidth="1" outlineLevel="1"/>
    <col min="8" max="8" width="54.28515625" style="20" hidden="1" customWidth="1" outlineLevel="1"/>
    <col min="9" max="9" width="9.7109375" bestFit="1" customWidth="1" collapsed="1"/>
    <col min="10" max="10" width="17.140625" customWidth="1"/>
    <col min="11" max="11" width="21.5703125" customWidth="1"/>
    <col min="13" max="13" width="36.85546875" customWidth="1"/>
    <col min="14" max="14" width="13.42578125" bestFit="1" customWidth="1"/>
    <col min="15" max="15" width="9.7109375" bestFit="1" customWidth="1"/>
    <col min="16" max="16" width="32.5703125" customWidth="1"/>
  </cols>
  <sheetData>
    <row r="1" spans="1:16" ht="18.75">
      <c r="A1" s="1" t="s">
        <v>0</v>
      </c>
    </row>
    <row r="2" spans="1:16">
      <c r="A2" s="2"/>
    </row>
    <row r="3" spans="1:16">
      <c r="A3" s="2"/>
      <c r="F3" s="37"/>
      <c r="H3" s="54"/>
    </row>
    <row r="4" spans="1:16">
      <c r="A4" s="2"/>
      <c r="B4" s="54" t="s">
        <v>93</v>
      </c>
      <c r="C4" s="16" t="s">
        <v>3</v>
      </c>
      <c r="D4" s="16" t="s">
        <v>4</v>
      </c>
      <c r="F4" s="16" t="s">
        <v>3</v>
      </c>
      <c r="G4" s="16" t="s">
        <v>132</v>
      </c>
      <c r="H4" s="56" t="s">
        <v>5</v>
      </c>
      <c r="I4" s="16" t="s">
        <v>4</v>
      </c>
      <c r="J4" s="20"/>
      <c r="N4" s="16" t="s">
        <v>3</v>
      </c>
      <c r="O4" s="16" t="s">
        <v>4</v>
      </c>
    </row>
    <row r="5" spans="1:16">
      <c r="A5" s="48" t="s">
        <v>133</v>
      </c>
      <c r="B5" s="55"/>
      <c r="C5" s="49">
        <v>2024</v>
      </c>
      <c r="D5" s="49">
        <v>2025</v>
      </c>
      <c r="E5" s="49"/>
      <c r="F5" s="49">
        <v>2025</v>
      </c>
      <c r="G5" s="49">
        <v>2025</v>
      </c>
      <c r="H5" s="51"/>
      <c r="I5" s="50">
        <v>2026</v>
      </c>
      <c r="J5" s="50"/>
      <c r="K5" s="50"/>
      <c r="M5" s="49" t="s">
        <v>87</v>
      </c>
      <c r="N5" s="50">
        <v>2025</v>
      </c>
      <c r="O5" s="50">
        <v>2026</v>
      </c>
      <c r="P5" s="69" t="s">
        <v>5</v>
      </c>
    </row>
    <row r="6" spans="1:16">
      <c r="A6" s="2" t="s">
        <v>7</v>
      </c>
      <c r="B6" s="54">
        <v>3510</v>
      </c>
      <c r="C6" s="57">
        <v>87000</v>
      </c>
      <c r="D6" s="57">
        <v>92000</v>
      </c>
      <c r="E6" t="s">
        <v>42</v>
      </c>
      <c r="F6" s="19">
        <v>90100</v>
      </c>
      <c r="G6" s="19">
        <f>IFERROR(F6-D6,0)</f>
        <v>-1900</v>
      </c>
      <c r="I6" s="53">
        <v>95000</v>
      </c>
      <c r="J6" s="52"/>
      <c r="M6" t="s">
        <v>7</v>
      </c>
      <c r="N6" s="19">
        <f>F6</f>
        <v>90100</v>
      </c>
      <c r="O6" s="19">
        <f>I6</f>
        <v>95000</v>
      </c>
      <c r="P6" s="20" t="s">
        <v>134</v>
      </c>
    </row>
    <row r="7" spans="1:16">
      <c r="A7" s="2" t="s">
        <v>11</v>
      </c>
      <c r="B7" s="54">
        <v>3112</v>
      </c>
      <c r="C7" s="57">
        <v>83240</v>
      </c>
      <c r="D7" s="57">
        <v>90000</v>
      </c>
      <c r="E7" t="s">
        <v>44</v>
      </c>
      <c r="F7" s="19">
        <v>130675</v>
      </c>
      <c r="G7" s="19">
        <f t="shared" ref="G7:G22" si="0">IFERROR(F7-D7,0)</f>
        <v>40675</v>
      </c>
      <c r="I7" s="53">
        <v>90000</v>
      </c>
      <c r="M7" t="s">
        <v>94</v>
      </c>
      <c r="N7" s="19">
        <f>F16</f>
        <v>37000</v>
      </c>
      <c r="O7" s="19">
        <f>I16</f>
        <v>31000</v>
      </c>
      <c r="P7" s="20" t="s">
        <v>135</v>
      </c>
    </row>
    <row r="8" spans="1:16">
      <c r="A8" s="2" t="s">
        <v>12</v>
      </c>
      <c r="B8" s="37" t="s">
        <v>106</v>
      </c>
      <c r="C8" s="57">
        <v>52165</v>
      </c>
      <c r="D8" s="57">
        <f>20000+9000+25000</f>
        <v>54000</v>
      </c>
      <c r="E8" t="s">
        <v>46</v>
      </c>
      <c r="F8" s="58"/>
      <c r="G8" s="19">
        <f t="shared" si="0"/>
        <v>-54000</v>
      </c>
      <c r="I8" s="58"/>
      <c r="M8" t="s">
        <v>14</v>
      </c>
      <c r="N8" s="19">
        <f>F17</f>
        <v>107418</v>
      </c>
      <c r="O8" s="19">
        <f>I17</f>
        <v>90000</v>
      </c>
      <c r="P8" s="20" t="s">
        <v>136</v>
      </c>
    </row>
    <row r="9" spans="1:16">
      <c r="A9" s="2" t="s">
        <v>96</v>
      </c>
      <c r="B9" s="54">
        <v>3111</v>
      </c>
      <c r="C9" s="59"/>
      <c r="D9" s="59"/>
      <c r="F9" s="19">
        <f>53325</f>
        <v>53325</v>
      </c>
      <c r="G9" s="19">
        <f t="shared" si="0"/>
        <v>53325</v>
      </c>
      <c r="I9" s="52">
        <v>30000</v>
      </c>
      <c r="J9" s="20" t="s">
        <v>137</v>
      </c>
      <c r="M9" t="s">
        <v>95</v>
      </c>
      <c r="N9" s="19">
        <f>F40</f>
        <v>-27761</v>
      </c>
      <c r="O9" s="19">
        <f>I40</f>
        <v>0</v>
      </c>
    </row>
    <row r="10" spans="1:16">
      <c r="A10" s="2" t="s">
        <v>97</v>
      </c>
      <c r="B10" s="54">
        <v>3115</v>
      </c>
      <c r="C10" s="59"/>
      <c r="D10" s="59"/>
      <c r="F10" s="19">
        <v>60950</v>
      </c>
      <c r="G10" s="19">
        <f t="shared" si="0"/>
        <v>60950</v>
      </c>
      <c r="H10" s="20" t="s">
        <v>98</v>
      </c>
      <c r="I10" s="52">
        <v>0</v>
      </c>
      <c r="N10" s="28">
        <f>SUM(N6:N9)</f>
        <v>206757</v>
      </c>
      <c r="O10" s="28">
        <f>SUM(O6:O9)</f>
        <v>216000</v>
      </c>
    </row>
    <row r="11" spans="1:16">
      <c r="A11" s="2" t="s">
        <v>47</v>
      </c>
      <c r="B11" s="54">
        <v>3113</v>
      </c>
      <c r="C11" s="57">
        <v>455</v>
      </c>
      <c r="D11" s="57">
        <v>0</v>
      </c>
      <c r="F11" s="19">
        <v>21925</v>
      </c>
      <c r="G11" s="19">
        <f t="shared" si="0"/>
        <v>21925</v>
      </c>
      <c r="I11" s="52">
        <v>8000</v>
      </c>
      <c r="J11" t="s">
        <v>138</v>
      </c>
      <c r="M11" s="15" t="s">
        <v>139</v>
      </c>
    </row>
    <row r="12" spans="1:16">
      <c r="A12" s="2" t="s">
        <v>100</v>
      </c>
      <c r="B12" s="54">
        <v>3312</v>
      </c>
      <c r="C12" s="57">
        <f>53870</f>
        <v>53870</v>
      </c>
      <c r="D12" s="57">
        <v>50000</v>
      </c>
      <c r="F12" s="19">
        <v>56428</v>
      </c>
      <c r="G12" s="19">
        <f t="shared" si="0"/>
        <v>6428</v>
      </c>
      <c r="I12" s="52">
        <v>50000</v>
      </c>
      <c r="M12" t="s">
        <v>99</v>
      </c>
      <c r="N12" s="19">
        <f>F9+F33-12320</f>
        <v>25719</v>
      </c>
      <c r="O12" s="19">
        <f>I9+I33</f>
        <v>10000</v>
      </c>
      <c r="P12" s="20" t="s">
        <v>140</v>
      </c>
    </row>
    <row r="13" spans="1:16">
      <c r="A13" s="2" t="s">
        <v>102</v>
      </c>
      <c r="B13" s="54">
        <v>3315</v>
      </c>
      <c r="C13" s="57">
        <v>27800</v>
      </c>
      <c r="D13" s="60">
        <v>30000</v>
      </c>
      <c r="F13" s="19">
        <f>30500+2700</f>
        <v>33200</v>
      </c>
      <c r="G13" s="19">
        <f t="shared" si="0"/>
        <v>3200</v>
      </c>
      <c r="I13" s="52">
        <v>30000</v>
      </c>
      <c r="M13" t="s">
        <v>98</v>
      </c>
      <c r="N13" s="19">
        <f>F10-5253</f>
        <v>55697</v>
      </c>
      <c r="O13" s="19">
        <v>0</v>
      </c>
    </row>
    <row r="14" spans="1:16">
      <c r="A14" s="2" t="s">
        <v>16</v>
      </c>
      <c r="B14" s="54">
        <v>3410</v>
      </c>
      <c r="C14" s="57">
        <v>40650</v>
      </c>
      <c r="D14" s="57">
        <v>40000</v>
      </c>
      <c r="F14" s="19">
        <v>52200</v>
      </c>
      <c r="G14" s="19">
        <f t="shared" si="0"/>
        <v>12200</v>
      </c>
      <c r="I14" s="52">
        <v>40000</v>
      </c>
      <c r="J14" s="20"/>
      <c r="M14" t="s">
        <v>101</v>
      </c>
      <c r="N14" s="19">
        <f>F7-2142</f>
        <v>128533</v>
      </c>
      <c r="O14" s="19">
        <f>I7+I31</f>
        <v>40000</v>
      </c>
    </row>
    <row r="15" spans="1:16">
      <c r="A15" s="2" t="s">
        <v>17</v>
      </c>
      <c r="B15" s="54">
        <v>3170</v>
      </c>
      <c r="C15" s="57">
        <v>74380</v>
      </c>
      <c r="D15" s="57">
        <f>42500+15000</f>
        <v>57500</v>
      </c>
      <c r="E15" t="s">
        <v>54</v>
      </c>
      <c r="F15" s="19">
        <v>51430</v>
      </c>
      <c r="G15" s="19">
        <f t="shared" si="0"/>
        <v>-6070</v>
      </c>
      <c r="I15" s="52">
        <v>80000</v>
      </c>
      <c r="J15" s="20"/>
      <c r="M15" t="s">
        <v>103</v>
      </c>
      <c r="N15" s="19">
        <f>F11-6210</f>
        <v>15715</v>
      </c>
      <c r="O15" s="19">
        <f>I11+I32</f>
        <v>3000</v>
      </c>
    </row>
    <row r="16" spans="1:16">
      <c r="A16" s="2" t="s">
        <v>105</v>
      </c>
      <c r="B16" s="54">
        <v>3920</v>
      </c>
      <c r="C16" s="59"/>
      <c r="D16" s="59"/>
      <c r="F16" s="19">
        <v>37000</v>
      </c>
      <c r="G16" s="19">
        <f t="shared" si="0"/>
        <v>37000</v>
      </c>
      <c r="I16" s="52">
        <f>15000+8000+8000</f>
        <v>31000</v>
      </c>
      <c r="J16" s="20" t="s">
        <v>135</v>
      </c>
      <c r="M16" t="s">
        <v>141</v>
      </c>
      <c r="N16" s="19">
        <f>F21-525</f>
        <v>22982</v>
      </c>
      <c r="O16" s="19">
        <f>I21</f>
        <v>10000</v>
      </c>
      <c r="P16" s="20"/>
    </row>
    <row r="17" spans="1:16">
      <c r="A17" s="2" t="s">
        <v>107</v>
      </c>
      <c r="B17" s="54" t="s">
        <v>142</v>
      </c>
      <c r="C17" s="57">
        <f>16040+61522.6+3853.75</f>
        <v>81416.350000000006</v>
      </c>
      <c r="D17" s="57">
        <v>90000</v>
      </c>
      <c r="E17" t="s">
        <v>51</v>
      </c>
      <c r="F17" s="19">
        <f>17173+66860+21482+4603-2700</f>
        <v>107418</v>
      </c>
      <c r="G17" s="19">
        <f t="shared" si="0"/>
        <v>17418</v>
      </c>
      <c r="H17" s="20" t="s">
        <v>108</v>
      </c>
      <c r="I17" s="52">
        <f>70000+16000+4000</f>
        <v>90000</v>
      </c>
      <c r="J17" s="20" t="s">
        <v>143</v>
      </c>
      <c r="N17" s="28">
        <f>SUM(N12:N16)</f>
        <v>248646</v>
      </c>
      <c r="O17" s="28">
        <f>SUM(O12:O16)</f>
        <v>63000</v>
      </c>
    </row>
    <row r="18" spans="1:16">
      <c r="A18" s="2" t="s">
        <v>57</v>
      </c>
      <c r="B18" s="54">
        <v>3311</v>
      </c>
      <c r="C18" s="57">
        <v>17465</v>
      </c>
      <c r="D18" s="57">
        <v>10000</v>
      </c>
      <c r="F18" s="19">
        <v>16031</v>
      </c>
      <c r="G18" s="19">
        <f t="shared" si="0"/>
        <v>6031</v>
      </c>
      <c r="I18" s="52">
        <v>10000</v>
      </c>
      <c r="M18" s="15" t="s">
        <v>144</v>
      </c>
    </row>
    <row r="19" spans="1:16">
      <c r="A19" s="2" t="s">
        <v>112</v>
      </c>
      <c r="B19" s="54">
        <v>3911</v>
      </c>
      <c r="C19" s="59"/>
      <c r="D19" s="59"/>
      <c r="F19" s="19">
        <v>83457</v>
      </c>
      <c r="G19" s="19">
        <f t="shared" si="0"/>
        <v>83457</v>
      </c>
      <c r="I19" s="52">
        <v>70000</v>
      </c>
      <c r="M19" t="s">
        <v>145</v>
      </c>
      <c r="N19" s="19">
        <f>47574-23680</f>
        <v>23894</v>
      </c>
      <c r="O19" s="19">
        <f>I15+I29</f>
        <v>40000</v>
      </c>
      <c r="P19" s="20" t="s">
        <v>146</v>
      </c>
    </row>
    <row r="20" spans="1:16">
      <c r="A20" s="2" t="s">
        <v>113</v>
      </c>
      <c r="B20" s="54">
        <v>3960</v>
      </c>
      <c r="C20" s="57">
        <v>0</v>
      </c>
      <c r="D20" s="61">
        <v>0</v>
      </c>
      <c r="F20" s="19">
        <v>20045</v>
      </c>
      <c r="G20" s="19">
        <f t="shared" si="0"/>
        <v>20045</v>
      </c>
      <c r="I20" s="52">
        <v>0</v>
      </c>
      <c r="J20" s="20"/>
      <c r="M20" t="s">
        <v>111</v>
      </c>
      <c r="N20" s="19">
        <f>F14</f>
        <v>52200</v>
      </c>
      <c r="O20" s="19">
        <f>I14</f>
        <v>40000</v>
      </c>
    </row>
    <row r="21" spans="1:16">
      <c r="A21" t="s">
        <v>141</v>
      </c>
      <c r="B21" s="54">
        <v>3110</v>
      </c>
      <c r="C21" s="57">
        <v>0</v>
      </c>
      <c r="D21" s="61">
        <v>0</v>
      </c>
      <c r="F21" s="19">
        <v>23507</v>
      </c>
      <c r="G21" s="19">
        <f t="shared" si="0"/>
        <v>23507</v>
      </c>
      <c r="I21" s="52">
        <v>10000</v>
      </c>
      <c r="J21" s="20" t="s">
        <v>147</v>
      </c>
      <c r="N21" s="28">
        <f>SUM(N19:N20)</f>
        <v>76094</v>
      </c>
      <c r="O21" s="28">
        <f>SUM(O19:O20)</f>
        <v>80000</v>
      </c>
    </row>
    <row r="22" spans="1:16">
      <c r="A22" s="2" t="s">
        <v>18</v>
      </c>
      <c r="B22" s="37" t="s">
        <v>106</v>
      </c>
      <c r="C22" s="13">
        <f>1677+124906.5</f>
        <v>126583.5</v>
      </c>
      <c r="D22" s="17">
        <f>50000+15000+15000+15000</f>
        <v>95000</v>
      </c>
      <c r="E22" t="s">
        <v>59</v>
      </c>
      <c r="F22" s="19">
        <f>841577.2-837691</f>
        <v>3886.1999999999534</v>
      </c>
      <c r="G22" s="19">
        <f t="shared" si="0"/>
        <v>-91113.800000000047</v>
      </c>
      <c r="I22" s="52">
        <v>0</v>
      </c>
      <c r="M22" s="15" t="s">
        <v>148</v>
      </c>
    </row>
    <row r="23" spans="1:16">
      <c r="A23" s="24" t="s">
        <v>20</v>
      </c>
      <c r="B23" s="54"/>
      <c r="C23" s="25">
        <f>SUM(C6:C22)</f>
        <v>645024.85</v>
      </c>
      <c r="D23" s="25">
        <f>SUM(D6:D22)</f>
        <v>608500</v>
      </c>
      <c r="E23" s="25"/>
      <c r="F23" s="25">
        <f>SUM(F6:F22)</f>
        <v>841577.2</v>
      </c>
      <c r="G23" s="25">
        <f>SUM(G6:G22)</f>
        <v>233077.19999999995</v>
      </c>
      <c r="I23" s="25">
        <f>SUM(I6:I22)</f>
        <v>634000</v>
      </c>
      <c r="M23" t="s">
        <v>114</v>
      </c>
      <c r="N23" s="19">
        <f>F12+F36</f>
        <v>-67369</v>
      </c>
      <c r="O23" s="19">
        <f>I12+I36</f>
        <v>-50000</v>
      </c>
    </row>
    <row r="24" spans="1:16">
      <c r="I24" s="52"/>
      <c r="J24" s="20"/>
      <c r="M24" t="s">
        <v>115</v>
      </c>
      <c r="N24" s="19">
        <f>SUM(F30,F35)</f>
        <v>-74734</v>
      </c>
      <c r="O24" s="19">
        <f>SUM(I30+I35)</f>
        <v>-60000</v>
      </c>
      <c r="P24" s="20" t="s">
        <v>149</v>
      </c>
    </row>
    <row r="25" spans="1:16">
      <c r="A25" s="3"/>
      <c r="B25" s="54"/>
      <c r="F25" s="19"/>
      <c r="I25" s="52"/>
      <c r="J25" s="20"/>
      <c r="K25">
        <v>-1</v>
      </c>
      <c r="M25" t="s">
        <v>113</v>
      </c>
      <c r="N25" s="19">
        <f>F20</f>
        <v>20045</v>
      </c>
      <c r="O25" s="19">
        <f>I20</f>
        <v>0</v>
      </c>
    </row>
    <row r="26" spans="1:16">
      <c r="A26" s="3" t="s">
        <v>60</v>
      </c>
      <c r="B26" s="54"/>
      <c r="F26" s="19"/>
      <c r="I26" s="52"/>
      <c r="J26" s="20"/>
      <c r="N26" s="28">
        <f>SUM(N23:N25)</f>
        <v>-122058</v>
      </c>
      <c r="O26" s="28">
        <f>SUM(O23:O25)</f>
        <v>-110000</v>
      </c>
    </row>
    <row r="27" spans="1:16">
      <c r="A27" s="2" t="s">
        <v>21</v>
      </c>
      <c r="B27" s="54">
        <v>4011</v>
      </c>
      <c r="C27" s="57">
        <v>-104735</v>
      </c>
      <c r="D27" s="57">
        <v>50000</v>
      </c>
      <c r="E27" t="s">
        <v>61</v>
      </c>
      <c r="F27" s="19">
        <v>-101011</v>
      </c>
      <c r="G27" s="19">
        <f>IFERROR(F27-D27,0)</f>
        <v>-151011</v>
      </c>
      <c r="I27" s="52">
        <f>-SUM(I18:I19)</f>
        <v>-80000</v>
      </c>
      <c r="J27" s="20" t="s">
        <v>150</v>
      </c>
      <c r="M27" s="15" t="s">
        <v>151</v>
      </c>
    </row>
    <row r="28" spans="1:16">
      <c r="A28" s="2" t="s">
        <v>62</v>
      </c>
      <c r="B28" s="54">
        <v>4012</v>
      </c>
      <c r="C28" s="57">
        <v>-17399</v>
      </c>
      <c r="D28" s="57">
        <v>0</v>
      </c>
      <c r="E28" t="s">
        <v>63</v>
      </c>
      <c r="F28" s="62"/>
      <c r="G28" s="19">
        <f>IFERROR(F28-D28,0)</f>
        <v>0</v>
      </c>
      <c r="I28" s="62"/>
      <c r="J28" s="20"/>
      <c r="M28" t="s">
        <v>102</v>
      </c>
      <c r="N28" s="19">
        <f>F13+F38</f>
        <v>-36986</v>
      </c>
      <c r="O28" s="19">
        <f>I13+I38</f>
        <v>-30000</v>
      </c>
    </row>
    <row r="29" spans="1:16">
      <c r="A29" s="2" t="s">
        <v>22</v>
      </c>
      <c r="B29" s="54">
        <v>4090</v>
      </c>
      <c r="C29" s="57">
        <v>-56340</v>
      </c>
      <c r="D29" s="57">
        <v>45000</v>
      </c>
      <c r="F29" s="19">
        <v>-53986</v>
      </c>
      <c r="G29" s="19">
        <f>IFERROR(F29-D29,0)</f>
        <v>-98986</v>
      </c>
      <c r="I29" s="52">
        <f>-I15*0.5</f>
        <v>-40000</v>
      </c>
      <c r="J29" s="20" t="s">
        <v>152</v>
      </c>
      <c r="M29" t="s">
        <v>116</v>
      </c>
      <c r="N29" s="19">
        <f>SUM(F31,F32,F34,F37,F39)</f>
        <v>-125278</v>
      </c>
      <c r="O29" s="19">
        <f>SUM(I37+I34)</f>
        <v>-30000</v>
      </c>
    </row>
    <row r="30" spans="1:16">
      <c r="A30" s="2" t="s">
        <v>64</v>
      </c>
      <c r="B30" s="54">
        <v>4110</v>
      </c>
      <c r="C30" s="57">
        <v>-37025</v>
      </c>
      <c r="D30" s="57">
        <v>30000</v>
      </c>
      <c r="E30" s="18"/>
      <c r="F30" s="19">
        <v>-48992</v>
      </c>
      <c r="G30" s="19">
        <f>IFERROR(F30-D30,0)</f>
        <v>-78992</v>
      </c>
      <c r="I30" s="52">
        <v>-50000</v>
      </c>
      <c r="J30" s="20"/>
      <c r="N30" s="28">
        <f>SUM(N28:N29)</f>
        <v>-162264</v>
      </c>
      <c r="O30" s="28">
        <f>SUM(O28:O29)</f>
        <v>-60000</v>
      </c>
    </row>
    <row r="31" spans="1:16">
      <c r="A31" s="2" t="s">
        <v>65</v>
      </c>
      <c r="B31" s="54">
        <v>4132</v>
      </c>
      <c r="C31" s="57">
        <v>-46388</v>
      </c>
      <c r="D31" s="57">
        <v>45000</v>
      </c>
      <c r="F31" s="19">
        <v>-47445</v>
      </c>
      <c r="G31" s="19">
        <f>IFERROR(F31-D31,0)</f>
        <v>-92445</v>
      </c>
      <c r="I31" s="52">
        <v>-50000</v>
      </c>
      <c r="J31" s="20"/>
      <c r="M31" s="15" t="s">
        <v>153</v>
      </c>
    </row>
    <row r="32" spans="1:16">
      <c r="A32" s="2" t="s">
        <v>66</v>
      </c>
      <c r="B32" s="54">
        <v>4111</v>
      </c>
      <c r="C32" s="57">
        <v>-6245</v>
      </c>
      <c r="D32" s="57">
        <v>5000</v>
      </c>
      <c r="F32" s="19">
        <v>-6110</v>
      </c>
      <c r="G32" s="19">
        <f>IFERROR(F32-D32,0)</f>
        <v>-11110</v>
      </c>
      <c r="I32" s="52">
        <v>-5000</v>
      </c>
      <c r="J32" s="20"/>
      <c r="M32" t="s">
        <v>117</v>
      </c>
      <c r="N32" s="19">
        <f>F45</f>
        <v>-99183</v>
      </c>
      <c r="O32" s="19">
        <f>I45</f>
        <v>-80000</v>
      </c>
      <c r="P32" s="20" t="s">
        <v>154</v>
      </c>
    </row>
    <row r="33" spans="1:16">
      <c r="A33" s="2" t="s">
        <v>155</v>
      </c>
      <c r="B33" s="37">
        <v>4145</v>
      </c>
      <c r="C33" s="63">
        <v>-19192</v>
      </c>
      <c r="D33" s="63">
        <v>20000</v>
      </c>
      <c r="E33" t="s">
        <v>68</v>
      </c>
      <c r="F33" s="19">
        <v>-15286</v>
      </c>
      <c r="G33" s="19">
        <f>IFERROR(F33-D33,0)</f>
        <v>-35286</v>
      </c>
      <c r="H33" s="20" t="s">
        <v>120</v>
      </c>
      <c r="I33" s="52">
        <v>-20000</v>
      </c>
      <c r="J33" s="20" t="s">
        <v>156</v>
      </c>
      <c r="M33" t="s">
        <v>118</v>
      </c>
      <c r="N33" s="19">
        <f>F46</f>
        <v>-4748</v>
      </c>
      <c r="O33" s="19">
        <f>I46</f>
        <v>-5000</v>
      </c>
      <c r="P33" s="20" t="s">
        <v>157</v>
      </c>
    </row>
    <row r="34" spans="1:16">
      <c r="A34" s="2" t="s">
        <v>69</v>
      </c>
      <c r="B34" s="37">
        <v>4350</v>
      </c>
      <c r="C34" s="57">
        <v>-19838</v>
      </c>
      <c r="D34" s="57">
        <v>20000</v>
      </c>
      <c r="E34" t="s">
        <v>70</v>
      </c>
      <c r="F34" s="19">
        <v>-51030</v>
      </c>
      <c r="G34" s="19">
        <f>IFERROR(F34-D34,0)</f>
        <v>-71030</v>
      </c>
      <c r="H34" s="20" t="s">
        <v>121</v>
      </c>
      <c r="I34" s="52">
        <v>-20000</v>
      </c>
      <c r="J34" s="20" t="s">
        <v>70</v>
      </c>
      <c r="M34" t="s">
        <v>119</v>
      </c>
      <c r="N34" s="19">
        <f>F18+F19+F27</f>
        <v>-1523</v>
      </c>
      <c r="O34" s="19">
        <f>I18+I19+I27</f>
        <v>0</v>
      </c>
      <c r="P34" s="20" t="s">
        <v>158</v>
      </c>
    </row>
    <row r="35" spans="1:16">
      <c r="A35" s="2" t="s">
        <v>25</v>
      </c>
      <c r="B35" s="37">
        <v>4140</v>
      </c>
      <c r="C35" s="57">
        <f>-174292+90580</f>
        <v>-83712</v>
      </c>
      <c r="D35" s="57">
        <v>40000</v>
      </c>
      <c r="E35" t="s">
        <v>72</v>
      </c>
      <c r="F35" s="19">
        <v>-25742</v>
      </c>
      <c r="G35" s="19">
        <f>IFERROR(F35-D35,0)</f>
        <v>-65742</v>
      </c>
      <c r="I35" s="52">
        <v>-10000</v>
      </c>
      <c r="J35" s="20"/>
      <c r="M35" t="s">
        <v>30</v>
      </c>
      <c r="N35" s="19">
        <f>F47</f>
        <v>-23633</v>
      </c>
      <c r="O35" s="19">
        <f>I47</f>
        <v>-25000</v>
      </c>
    </row>
    <row r="36" spans="1:16">
      <c r="A36" s="2" t="s">
        <v>73</v>
      </c>
      <c r="B36" s="37">
        <v>4360</v>
      </c>
      <c r="C36" s="57">
        <v>-90580</v>
      </c>
      <c r="D36" s="57">
        <v>90000</v>
      </c>
      <c r="F36" s="19">
        <v>-123797</v>
      </c>
      <c r="G36" s="19">
        <f>IFERROR(F36-D36,0)</f>
        <v>-213797</v>
      </c>
      <c r="I36" s="52">
        <f>-I12*2</f>
        <v>-100000</v>
      </c>
      <c r="J36" s="20" t="s">
        <v>159</v>
      </c>
      <c r="M36" t="s">
        <v>122</v>
      </c>
      <c r="N36" s="19">
        <f>F22+F41+F48+F49+F56-3138</f>
        <v>-29633.800000000047</v>
      </c>
      <c r="O36" s="19">
        <f>SUM(I49+I48)</f>
        <v>-30000</v>
      </c>
      <c r="P36" s="20" t="s">
        <v>160</v>
      </c>
    </row>
    <row r="37" spans="1:16">
      <c r="A37" s="2" t="s">
        <v>24</v>
      </c>
      <c r="B37" s="37">
        <v>4310</v>
      </c>
      <c r="C37" s="57">
        <f>-87219+63088</f>
        <v>-24131</v>
      </c>
      <c r="D37" s="57">
        <v>20000</v>
      </c>
      <c r="E37" t="s">
        <v>75</v>
      </c>
      <c r="F37" s="19">
        <v>-7744</v>
      </c>
      <c r="G37" s="19">
        <f>IFERROR(F37-D37,0)</f>
        <v>-27744</v>
      </c>
      <c r="I37" s="52">
        <v>-10000</v>
      </c>
      <c r="J37" s="20"/>
      <c r="N37" s="28">
        <f>SUM(N32:N36)</f>
        <v>-158720.80000000005</v>
      </c>
      <c r="O37" s="28">
        <f>SUM(O32:O36)</f>
        <v>-140000</v>
      </c>
    </row>
    <row r="38" spans="1:16">
      <c r="A38" s="2" t="s">
        <v>76</v>
      </c>
      <c r="B38" s="37">
        <v>4361</v>
      </c>
      <c r="C38" s="57">
        <f>-28408-34680</f>
        <v>-63088</v>
      </c>
      <c r="D38" s="57">
        <v>60000</v>
      </c>
      <c r="F38" s="19">
        <v>-70186</v>
      </c>
      <c r="G38" s="19">
        <f t="shared" ref="G38:G42" si="1">IFERROR(F38-D38,0)</f>
        <v>-130186</v>
      </c>
      <c r="I38" s="52">
        <f>-I13*2</f>
        <v>-60000</v>
      </c>
      <c r="J38" s="20" t="s">
        <v>159</v>
      </c>
    </row>
    <row r="39" spans="1:16">
      <c r="A39" s="2" t="s">
        <v>123</v>
      </c>
      <c r="B39" s="54">
        <v>4600</v>
      </c>
      <c r="C39" s="64"/>
      <c r="D39" s="64"/>
      <c r="F39" s="19">
        <v>-12949</v>
      </c>
      <c r="G39" s="19">
        <f t="shared" si="1"/>
        <v>-12949</v>
      </c>
      <c r="I39" s="52">
        <v>0</v>
      </c>
      <c r="J39" s="20"/>
      <c r="M39" s="67" t="s">
        <v>161</v>
      </c>
      <c r="N39" s="68">
        <f>N10+N17+N21+N26+N30+N37</f>
        <v>88454.199999999953</v>
      </c>
      <c r="O39" s="68">
        <f>O10+O17+O21+O26+O30+O37</f>
        <v>49000</v>
      </c>
    </row>
    <row r="40" spans="1:16">
      <c r="A40" s="2" t="s">
        <v>95</v>
      </c>
      <c r="B40" s="54">
        <v>4790</v>
      </c>
      <c r="C40" s="64"/>
      <c r="D40" s="64"/>
      <c r="F40" s="19">
        <v>-27761</v>
      </c>
      <c r="G40" s="19">
        <f t="shared" si="1"/>
        <v>-27761</v>
      </c>
      <c r="I40" s="52">
        <v>0</v>
      </c>
    </row>
    <row r="41" spans="1:16">
      <c r="A41" s="2" t="s">
        <v>27</v>
      </c>
      <c r="B41" s="37" t="s">
        <v>106</v>
      </c>
      <c r="C41" s="13">
        <v>-8750</v>
      </c>
      <c r="D41" s="13">
        <v>5000</v>
      </c>
      <c r="F41" s="19">
        <f>-589873+588504</f>
        <v>-1369</v>
      </c>
      <c r="G41" s="19">
        <f t="shared" si="1"/>
        <v>-6369</v>
      </c>
      <c r="I41" s="52">
        <v>0</v>
      </c>
      <c r="M41" s="15" t="s">
        <v>162</v>
      </c>
    </row>
    <row r="42" spans="1:16">
      <c r="A42" s="24" t="s">
        <v>125</v>
      </c>
      <c r="B42" s="54"/>
      <c r="C42" s="25">
        <f>SUM(C27:C41)</f>
        <v>-577423</v>
      </c>
      <c r="D42" s="25">
        <f>SUM(D27:D41)</f>
        <v>430000</v>
      </c>
      <c r="E42" s="25"/>
      <c r="F42" s="25">
        <f>SUM(F27:F41)</f>
        <v>-593408</v>
      </c>
      <c r="G42" s="25">
        <f t="shared" si="1"/>
        <v>-1023408</v>
      </c>
      <c r="I42" s="25">
        <f>SUM(I27:I41)</f>
        <v>-445000</v>
      </c>
      <c r="M42" t="s">
        <v>35</v>
      </c>
      <c r="N42" s="19">
        <f>F55</f>
        <v>-37071</v>
      </c>
      <c r="O42" s="19">
        <f>I55</f>
        <v>-37000</v>
      </c>
    </row>
    <row r="43" spans="1:16" ht="16.5" customHeight="1">
      <c r="A43" s="2"/>
      <c r="B43" s="54"/>
      <c r="C43" s="13"/>
      <c r="D43" s="13"/>
      <c r="F43" s="19"/>
      <c r="I43" s="52"/>
      <c r="M43" t="s">
        <v>163</v>
      </c>
      <c r="N43" s="19">
        <f>F56</f>
        <v>3138</v>
      </c>
      <c r="O43" s="19">
        <f>I56</f>
        <v>3000</v>
      </c>
    </row>
    <row r="44" spans="1:16">
      <c r="A44" s="3" t="s">
        <v>78</v>
      </c>
      <c r="B44" s="54"/>
      <c r="C44" s="13"/>
      <c r="D44" s="13"/>
      <c r="F44" s="19"/>
      <c r="I44" s="52"/>
      <c r="N44" s="28">
        <f>SUM(N42:N43)</f>
        <v>-33933</v>
      </c>
      <c r="O44" s="28">
        <f>SUM(O42:O43)</f>
        <v>-34000</v>
      </c>
    </row>
    <row r="45" spans="1:16">
      <c r="A45" s="2" t="s">
        <v>28</v>
      </c>
      <c r="B45" s="37" t="s">
        <v>164</v>
      </c>
      <c r="C45" s="13">
        <f>-(58758+7297+6295)</f>
        <v>-72350</v>
      </c>
      <c r="D45" s="13">
        <v>70000</v>
      </c>
      <c r="E45" t="s">
        <v>80</v>
      </c>
      <c r="F45" s="19">
        <v>-99183</v>
      </c>
      <c r="G45" s="19">
        <f t="shared" ref="G45:G53" si="2">IFERROR(F45-D45,0)</f>
        <v>-169183</v>
      </c>
      <c r="H45" s="20" t="s">
        <v>127</v>
      </c>
      <c r="I45" s="52">
        <v>-80000</v>
      </c>
      <c r="M45" s="68" t="s">
        <v>36</v>
      </c>
      <c r="N45" s="68">
        <f>N44+N39</f>
        <v>54521.199999999953</v>
      </c>
      <c r="O45" s="68">
        <f>O44+O39</f>
        <v>15000</v>
      </c>
    </row>
    <row r="46" spans="1:16">
      <c r="A46" s="2" t="s">
        <v>81</v>
      </c>
      <c r="B46" s="37">
        <v>5660</v>
      </c>
      <c r="C46" s="13">
        <f>-12931</f>
        <v>-12931</v>
      </c>
      <c r="D46" s="13">
        <v>13000</v>
      </c>
      <c r="F46" s="19">
        <v>-4748</v>
      </c>
      <c r="G46" s="19">
        <f t="shared" si="2"/>
        <v>-17748</v>
      </c>
      <c r="I46" s="52">
        <v>-5000</v>
      </c>
    </row>
    <row r="47" spans="1:16">
      <c r="A47" s="2" t="s">
        <v>30</v>
      </c>
      <c r="B47" s="37">
        <v>6300</v>
      </c>
      <c r="C47" s="13">
        <v>-23916</v>
      </c>
      <c r="D47" s="13">
        <v>24000</v>
      </c>
      <c r="F47" s="19">
        <v>-23633</v>
      </c>
      <c r="G47" s="19">
        <f t="shared" si="2"/>
        <v>-47633</v>
      </c>
      <c r="I47" s="52">
        <v>-25000</v>
      </c>
    </row>
    <row r="48" spans="1:16">
      <c r="A48" s="2" t="s">
        <v>31</v>
      </c>
      <c r="B48" s="37">
        <v>5490</v>
      </c>
      <c r="C48" s="13">
        <f>-9732</f>
        <v>-9732</v>
      </c>
      <c r="D48" s="13">
        <v>7000</v>
      </c>
      <c r="F48" s="19">
        <v>-9995</v>
      </c>
      <c r="G48" s="19">
        <f t="shared" si="2"/>
        <v>-16995</v>
      </c>
      <c r="H48" s="20" t="s">
        <v>128</v>
      </c>
      <c r="I48" s="52">
        <v>-10000</v>
      </c>
      <c r="M48" s="49" t="s">
        <v>165</v>
      </c>
      <c r="N48" s="49"/>
      <c r="O48" s="49"/>
    </row>
    <row r="49" spans="1:18">
      <c r="A49" s="2" t="s">
        <v>33</v>
      </c>
      <c r="B49" s="37" t="s">
        <v>166</v>
      </c>
      <c r="C49" s="13">
        <f>-(1665+3656+3279+6595)</f>
        <v>-15195</v>
      </c>
      <c r="D49" s="13">
        <v>15000</v>
      </c>
      <c r="F49" s="19">
        <f>-159715-SUM(F45:F48)</f>
        <v>-22156</v>
      </c>
      <c r="G49" s="19">
        <f t="shared" si="2"/>
        <v>-37156</v>
      </c>
      <c r="H49" s="20" t="s">
        <v>129</v>
      </c>
      <c r="I49" s="52">
        <v>-20000</v>
      </c>
      <c r="M49" s="65" t="s">
        <v>167</v>
      </c>
      <c r="O49" s="28">
        <v>1050000</v>
      </c>
    </row>
    <row r="50" spans="1:18">
      <c r="A50" s="24" t="s">
        <v>130</v>
      </c>
      <c r="B50" s="54"/>
      <c r="C50" s="25">
        <f>SUM(C45:C49)</f>
        <v>-134124</v>
      </c>
      <c r="D50" s="25">
        <f>SUM(D45:D49)</f>
        <v>129000</v>
      </c>
      <c r="E50" s="26"/>
      <c r="F50" s="25">
        <f>SUM(F45:F49)</f>
        <v>-159715</v>
      </c>
      <c r="G50" s="25">
        <f t="shared" si="2"/>
        <v>-288715</v>
      </c>
      <c r="I50" s="25">
        <f>SUM(I45:I49)</f>
        <v>-140000</v>
      </c>
      <c r="M50" s="66" t="s">
        <v>168</v>
      </c>
      <c r="O50" s="28">
        <v>-170000</v>
      </c>
    </row>
    <row r="51" spans="1:18">
      <c r="A51" s="24" t="s">
        <v>34</v>
      </c>
      <c r="B51" s="54"/>
      <c r="C51" s="25">
        <f>C50+C42</f>
        <v>-711547</v>
      </c>
      <c r="D51" s="25">
        <f>D50+D42</f>
        <v>559000</v>
      </c>
      <c r="E51" s="26"/>
      <c r="F51" s="25">
        <f>F50+F42</f>
        <v>-753123</v>
      </c>
      <c r="G51" s="25">
        <f t="shared" si="2"/>
        <v>-1312123</v>
      </c>
      <c r="I51" s="25">
        <f>I50+I42</f>
        <v>-585000</v>
      </c>
      <c r="M51" s="66" t="s">
        <v>169</v>
      </c>
      <c r="O51" s="28">
        <f>O45-O42</f>
        <v>52000</v>
      </c>
      <c r="R51" s="19"/>
    </row>
    <row r="52" spans="1:18">
      <c r="A52" s="2"/>
      <c r="B52" s="54"/>
      <c r="C52" s="13"/>
      <c r="D52" s="13"/>
      <c r="I52" s="52"/>
      <c r="M52" s="66" t="s">
        <v>170</v>
      </c>
      <c r="O52" s="58" t="s">
        <v>171</v>
      </c>
    </row>
    <row r="53" spans="1:18">
      <c r="A53" s="68" t="s">
        <v>131</v>
      </c>
      <c r="B53" s="68"/>
      <c r="C53" s="68">
        <f>C23+C51</f>
        <v>-66522.150000000023</v>
      </c>
      <c r="D53" s="68">
        <f>D23-D51</f>
        <v>49500</v>
      </c>
      <c r="E53" s="68"/>
      <c r="F53" s="68">
        <f>F23+F51</f>
        <v>88454.199999999953</v>
      </c>
      <c r="G53" s="68">
        <f t="shared" si="2"/>
        <v>38954.199999999953</v>
      </c>
      <c r="H53" s="68"/>
      <c r="I53" s="68">
        <f>I23+I51</f>
        <v>49000</v>
      </c>
      <c r="M53" s="66" t="s">
        <v>172</v>
      </c>
      <c r="O53" s="58" t="s">
        <v>171</v>
      </c>
    </row>
    <row r="54" spans="1:18">
      <c r="A54" s="3"/>
      <c r="C54" s="19"/>
      <c r="D54" s="19"/>
      <c r="I54" s="19"/>
      <c r="M54" s="65" t="s">
        <v>173</v>
      </c>
      <c r="O54" s="28">
        <f>SUM(O49:O53)</f>
        <v>932000</v>
      </c>
    </row>
    <row r="55" spans="1:18">
      <c r="A55" s="2" t="s">
        <v>35</v>
      </c>
      <c r="B55" s="37" t="s">
        <v>174</v>
      </c>
      <c r="C55" s="13">
        <v>-37073</v>
      </c>
      <c r="D55" s="13">
        <v>37000</v>
      </c>
      <c r="F55" s="19">
        <v>-37071</v>
      </c>
      <c r="G55" s="19">
        <f t="shared" ref="G55" si="3">IFERROR(F55-D55,0)</f>
        <v>-74071</v>
      </c>
      <c r="I55" s="31">
        <v>-37000</v>
      </c>
      <c r="J55" s="20"/>
    </row>
    <row r="56" spans="1:18">
      <c r="A56" s="2" t="s">
        <v>86</v>
      </c>
      <c r="B56" s="37">
        <v>8310</v>
      </c>
      <c r="C56" s="13">
        <v>17592</v>
      </c>
      <c r="D56" s="13">
        <v>17000</v>
      </c>
      <c r="F56" s="19">
        <v>3138</v>
      </c>
      <c r="G56" s="19">
        <f t="shared" ref="G56" si="4">IFERROR(F56-D56,0)</f>
        <v>-13862</v>
      </c>
      <c r="I56" s="19">
        <v>3000</v>
      </c>
      <c r="J56" s="20"/>
    </row>
    <row r="57" spans="1:18" ht="5.25" customHeight="1">
      <c r="A57" s="3"/>
      <c r="I57" s="19"/>
      <c r="J57" s="20"/>
    </row>
    <row r="58" spans="1:18">
      <c r="A58" s="68" t="s">
        <v>36</v>
      </c>
      <c r="B58" s="68"/>
      <c r="C58" s="68">
        <f>SUM(C53,C55:C56)</f>
        <v>-86003.150000000023</v>
      </c>
      <c r="D58" s="68" t="e">
        <f>#REF!+D56</f>
        <v>#REF!</v>
      </c>
      <c r="E58" s="68"/>
      <c r="F58" s="68">
        <f>SUM(F53,F55:F56)</f>
        <v>54521.199999999953</v>
      </c>
      <c r="G58" s="68" t="e">
        <f>#REF!+G56</f>
        <v>#REF!</v>
      </c>
      <c r="H58" s="68"/>
      <c r="I58" s="68">
        <f>SUM(I53,I55:I56)</f>
        <v>15000</v>
      </c>
      <c r="J58" s="20" t="s">
        <v>175</v>
      </c>
    </row>
    <row r="59" spans="1:18" ht="5.25" customHeight="1">
      <c r="A59" s="2"/>
      <c r="C59" s="13"/>
      <c r="I59" s="19"/>
      <c r="J59" s="20"/>
    </row>
    <row r="61" spans="1:18">
      <c r="A61" s="2"/>
      <c r="F61" s="19"/>
      <c r="I61" s="19"/>
      <c r="J61" s="20"/>
    </row>
    <row r="62" spans="1:18">
      <c r="F62" s="19"/>
    </row>
    <row r="63" spans="1:18">
      <c r="F63" s="19"/>
    </row>
    <row r="64" spans="1:18">
      <c r="F64" s="19"/>
    </row>
    <row r="65" spans="6:6">
      <c r="F65" s="19"/>
    </row>
    <row r="66" spans="6:6">
      <c r="F66" s="19"/>
    </row>
    <row r="67" spans="6:6">
      <c r="F67" s="19"/>
    </row>
    <row r="68" spans="6:6">
      <c r="F68" s="19"/>
    </row>
    <row r="69" spans="6:6">
      <c r="F69" s="19"/>
    </row>
  </sheetData>
  <conditionalFormatting sqref="G6:G22 O28 O23:O25 N32:N36 N42 O34:O36 O42:O43">
    <cfRule type="cellIs" dxfId="31" priority="98" operator="greaterThan">
      <formula>0</formula>
    </cfRule>
  </conditionalFormatting>
  <conditionalFormatting sqref="G6:G22 O28 O23:O25 N32:N36 N42 O34:O36 O42:O43">
    <cfRule type="cellIs" dxfId="30" priority="97" operator="lessThan">
      <formula>0</formula>
    </cfRule>
  </conditionalFormatting>
  <conditionalFormatting sqref="G27:G41">
    <cfRule type="cellIs" dxfId="29" priority="96" operator="greaterThan">
      <formula>0</formula>
    </cfRule>
  </conditionalFormatting>
  <conditionalFormatting sqref="G27:G41">
    <cfRule type="cellIs" dxfId="28" priority="95" operator="lessThan">
      <formula>0</formula>
    </cfRule>
  </conditionalFormatting>
  <conditionalFormatting sqref="G45:G49">
    <cfRule type="cellIs" dxfId="27" priority="76" operator="greaterThan">
      <formula>0</formula>
    </cfRule>
  </conditionalFormatting>
  <conditionalFormatting sqref="G45:G49">
    <cfRule type="cellIs" dxfId="26" priority="75" operator="lessThan">
      <formula>0</formula>
    </cfRule>
  </conditionalFormatting>
  <conditionalFormatting sqref="G55">
    <cfRule type="cellIs" dxfId="25" priority="74" operator="greaterThan">
      <formula>0</formula>
    </cfRule>
  </conditionalFormatting>
  <conditionalFormatting sqref="G55">
    <cfRule type="cellIs" dxfId="24" priority="73" operator="lessThan">
      <formula>0</formula>
    </cfRule>
  </conditionalFormatting>
  <conditionalFormatting sqref="G56">
    <cfRule type="cellIs" dxfId="23" priority="72" operator="greaterThan">
      <formula>0</formula>
    </cfRule>
  </conditionalFormatting>
  <conditionalFormatting sqref="G56">
    <cfRule type="cellIs" dxfId="22" priority="71" operator="lessThan">
      <formula>0</formula>
    </cfRule>
  </conditionalFormatting>
  <conditionalFormatting sqref="N6:N9">
    <cfRule type="cellIs" dxfId="21" priority="70" operator="greaterThan">
      <formula>0</formula>
    </cfRule>
  </conditionalFormatting>
  <conditionalFormatting sqref="N6:N9">
    <cfRule type="cellIs" dxfId="20" priority="69" operator="lessThan">
      <formula>0</formula>
    </cfRule>
  </conditionalFormatting>
  <conditionalFormatting sqref="N12:N16">
    <cfRule type="cellIs" dxfId="19" priority="68" operator="greaterThan">
      <formula>0</formula>
    </cfRule>
  </conditionalFormatting>
  <conditionalFormatting sqref="N12:N16">
    <cfRule type="cellIs" dxfId="18" priority="67" operator="lessThan">
      <formula>0</formula>
    </cfRule>
  </conditionalFormatting>
  <conditionalFormatting sqref="N19:N20">
    <cfRule type="cellIs" dxfId="17" priority="66" operator="greaterThan">
      <formula>0</formula>
    </cfRule>
  </conditionalFormatting>
  <conditionalFormatting sqref="N19:N20">
    <cfRule type="cellIs" dxfId="16" priority="65" operator="lessThan">
      <formula>0</formula>
    </cfRule>
  </conditionalFormatting>
  <conditionalFormatting sqref="N23:N25">
    <cfRule type="cellIs" dxfId="15" priority="64" operator="greaterThan">
      <formula>0</formula>
    </cfRule>
  </conditionalFormatting>
  <conditionalFormatting sqref="N23:N25">
    <cfRule type="cellIs" dxfId="14" priority="63" operator="lessThan">
      <formula>0</formula>
    </cfRule>
  </conditionalFormatting>
  <conditionalFormatting sqref="N28:N29">
    <cfRule type="cellIs" dxfId="13" priority="62" operator="greaterThan">
      <formula>0</formula>
    </cfRule>
  </conditionalFormatting>
  <conditionalFormatting sqref="N28:N29">
    <cfRule type="cellIs" dxfId="12" priority="61" operator="lessThan">
      <formula>0</formula>
    </cfRule>
  </conditionalFormatting>
  <conditionalFormatting sqref="O6:O9">
    <cfRule type="cellIs" dxfId="11" priority="16" operator="greaterThan">
      <formula>0</formula>
    </cfRule>
  </conditionalFormatting>
  <conditionalFormatting sqref="O6:O9">
    <cfRule type="cellIs" dxfId="10" priority="15" operator="lessThan">
      <formula>0</formula>
    </cfRule>
  </conditionalFormatting>
  <conditionalFormatting sqref="O12:O16">
    <cfRule type="cellIs" dxfId="9" priority="14" operator="greaterThan">
      <formula>0</formula>
    </cfRule>
  </conditionalFormatting>
  <conditionalFormatting sqref="O12:O16">
    <cfRule type="cellIs" dxfId="8" priority="13" operator="lessThan">
      <formula>0</formula>
    </cfRule>
  </conditionalFormatting>
  <conditionalFormatting sqref="O19:O20">
    <cfRule type="cellIs" dxfId="7" priority="12" operator="greaterThan">
      <formula>0</formula>
    </cfRule>
  </conditionalFormatting>
  <conditionalFormatting sqref="O19:O20">
    <cfRule type="cellIs" dxfId="6" priority="11" operator="lessThan">
      <formula>0</formula>
    </cfRule>
  </conditionalFormatting>
  <conditionalFormatting sqref="O28:O29">
    <cfRule type="cellIs" dxfId="5" priority="8" operator="greaterThan">
      <formula>0</formula>
    </cfRule>
  </conditionalFormatting>
  <conditionalFormatting sqref="O28:O29">
    <cfRule type="cellIs" dxfId="4" priority="7" operator="lessThan">
      <formula>0</formula>
    </cfRule>
  </conditionalFormatting>
  <conditionalFormatting sqref="O32:O33">
    <cfRule type="cellIs" dxfId="3" priority="6" operator="greaterThan">
      <formula>0</formula>
    </cfRule>
  </conditionalFormatting>
  <conditionalFormatting sqref="O32:O33">
    <cfRule type="cellIs" dxfId="2" priority="5" operator="lessThan">
      <formula>0</formula>
    </cfRule>
  </conditionalFormatting>
  <conditionalFormatting sqref="N43">
    <cfRule type="cellIs" dxfId="1" priority="2" operator="greaterThan">
      <formula>0</formula>
    </cfRule>
  </conditionalFormatting>
  <conditionalFormatting sqref="N43">
    <cfRule type="cellIs" dxfId="0" priority="1" operator="lessThan">
      <formula>0</formula>
    </cfRule>
  </conditionalFormatting>
  <pageMargins left="0.7" right="0.7" top="0.75" bottom="0.75" header="0.3" footer="0.3"/>
  <pageSetup paperSize="9"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1EE22DD50290242BA61A813ACB74D4D" ma:contentTypeVersion="16" ma:contentTypeDescription="Skapa ett nytt dokument." ma:contentTypeScope="" ma:versionID="9a269302813462509bb1a6861e87a6ca">
  <xsd:schema xmlns:xsd="http://www.w3.org/2001/XMLSchema" xmlns:xs="http://www.w3.org/2001/XMLSchema" xmlns:p="http://schemas.microsoft.com/office/2006/metadata/properties" xmlns:ns2="e7ec93f4-d9d7-4ece-bc10-993e2ae8917f" xmlns:ns3="57db953e-793a-47ca-af5f-c8b50c441b97" targetNamespace="http://schemas.microsoft.com/office/2006/metadata/properties" ma:root="true" ma:fieldsID="38995dcfb14d123ed773143ecd23d416" ns2:_="" ns3:_="">
    <xsd:import namespace="e7ec93f4-d9d7-4ece-bc10-993e2ae8917f"/>
    <xsd:import namespace="57db953e-793a-47ca-af5f-c8b50c441b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c93f4-d9d7-4ece-bc10-993e2ae891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f8c9d909-e415-4a23-890f-f19b600ee2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db953e-793a-47ca-af5f-c8b50c441b9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b0f0208-d76b-4049-be53-8b855b31795d}" ma:internalName="TaxCatchAll" ma:showField="CatchAllData" ma:web="57db953e-793a-47ca-af5f-c8b50c441b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ec93f4-d9d7-4ece-bc10-993e2ae8917f">
      <Terms xmlns="http://schemas.microsoft.com/office/infopath/2007/PartnerControls"/>
    </lcf76f155ced4ddcb4097134ff3c332f>
    <TaxCatchAll xmlns="57db953e-793a-47ca-af5f-c8b50c441b97" xsi:nil="true"/>
  </documentManagement>
</p:properties>
</file>

<file path=customXml/itemProps1.xml><?xml version="1.0" encoding="utf-8"?>
<ds:datastoreItem xmlns:ds="http://schemas.openxmlformats.org/officeDocument/2006/customXml" ds:itemID="{856D17BA-531C-4AE4-BF82-F641EC60AF3C}"/>
</file>

<file path=customXml/itemProps2.xml><?xml version="1.0" encoding="utf-8"?>
<ds:datastoreItem xmlns:ds="http://schemas.openxmlformats.org/officeDocument/2006/customXml" ds:itemID="{564D5F5F-784D-4264-8EC4-BE23F1824D9B}"/>
</file>

<file path=customXml/itemProps3.xml><?xml version="1.0" encoding="utf-8"?>
<ds:datastoreItem xmlns:ds="http://schemas.openxmlformats.org/officeDocument/2006/customXml" ds:itemID="{64170883-93A2-4814-BA9A-C325E40EC3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Sundsvalls kommun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Nylander Linda</dc:creator>
  <cp:keywords/>
  <dc:description/>
  <cp:lastModifiedBy/>
  <cp:revision/>
  <dcterms:created xsi:type="dcterms:W3CDTF">2020-12-06T19:28:28Z</dcterms:created>
  <dcterms:modified xsi:type="dcterms:W3CDTF">2026-03-09T18:01:12Z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0x01010061EE22DD50290242BA61A813ACB74D4D</vt:lpwstr>
  </property>
  <property fmtid="{D5CDD505-2E9C-101B-9397-08002B2CF9AE}" pid="3" name="Order">
    <vt:r8>149300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