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Anders Yoga\Dropbox\Ada Grekland\Årsmöte\Årsmöte att publicera\"/>
    </mc:Choice>
  </mc:AlternateContent>
  <xr:revisionPtr revIDLastSave="0" documentId="13_ncr:1_{E5B11436-2EFC-45C5-9F42-36D234EF7795}" xr6:coauthVersionLast="47" xr6:coauthVersionMax="47" xr10:uidLastSave="{00000000-0000-0000-0000-000000000000}"/>
  <bookViews>
    <workbookView xWindow="-120" yWindow="-120" windowWidth="25440" windowHeight="15450" xr2:uid="{48159E27-55A0-498A-89E7-6D62667C21C8}"/>
  </bookViews>
  <sheets>
    <sheet name="Många år, budget 2023" sheetId="8" r:id="rId1"/>
  </sheets>
  <definedNames>
    <definedName name="_xlnm.Print_Area" localSheetId="0">'Många år, budget 2023'!$B$1:$I$97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7" i="8" l="1"/>
  <c r="S68" i="8"/>
  <c r="Q80" i="8"/>
  <c r="Q68" i="8"/>
  <c r="Q60" i="8"/>
  <c r="Q56" i="8"/>
  <c r="Q48" i="8" s="1"/>
  <c r="Q43" i="8"/>
  <c r="S80" i="8"/>
  <c r="S64" i="8"/>
  <c r="S48" i="8" s="1"/>
  <c r="S46" i="8"/>
  <c r="S45" i="8"/>
  <c r="S44" i="8"/>
  <c r="S43" i="8" s="1"/>
  <c r="E16" i="8"/>
  <c r="F83" i="8"/>
  <c r="F48" i="8"/>
  <c r="G54" i="8"/>
  <c r="G53" i="8"/>
  <c r="Q36" i="8"/>
  <c r="O36" i="8"/>
  <c r="M36" i="8"/>
  <c r="E17" i="8"/>
  <c r="E18" i="8"/>
  <c r="E19" i="8"/>
  <c r="E20" i="8"/>
  <c r="E21" i="8"/>
  <c r="E4" i="8"/>
  <c r="E7" i="8" s="1"/>
  <c r="G48" i="8" l="1"/>
  <c r="F22" i="8"/>
  <c r="O80" i="8"/>
  <c r="O68" i="8"/>
  <c r="O65" i="8"/>
  <c r="O60" i="8"/>
  <c r="O56" i="8"/>
  <c r="O52" i="8"/>
  <c r="O43" i="8"/>
  <c r="F7" i="8"/>
  <c r="M4" i="8"/>
  <c r="M7" i="8" s="1"/>
  <c r="Q22" i="8"/>
  <c r="R4" i="8"/>
  <c r="R7" i="8" s="1"/>
  <c r="Q4" i="8"/>
  <c r="Q7" i="8" s="1"/>
  <c r="O4" i="8"/>
  <c r="O7" i="8" s="1"/>
  <c r="H4" i="8"/>
  <c r="G78" i="8"/>
  <c r="E14" i="8" s="1"/>
  <c r="G43" i="8"/>
  <c r="E12" i="8" s="1"/>
  <c r="K33" i="8"/>
  <c r="I7" i="8"/>
  <c r="O48" i="8" l="1"/>
  <c r="F35" i="8"/>
  <c r="S33" i="8" s="1"/>
  <c r="H14" i="8"/>
  <c r="H15" i="8"/>
  <c r="F78" i="8"/>
  <c r="G80" i="8"/>
  <c r="E15" i="8" s="1"/>
  <c r="F80" i="8"/>
  <c r="E13" i="8" l="1"/>
  <c r="E22" i="8" s="1"/>
  <c r="F43" i="8"/>
  <c r="G4" i="8"/>
  <c r="G7" i="8" s="1"/>
  <c r="E24" i="8" l="1"/>
  <c r="E35" i="8" s="1"/>
  <c r="H7" i="8"/>
  <c r="H22" i="8"/>
  <c r="H24" i="8" l="1"/>
  <c r="H28" i="8" s="1"/>
  <c r="F28" i="8" l="1"/>
  <c r="E28" i="8" s="1"/>
  <c r="H35" i="8"/>
  <c r="H29" i="8" l="1"/>
  <c r="H36" i="8" s="1"/>
  <c r="F33" i="8" s="1"/>
  <c r="I179" i="8"/>
  <c r="I180" i="8"/>
  <c r="H181" i="8"/>
  <c r="H194" i="8"/>
  <c r="M185" i="8"/>
  <c r="O186" i="8" s="1"/>
  <c r="O182" i="8"/>
  <c r="F36" i="8" l="1"/>
  <c r="E33" i="8" s="1"/>
  <c r="E36" i="8" s="1"/>
  <c r="G33" i="8"/>
  <c r="I181" i="8"/>
  <c r="I12" i="8" l="1"/>
  <c r="I22" i="8" s="1"/>
  <c r="I24" i="8" s="1"/>
  <c r="I29" i="8"/>
  <c r="I36" i="8" s="1"/>
  <c r="G22" i="8" l="1"/>
  <c r="G24" i="8" s="1"/>
  <c r="G28" i="8" s="1"/>
  <c r="I35" i="8"/>
  <c r="I33" i="8" s="1"/>
  <c r="G35" i="8" l="1"/>
  <c r="G36" i="8" s="1"/>
  <c r="K15" i="8"/>
  <c r="G29" i="8" l="1"/>
  <c r="R20" i="8"/>
  <c r="R22" i="8" s="1"/>
  <c r="O20" i="8"/>
  <c r="O22" i="8" s="1"/>
  <c r="O24" i="8" s="1"/>
  <c r="M20" i="8"/>
  <c r="K29" i="8"/>
  <c r="K36" i="8" s="1"/>
  <c r="M14" i="8"/>
  <c r="M15" i="8"/>
  <c r="K22" i="8"/>
  <c r="K7" i="8"/>
  <c r="E29" i="8" l="1"/>
  <c r="F29" i="8"/>
  <c r="M22" i="8"/>
  <c r="K24" i="8"/>
  <c r="K3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Yoga</author>
  </authors>
  <commentList>
    <comment ref="H13" authorId="0" shapeId="0" xr:uid="{402810A7-E289-46F2-8DDB-FAD7C7BD4259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Rep toatank 4,6
Kurt steg i pulpit, diskho,
Rep 2 fönster</t>
        </r>
      </text>
    </comment>
    <comment ref="K13" authorId="0" shapeId="0" xr:uid="{83D4565D-AD2C-4873-B174-A9761FB6192B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Nytt Ankare+kätting
höjning vinch+peke
summa 21
</t>
        </r>
      </text>
    </comment>
    <comment ref="H14" authorId="0" shapeId="0" xr:uid="{F650997C-5A25-417B-96FA-57AC5F569CD2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2 batterier 3,5</t>
        </r>
      </text>
    </comment>
    <comment ref="I14" authorId="0" shapeId="0" xr:uid="{C318E90A-1051-42D8-8C90-C848751BF914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Ny winch free fall 20´</t>
        </r>
      </text>
    </comment>
    <comment ref="K14" authorId="0" shapeId="0" xr:uid="{39D97FDA-9DDF-4315-BBCB-1B659E8AF351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Ny winch 21´</t>
        </r>
      </text>
    </comment>
    <comment ref="Z14" authorId="0" shapeId="0" xr:uid="{2D3A978A-57A5-47FF-A206-5756D934B1B7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Budget 20´oförutsedda utgifter
</t>
        </r>
      </text>
    </comment>
    <comment ref="H15" authorId="0" shapeId="0" xr:uid="{656DD3C4-A96D-4FC0-8C86-EAB05A776F99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Simon: Luftslang+gaswire3.300</t>
        </r>
      </text>
    </comment>
    <comment ref="I15" authorId="0" shapeId="0" xr:uid="{F757503B-3F72-499E-84BD-23084CAABC28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Renovering drev 5
Kedja styrning gick av 2 ggr´5
</t>
        </r>
      </text>
    </comment>
    <comment ref="K15" authorId="0" shapeId="0" xr:uid="{582AFC6E-F7F9-4B1C-A8E5-B6A95096537C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Ny motor inkl extra oljebyte</t>
        </r>
      </text>
    </comment>
    <comment ref="J145" authorId="0" shapeId="0" xr:uid="{06EBD49F-13C6-42F0-A351-0AFD1527C3EB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3 batterier inkl arbete
</t>
        </r>
      </text>
    </comment>
  </commentList>
</comments>
</file>

<file path=xl/sharedStrings.xml><?xml version="1.0" encoding="utf-8"?>
<sst xmlns="http://schemas.openxmlformats.org/spreadsheetml/2006/main" count="164" uniqueCount="135">
  <si>
    <t>INTÄKTER</t>
  </si>
  <si>
    <t>KOSTNADER</t>
  </si>
  <si>
    <t>Årsavgifter</t>
  </si>
  <si>
    <t>Hemsidan</t>
  </si>
  <si>
    <t>Oförutsedda reparationer</t>
  </si>
  <si>
    <t>Arvoden</t>
  </si>
  <si>
    <t>SUMMA INTÄKTER</t>
  </si>
  <si>
    <t>Försäkring</t>
  </si>
  <si>
    <t>SUMMA KOSTNADER</t>
  </si>
  <si>
    <t>ÅRETS RESULTAT</t>
  </si>
  <si>
    <t>TILLGÅNGAR</t>
  </si>
  <si>
    <t>SUMMA TILLGÅNGAR</t>
  </si>
  <si>
    <t>SKULDER O EGET KAPITAL</t>
  </si>
  <si>
    <t>Årets resultat</t>
  </si>
  <si>
    <t>S:A SKULDER O EGET KAPITAL</t>
  </si>
  <si>
    <t>Extra insättning</t>
  </si>
  <si>
    <t>Avgift per andel</t>
  </si>
  <si>
    <t>Hyra båtplats</t>
  </si>
  <si>
    <t>5´+ 6,5´</t>
  </si>
  <si>
    <t>IB Balanserat resultat</t>
  </si>
  <si>
    <t xml:space="preserve"> </t>
  </si>
  <si>
    <t>Underh/utrust besl på årsmöte</t>
  </si>
  <si>
    <t>Varvskostnader; Hyra, målning, polich</t>
  </si>
  <si>
    <t>Förvaring båt på land</t>
  </si>
  <si>
    <t>Bottenfärg, sandpapper, polermedel</t>
  </si>
  <si>
    <t>Underhåll/rep övrigt</t>
  </si>
  <si>
    <t>Underhåll/Rep motor/drev/Service</t>
  </si>
  <si>
    <t>Självrisk försäkring</t>
  </si>
  <si>
    <t>Kortfristig skuld</t>
  </si>
  <si>
    <t>Bottenmålning, polich+vax däck, sidor</t>
  </si>
  <si>
    <t xml:space="preserve">Övriga utgifter </t>
  </si>
  <si>
    <t>8'</t>
  </si>
  <si>
    <t>Före röst</t>
  </si>
  <si>
    <t>Efter Röstning</t>
  </si>
  <si>
    <t>5030 Varvskostnad</t>
  </si>
  <si>
    <t>V-25</t>
  </si>
  <si>
    <t>Bottenmålning, Polich o vaxning inkl material</t>
  </si>
  <si>
    <t>V-27</t>
  </si>
  <si>
    <t>Bottenmåln 200E, polich+vax däck=320E, Polich sidor=360E relingen</t>
  </si>
  <si>
    <t>Material; Bottenfärg, sandpapper, Polermedel</t>
  </si>
  <si>
    <t>Förvaring båt på land under vintern</t>
  </si>
  <si>
    <t>Slutlig varvskostnad år 2018/2019 Del III</t>
  </si>
  <si>
    <t>V-18</t>
  </si>
  <si>
    <t>20% vinterförvaring år 19/20  förskott till Aktio. (Del I)</t>
  </si>
  <si>
    <t>V-49</t>
  </si>
  <si>
    <t>Varvskostnad del II år 19/20</t>
  </si>
  <si>
    <t xml:space="preserve">1653.68 € for 12 months = 18.000 SEK </t>
  </si>
  <si>
    <t>Per månad 1.500 Per vecka= 346 Kr  20 veckor= 7.000</t>
  </si>
  <si>
    <t>Övriga utgifter (Båtskatt mm)</t>
  </si>
  <si>
    <t xml:space="preserve">vinterförvarning 40% årskostn E 1.554 ca SEK 17.000= 7.073 </t>
  </si>
  <si>
    <t>Vinterförvaring, Förskott 60% x 17.000=9.700</t>
  </si>
  <si>
    <t>Bankkostnader (inkl porto)</t>
  </si>
  <si>
    <t>Diverse; Bg avgift, utlandsbetalningar mm</t>
  </si>
  <si>
    <t>Förbruknings material vårrustning</t>
  </si>
  <si>
    <t>Budget 2022</t>
  </si>
  <si>
    <t>Ny elektronisk sändare och vindmätare</t>
  </si>
  <si>
    <t>Kranbil lyfta mast vid två tillfällen</t>
  </si>
  <si>
    <t>Slipning, flera lager lack; Kökshurts, trappa/ledstänger/bord/dörr</t>
  </si>
  <si>
    <t>Rep gellcoat skada sb sida långt fram 25 cm ovan vattenlinjen</t>
  </si>
  <si>
    <t>Byte tätning som drevet är monterat i.</t>
  </si>
  <si>
    <t>Rep lanterna som ej fungerar</t>
  </si>
  <si>
    <t xml:space="preserve">Årsmöte  </t>
  </si>
  <si>
    <t>Verkligt</t>
  </si>
  <si>
    <t>Kontroll om stopp i bränsle ledning. Ev Upptagning inspektionshål i tank, rengöring, ny lucka.</t>
  </si>
  <si>
    <t>Ny tre bladig propeller 17x12  inkl montering</t>
  </si>
  <si>
    <t>Nya slangar till/från gasoltub/kök. Provtryckning</t>
  </si>
  <si>
    <t>Byte ev nitar, nya fall, reservdelar,  grov uppskattning</t>
  </si>
  <si>
    <t>Om stag, vant, skruvar, 45 meter Wire a 100 kr/m Riggarna ca 10´</t>
  </si>
  <si>
    <t>Nedtagning mast o bom genomgång återmont till våren ca 20 tim</t>
  </si>
  <si>
    <t>Byte övre o undre lager, Demont/mont roder 800+2.800 + 5 timmar</t>
  </si>
  <si>
    <t>Byte oljefilter och bränslefilter vinterkonservering</t>
  </si>
  <si>
    <t>På våren återmont impeller</t>
  </si>
  <si>
    <t>Ny nivåvakt varnar under viss nivå, bränsletank 90 liter.</t>
  </si>
  <si>
    <t>Johan Ganström har erbjudit oss en Raymarin A75</t>
  </si>
  <si>
    <t>Skadat bord i salongen bidrag till slipning o  lackering</t>
  </si>
  <si>
    <t>Demont/mont fönster, ny silicon, ny gummitätning 5 fönster</t>
  </si>
  <si>
    <t>Krävs kartor +SD kort ca 1.600 alt större kort 2.400 (stora delar östra medelhavet)</t>
  </si>
  <si>
    <t>Inköp VHF</t>
  </si>
  <si>
    <t xml:space="preserve">2 fläktar i vardera sovutrymmet,  + USB </t>
  </si>
  <si>
    <t>Motorhaveri</t>
  </si>
  <si>
    <t>Budget 2023</t>
  </si>
  <si>
    <t>Ny durch+slang bak, kemtvätt gardiner, ny kaffekittel</t>
  </si>
  <si>
    <t xml:space="preserve">Nya sittdynor 2 st </t>
  </si>
  <si>
    <t>Bakterier, tömn tank, rengöring, byte impeller rep vattenpump</t>
  </si>
  <si>
    <t>Renov. Vattenpump, byte filter, kran toa rum</t>
  </si>
  <si>
    <t>Gasolfyllingar, förbruknings material, Kem artiklar, lås</t>
  </si>
  <si>
    <t>Diesel efter tömning tank på vintern 63L+tömning på sommaren</t>
  </si>
  <si>
    <t>Skatt E-tepai tidigare turistskatt</t>
  </si>
  <si>
    <t>Ny motor</t>
  </si>
  <si>
    <t>Montering ny 16 tums propeller i stället för 17"</t>
  </si>
  <si>
    <t>Utfall</t>
  </si>
  <si>
    <t>Resebidrag vårrustning/nattlogi</t>
  </si>
  <si>
    <t>Pandemi- Segling endast</t>
  </si>
  <si>
    <t>16 veckor</t>
  </si>
  <si>
    <t>6 veckor</t>
  </si>
  <si>
    <t>Försäkring för 22/23 betald 3/11</t>
  </si>
  <si>
    <t>Vi som vårrutsade polerade överdäcket och sittbrunnen för hand, sparade 397E= 4.300</t>
  </si>
  <si>
    <t>Förvaring båt på land i 8 mån inkl upptag+isättning</t>
  </si>
  <si>
    <t>Tvätt före Bottenmålning, polich+vax sidor. Ej polich ovan</t>
  </si>
  <si>
    <t>Bottenfärg, sandpapper, polermedel, Acceton mm</t>
  </si>
  <si>
    <t>Byte av bälg</t>
  </si>
  <si>
    <t>Solpanel med regulator</t>
  </si>
  <si>
    <t>Slipningsjobb dörr till dusch+karmar (Kurt)</t>
  </si>
  <si>
    <t>Slipningsjobb under fönster (Kurt)</t>
  </si>
  <si>
    <t>Läckage förlucka vid gångjärn</t>
  </si>
  <si>
    <t>Tröskelteak spricker</t>
  </si>
  <si>
    <t>Rost på köl</t>
  </si>
  <si>
    <t>Nedgångslucka - teak spruckit</t>
  </si>
  <si>
    <t>Dragkedja Lazybag trasig</t>
  </si>
  <si>
    <t>Plastskada roder</t>
  </si>
  <si>
    <t>Främre rullgardin - byt</t>
  </si>
  <si>
    <t>Bränslemätare</t>
  </si>
  <si>
    <t>Verkar saknas winchhandtag</t>
  </si>
  <si>
    <t>Lampa vid navbord blink+ funkar ej I capt. Cabin</t>
  </si>
  <si>
    <t>Försegel lagas i nederkant (UV skydd)</t>
  </si>
  <si>
    <t>Bordsklaff gångjärn rostigt</t>
  </si>
  <si>
    <t>Tryckknappar solskydd (bimini-sidor)</t>
  </si>
  <si>
    <t>Länspump i kölsvin bristande</t>
  </si>
  <si>
    <t>Livbojsfäste</t>
  </si>
  <si>
    <t>Mindre skada skrovsida styrbord</t>
  </si>
  <si>
    <t>Drevet/backslag - olja läcker</t>
  </si>
  <si>
    <t>Knappar på dynor lossnar</t>
  </si>
  <si>
    <t>Fläck dyna akterkoj</t>
  </si>
  <si>
    <t>"Fläns" utsida dräneringshål ankarbox</t>
  </si>
  <si>
    <t>Brickor till hänglåsets mekanism</t>
  </si>
  <si>
    <t>Saknas skruvar till gångjärn sophållare</t>
  </si>
  <si>
    <t>Byte av roderlager</t>
  </si>
  <si>
    <t>Byte av gasolslang</t>
  </si>
  <si>
    <t>Hopfällbar landgång I lättmetall</t>
  </si>
  <si>
    <t>SYC Byte oljefilter, luftfilter,2 st bränslefilter+</t>
  </si>
  <si>
    <t>vinterkonservering, generatorrem mm</t>
  </si>
  <si>
    <t>Bankkostnader (Bg/Swift/mm</t>
  </si>
  <si>
    <t xml:space="preserve">   Budget 2022</t>
  </si>
  <si>
    <t>Bankkonto på Swedbank</t>
  </si>
  <si>
    <t>RESULTAT OCH BALANSRÄKNING ADA  22-11-26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</si>
</sst>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yy/mm/dd;@"/>
  </numFmts>
  <fonts count="45" x14ac:knownFonts="1"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color rgb="FFFF0000"/>
      <name val="Arial"/>
      <family val="2"/>
    </font>
    <font>
      <b/>
      <sz val="11"/>
      <color rgb="FF0000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6" tint="-0.499984740745262"/>
      <name val="Arial"/>
      <family val="2"/>
    </font>
    <font>
      <b/>
      <u/>
      <sz val="12"/>
      <name val="Times New Roman"/>
      <family val="1"/>
    </font>
    <font>
      <sz val="11"/>
      <name val="Calibri"/>
      <family val="2"/>
    </font>
    <font>
      <u/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Calibri"/>
      <family val="2"/>
    </font>
    <font>
      <b/>
      <i/>
      <sz val="10"/>
      <color rgb="FF0070C0"/>
      <name val="Arial"/>
      <family val="2"/>
    </font>
    <font>
      <sz val="10"/>
      <color rgb="FF00B0F0"/>
      <name val="Arial"/>
      <family val="2"/>
    </font>
    <font>
      <sz val="10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</font>
    <font>
      <sz val="10"/>
      <color theme="6" tint="-0.499984740745262"/>
      <name val="Calibri"/>
      <family val="2"/>
    </font>
    <font>
      <b/>
      <u/>
      <sz val="11"/>
      <name val="Calibri"/>
      <family val="2"/>
    </font>
    <font>
      <b/>
      <sz val="11"/>
      <color rgb="FF0070C0"/>
      <name val="Calibri"/>
      <family val="2"/>
    </font>
    <font>
      <b/>
      <sz val="11"/>
      <color theme="6" tint="-0.499984740745262"/>
      <name val="Calibri"/>
      <family val="2"/>
    </font>
    <font>
      <b/>
      <sz val="12"/>
      <color rgb="FF0070C0"/>
      <name val="Calibri"/>
      <family val="2"/>
    </font>
    <font>
      <b/>
      <sz val="12"/>
      <color theme="6" tint="-0.499984740745262"/>
      <name val="Calibri"/>
      <family val="2"/>
    </font>
    <font>
      <sz val="12"/>
      <color rgb="FF0070C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0"/>
      <color indexed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0" fillId="0" borderId="3" xfId="0" applyBorder="1"/>
    <xf numFmtId="3" fontId="0" fillId="2" borderId="2" xfId="0" applyNumberFormat="1" applyFill="1" applyBorder="1"/>
    <xf numFmtId="3" fontId="1" fillId="0" borderId="0" xfId="0" applyNumberFormat="1" applyFont="1"/>
    <xf numFmtId="0" fontId="5" fillId="0" borderId="1" xfId="0" applyFont="1" applyBorder="1"/>
    <xf numFmtId="4" fontId="0" fillId="0" borderId="0" xfId="0" applyNumberFormat="1"/>
    <xf numFmtId="0" fontId="2" fillId="0" borderId="0" xfId="0" applyFont="1"/>
    <xf numFmtId="4" fontId="0" fillId="0" borderId="1" xfId="0" applyNumberFormat="1" applyBorder="1"/>
    <xf numFmtId="4" fontId="0" fillId="3" borderId="0" xfId="0" applyNumberFormat="1" applyFill="1"/>
    <xf numFmtId="0" fontId="0" fillId="3" borderId="0" xfId="0" applyFill="1"/>
    <xf numFmtId="14" fontId="0" fillId="0" borderId="0" xfId="0" applyNumberFormat="1"/>
    <xf numFmtId="3" fontId="0" fillId="0" borderId="0" xfId="0" applyNumberFormat="1"/>
    <xf numFmtId="3" fontId="4" fillId="0" borderId="0" xfId="0" applyNumberFormat="1" applyFont="1"/>
    <xf numFmtId="3" fontId="5" fillId="0" borderId="0" xfId="0" applyNumberFormat="1" applyFont="1"/>
    <xf numFmtId="3" fontId="0" fillId="3" borderId="0" xfId="0" applyNumberFormat="1" applyFill="1"/>
    <xf numFmtId="3" fontId="0" fillId="0" borderId="1" xfId="0" applyNumberFormat="1" applyBorder="1"/>
    <xf numFmtId="3" fontId="5" fillId="4" borderId="4" xfId="0" applyNumberFormat="1" applyFont="1" applyFill="1" applyBorder="1"/>
    <xf numFmtId="3" fontId="0" fillId="0" borderId="3" xfId="0" applyNumberFormat="1" applyBorder="1"/>
    <xf numFmtId="3" fontId="5" fillId="0" borderId="2" xfId="0" applyNumberFormat="1" applyFont="1" applyBorder="1"/>
    <xf numFmtId="164" fontId="0" fillId="0" borderId="0" xfId="0" applyNumberFormat="1" applyAlignment="1">
      <alignment horizontal="right"/>
    </xf>
    <xf numFmtId="3" fontId="7" fillId="0" borderId="1" xfId="0" applyNumberFormat="1" applyFont="1" applyBorder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4" fontId="12" fillId="0" borderId="0" xfId="0" applyNumberFormat="1" applyFont="1"/>
    <xf numFmtId="0" fontId="12" fillId="0" borderId="0" xfId="0" applyFont="1"/>
    <xf numFmtId="4" fontId="4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6" xfId="0" applyNumberFormat="1" applyBorder="1"/>
    <xf numFmtId="3" fontId="13" fillId="0" borderId="0" xfId="0" applyNumberFormat="1" applyFont="1"/>
    <xf numFmtId="4" fontId="13" fillId="0" borderId="0" xfId="0" applyNumberFormat="1" applyFont="1"/>
    <xf numFmtId="14" fontId="1" fillId="0" borderId="0" xfId="0" applyNumberFormat="1" applyFont="1"/>
    <xf numFmtId="3" fontId="14" fillId="0" borderId="0" xfId="0" applyNumberFormat="1" applyFont="1" applyAlignment="1">
      <alignment horizontal="right" vertical="center" wrapText="1"/>
    </xf>
    <xf numFmtId="0" fontId="16" fillId="0" borderId="0" xfId="0" applyFont="1"/>
    <xf numFmtId="0" fontId="15" fillId="0" borderId="0" xfId="1" applyAlignment="1">
      <alignment vertical="top"/>
    </xf>
    <xf numFmtId="0" fontId="17" fillId="0" borderId="0" xfId="0" applyFont="1" applyAlignment="1">
      <alignment horizontal="left" vertical="top" wrapText="1"/>
    </xf>
    <xf numFmtId="4" fontId="17" fillId="0" borderId="0" xfId="0" applyNumberFormat="1" applyFont="1" applyAlignment="1">
      <alignment horizontal="right" vertical="top"/>
    </xf>
    <xf numFmtId="4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horizontal="right" vertical="top"/>
    </xf>
    <xf numFmtId="4" fontId="14" fillId="0" borderId="1" xfId="0" applyNumberFormat="1" applyFont="1" applyBorder="1" applyAlignment="1">
      <alignment horizontal="right" vertical="top"/>
    </xf>
    <xf numFmtId="166" fontId="17" fillId="0" borderId="0" xfId="0" applyNumberFormat="1" applyFont="1" applyAlignment="1">
      <alignment vertical="top"/>
    </xf>
    <xf numFmtId="166" fontId="17" fillId="0" borderId="1" xfId="0" applyNumberFormat="1" applyFont="1" applyBorder="1" applyAlignment="1">
      <alignment vertical="top"/>
    </xf>
    <xf numFmtId="166" fontId="0" fillId="0" borderId="0" xfId="0" applyNumberFormat="1"/>
    <xf numFmtId="0" fontId="6" fillId="0" borderId="0" xfId="0" applyFont="1"/>
    <xf numFmtId="3" fontId="3" fillId="0" borderId="0" xfId="0" applyNumberFormat="1" applyFont="1"/>
    <xf numFmtId="3" fontId="18" fillId="0" borderId="0" xfId="0" applyNumberFormat="1" applyFont="1"/>
    <xf numFmtId="0" fontId="19" fillId="0" borderId="0" xfId="0" applyFont="1" applyAlignment="1">
      <alignment vertical="center"/>
    </xf>
    <xf numFmtId="0" fontId="21" fillId="0" borderId="0" xfId="0" applyFont="1"/>
    <xf numFmtId="0" fontId="22" fillId="0" borderId="1" xfId="0" applyFont="1" applyBorder="1"/>
    <xf numFmtId="3" fontId="23" fillId="0" borderId="0" xfId="0" applyNumberFormat="1" applyFont="1"/>
    <xf numFmtId="165" fontId="23" fillId="0" borderId="0" xfId="0" applyNumberFormat="1" applyFont="1"/>
    <xf numFmtId="3" fontId="24" fillId="0" borderId="0" xfId="0" applyNumberFormat="1" applyFont="1"/>
    <xf numFmtId="3" fontId="23" fillId="0" borderId="1" xfId="0" applyNumberFormat="1" applyFont="1" applyBorder="1"/>
    <xf numFmtId="0" fontId="23" fillId="0" borderId="0" xfId="0" applyFont="1"/>
    <xf numFmtId="3" fontId="23" fillId="5" borderId="0" xfId="0" applyNumberFormat="1" applyFont="1" applyFill="1"/>
    <xf numFmtId="3" fontId="25" fillId="0" borderId="0" xfId="0" applyNumberFormat="1" applyFont="1"/>
    <xf numFmtId="3" fontId="26" fillId="0" borderId="0" xfId="0" applyNumberFormat="1" applyFont="1"/>
    <xf numFmtId="3" fontId="25" fillId="0" borderId="5" xfId="0" applyNumberFormat="1" applyFont="1" applyBorder="1"/>
    <xf numFmtId="3" fontId="23" fillId="0" borderId="3" xfId="0" applyNumberFormat="1" applyFont="1" applyBorder="1"/>
    <xf numFmtId="4" fontId="23" fillId="5" borderId="0" xfId="0" applyNumberFormat="1" applyFont="1" applyFill="1"/>
    <xf numFmtId="0" fontId="14" fillId="0" borderId="0" xfId="0" applyFont="1" applyAlignment="1">
      <alignment vertical="center" wrapText="1"/>
    </xf>
    <xf numFmtId="3" fontId="1" fillId="0" borderId="1" xfId="0" applyNumberFormat="1" applyFont="1" applyBorder="1"/>
    <xf numFmtId="3" fontId="1" fillId="5" borderId="1" xfId="0" applyNumberFormat="1" applyFont="1" applyFill="1" applyBorder="1"/>
    <xf numFmtId="4" fontId="23" fillId="0" borderId="0" xfId="0" applyNumberFormat="1" applyFont="1"/>
    <xf numFmtId="3" fontId="28" fillId="0" borderId="0" xfId="0" applyNumberFormat="1" applyFont="1"/>
    <xf numFmtId="4" fontId="29" fillId="0" borderId="0" xfId="0" applyNumberFormat="1" applyFont="1"/>
    <xf numFmtId="0" fontId="29" fillId="0" borderId="0" xfId="0" applyFont="1"/>
    <xf numFmtId="3" fontId="29" fillId="0" borderId="0" xfId="0" applyNumberFormat="1" applyFont="1"/>
    <xf numFmtId="3" fontId="4" fillId="3" borderId="0" xfId="0" applyNumberFormat="1" applyFont="1" applyFill="1"/>
    <xf numFmtId="3" fontId="1" fillId="3" borderId="0" xfId="0" applyNumberFormat="1" applyFont="1" applyFill="1"/>
    <xf numFmtId="3" fontId="1" fillId="6" borderId="1" xfId="0" applyNumberFormat="1" applyFont="1" applyFill="1" applyBorder="1"/>
    <xf numFmtId="3" fontId="1" fillId="5" borderId="0" xfId="0" applyNumberFormat="1" applyFont="1" applyFill="1"/>
    <xf numFmtId="0" fontId="4" fillId="0" borderId="0" xfId="0" applyFont="1" applyAlignment="1">
      <alignment vertical="center"/>
    </xf>
    <xf numFmtId="3" fontId="22" fillId="5" borderId="1" xfId="0" applyNumberFormat="1" applyFont="1" applyFill="1" applyBorder="1"/>
    <xf numFmtId="3" fontId="22" fillId="0" borderId="1" xfId="0" applyNumberFormat="1" applyFont="1" applyBorder="1"/>
    <xf numFmtId="3" fontId="22" fillId="6" borderId="1" xfId="0" applyNumberFormat="1" applyFont="1" applyFill="1" applyBorder="1"/>
    <xf numFmtId="3" fontId="22" fillId="0" borderId="0" xfId="0" applyNumberFormat="1" applyFont="1"/>
    <xf numFmtId="0" fontId="30" fillId="0" borderId="0" xfId="0" applyFont="1"/>
    <xf numFmtId="0" fontId="30" fillId="0" borderId="9" xfId="0" applyFont="1" applyBorder="1"/>
    <xf numFmtId="0" fontId="30" fillId="0" borderId="7" xfId="0" applyFont="1" applyBorder="1"/>
    <xf numFmtId="4" fontId="30" fillId="0" borderId="0" xfId="0" applyNumberFormat="1" applyFont="1"/>
    <xf numFmtId="0" fontId="30" fillId="0" borderId="10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1" fillId="0" borderId="1" xfId="0" applyFont="1" applyBorder="1"/>
    <xf numFmtId="0" fontId="32" fillId="0" borderId="1" xfId="0" applyFont="1" applyBorder="1"/>
    <xf numFmtId="0" fontId="33" fillId="0" borderId="1" xfId="0" applyFont="1" applyBorder="1"/>
    <xf numFmtId="3" fontId="34" fillId="0" borderId="0" xfId="0" applyNumberFormat="1" applyFont="1"/>
    <xf numFmtId="3" fontId="30" fillId="0" borderId="0" xfId="0" applyNumberFormat="1" applyFont="1"/>
    <xf numFmtId="3" fontId="35" fillId="0" borderId="0" xfId="0" applyNumberFormat="1" applyFont="1"/>
    <xf numFmtId="3" fontId="30" fillId="0" borderId="0" xfId="0" applyNumberFormat="1" applyFont="1" applyAlignment="1">
      <alignment horizontal="right"/>
    </xf>
    <xf numFmtId="165" fontId="34" fillId="0" borderId="0" xfId="0" applyNumberFormat="1" applyFont="1"/>
    <xf numFmtId="165" fontId="35" fillId="0" borderId="0" xfId="0" applyNumberFormat="1" applyFont="1"/>
    <xf numFmtId="164" fontId="30" fillId="0" borderId="0" xfId="0" applyNumberFormat="1" applyFont="1" applyAlignment="1">
      <alignment horizontal="right"/>
    </xf>
    <xf numFmtId="0" fontId="36" fillId="0" borderId="0" xfId="0" applyFont="1"/>
    <xf numFmtId="3" fontId="37" fillId="0" borderId="0" xfId="0" applyNumberFormat="1" applyFont="1"/>
    <xf numFmtId="3" fontId="27" fillId="0" borderId="0" xfId="0" applyNumberFormat="1" applyFont="1"/>
    <xf numFmtId="3" fontId="38" fillId="0" borderId="0" xfId="0" applyNumberFormat="1" applyFont="1"/>
    <xf numFmtId="0" fontId="20" fillId="0" borderId="0" xfId="0" applyFont="1"/>
    <xf numFmtId="0" fontId="36" fillId="0" borderId="1" xfId="0" applyFont="1" applyBorder="1"/>
    <xf numFmtId="3" fontId="30" fillId="0" borderId="1" xfId="0" applyNumberFormat="1" applyFont="1" applyBorder="1"/>
    <xf numFmtId="3" fontId="34" fillId="0" borderId="1" xfId="0" applyNumberFormat="1" applyFont="1" applyBorder="1"/>
    <xf numFmtId="0" fontId="34" fillId="0" borderId="0" xfId="0" applyFont="1"/>
    <xf numFmtId="0" fontId="31" fillId="0" borderId="0" xfId="0" applyFont="1"/>
    <xf numFmtId="3" fontId="30" fillId="3" borderId="0" xfId="0" applyNumberFormat="1" applyFont="1" applyFill="1"/>
    <xf numFmtId="3" fontId="34" fillId="5" borderId="0" xfId="0" applyNumberFormat="1" applyFont="1" applyFill="1"/>
    <xf numFmtId="3" fontId="34" fillId="3" borderId="0" xfId="0" applyNumberFormat="1" applyFont="1" applyFill="1"/>
    <xf numFmtId="3" fontId="39" fillId="0" borderId="0" xfId="0" applyNumberFormat="1" applyFont="1"/>
    <xf numFmtId="3" fontId="32" fillId="0" borderId="0" xfId="0" applyNumberFormat="1" applyFont="1"/>
    <xf numFmtId="3" fontId="40" fillId="0" borderId="0" xfId="0" applyNumberFormat="1" applyFont="1"/>
    <xf numFmtId="3" fontId="41" fillId="0" borderId="0" xfId="0" applyNumberFormat="1" applyFont="1"/>
    <xf numFmtId="3" fontId="42" fillId="0" borderId="0" xfId="0" applyNumberFormat="1" applyFont="1"/>
    <xf numFmtId="0" fontId="30" fillId="0" borderId="1" xfId="0" applyFont="1" applyBorder="1"/>
    <xf numFmtId="3" fontId="32" fillId="0" borderId="5" xfId="0" applyNumberFormat="1" applyFont="1" applyBorder="1"/>
    <xf numFmtId="3" fontId="39" fillId="0" borderId="5" xfId="0" applyNumberFormat="1" applyFont="1" applyBorder="1"/>
    <xf numFmtId="0" fontId="20" fillId="0" borderId="3" xfId="0" applyFont="1" applyBorder="1"/>
    <xf numFmtId="0" fontId="30" fillId="0" borderId="3" xfId="0" applyFont="1" applyBorder="1"/>
    <xf numFmtId="0" fontId="34" fillId="0" borderId="3" xfId="0" applyFont="1" applyBorder="1"/>
    <xf numFmtId="3" fontId="30" fillId="0" borderId="3" xfId="0" applyNumberFormat="1" applyFont="1" applyBorder="1"/>
    <xf numFmtId="14" fontId="43" fillId="0" borderId="0" xfId="0" applyNumberFormat="1" applyFont="1"/>
    <xf numFmtId="3" fontId="32" fillId="4" borderId="4" xfId="0" applyNumberFormat="1" applyFont="1" applyFill="1" applyBorder="1"/>
    <xf numFmtId="3" fontId="44" fillId="0" borderId="0" xfId="0" applyNumberFormat="1" applyFont="1"/>
    <xf numFmtId="3" fontId="32" fillId="0" borderId="2" xfId="0" applyNumberFormat="1" applyFont="1" applyBorder="1"/>
    <xf numFmtId="0" fontId="32" fillId="0" borderId="0" xfId="0" applyFont="1"/>
    <xf numFmtId="0" fontId="32" fillId="7" borderId="1" xfId="0" applyFont="1" applyFill="1" applyBorder="1"/>
    <xf numFmtId="3" fontId="30" fillId="7" borderId="0" xfId="0" applyNumberFormat="1" applyFont="1" applyFill="1"/>
    <xf numFmtId="165" fontId="30" fillId="7" borderId="0" xfId="0" applyNumberFormat="1" applyFont="1" applyFill="1"/>
    <xf numFmtId="3" fontId="27" fillId="7" borderId="0" xfId="0" applyNumberFormat="1" applyFont="1" applyFill="1"/>
    <xf numFmtId="3" fontId="30" fillId="7" borderId="1" xfId="0" applyNumberFormat="1" applyFont="1" applyFill="1" applyBorder="1"/>
    <xf numFmtId="0" fontId="30" fillId="7" borderId="0" xfId="0" applyFont="1" applyFill="1"/>
    <xf numFmtId="3" fontId="32" fillId="7" borderId="0" xfId="0" applyNumberFormat="1" applyFont="1" applyFill="1"/>
    <xf numFmtId="3" fontId="41" fillId="7" borderId="0" xfId="0" applyNumberFormat="1" applyFont="1" applyFill="1"/>
    <xf numFmtId="3" fontId="32" fillId="7" borderId="5" xfId="0" applyNumberFormat="1" applyFont="1" applyFill="1" applyBorder="1"/>
    <xf numFmtId="0" fontId="34" fillId="7" borderId="3" xfId="0" applyFont="1" applyFill="1" applyBorder="1"/>
    <xf numFmtId="14" fontId="43" fillId="7" borderId="0" xfId="0" applyNumberFormat="1" applyFont="1" applyFill="1"/>
    <xf numFmtId="0" fontId="34" fillId="7" borderId="0" xfId="0" applyFont="1" applyFill="1"/>
    <xf numFmtId="3" fontId="32" fillId="7" borderId="4" xfId="0" applyNumberFormat="1" applyFont="1" applyFill="1" applyBorder="1"/>
    <xf numFmtId="0" fontId="31" fillId="7" borderId="0" xfId="0" applyFont="1" applyFill="1"/>
    <xf numFmtId="3" fontId="32" fillId="7" borderId="2" xfId="0" applyNumberFormat="1" applyFont="1" applyFill="1" applyBorder="1"/>
    <xf numFmtId="0" fontId="5" fillId="0" borderId="0" xfId="0" applyFont="1"/>
    <xf numFmtId="0" fontId="1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/>
    </xf>
  </cellXfs>
  <cellStyles count="2">
    <cellStyle name="Hyperlänk" xfId="1" builtinId="8"/>
    <cellStyle name="Normal" xfId="0" builtinId="0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99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apps.kapitas.se/Reporting/data/reportVoucherDetail.php?voucherId=3132276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apps.kapitas.se/Reporting/data/reportVoucherDetail.php?voucherId=3132270" TargetMode="External"/><Relationship Id="rId1" Type="http://schemas.openxmlformats.org/officeDocument/2006/relationships/hyperlink" Target="https://apps.kapitas.se/Reporting/data/reportVoucherDetail.php?voucherId=293393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pps.kapitas.se/Reporting/data/reportVoucherDetail.php?voucherId=3132270" TargetMode="External"/><Relationship Id="rId4" Type="http://schemas.openxmlformats.org/officeDocument/2006/relationships/hyperlink" Target="https://apps.kapitas.se/Reporting/data/reportVoucherDetail.php?voucherId=313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E689-8E64-4ACB-9567-AD1607C9B894}">
  <sheetPr>
    <pageSetUpPr fitToPage="1"/>
  </sheetPr>
  <dimension ref="A1:AD194"/>
  <sheetViews>
    <sheetView tabSelected="1" topLeftCell="A22" zoomScaleNormal="100" workbookViewId="0">
      <selection activeCell="D2" sqref="D2"/>
    </sheetView>
  </sheetViews>
  <sheetFormatPr defaultRowHeight="12.75" x14ac:dyDescent="0.2"/>
  <cols>
    <col min="1" max="1" width="2.28515625" style="32" customWidth="1"/>
    <col min="2" max="2" width="9.140625" customWidth="1"/>
    <col min="4" max="4" width="15.28515625" customWidth="1"/>
    <col min="5" max="5" width="12.42578125" customWidth="1"/>
    <col min="6" max="6" width="10.140625" bestFit="1" customWidth="1"/>
    <col min="7" max="7" width="11.5703125" customWidth="1"/>
    <col min="8" max="8" width="11.28515625" style="15" customWidth="1"/>
    <col min="9" max="9" width="10.28515625" customWidth="1"/>
    <col min="10" max="10" width="1.7109375" style="9" customWidth="1"/>
    <col min="11" max="11" width="11" style="9" customWidth="1"/>
    <col min="12" max="12" width="1.85546875" style="9" customWidth="1"/>
    <col min="13" max="13" width="10.28515625" style="9" customWidth="1"/>
    <col min="14" max="14" width="2.140625" customWidth="1"/>
    <col min="15" max="15" width="10.42578125" customWidth="1"/>
    <col min="16" max="16" width="2.42578125" customWidth="1"/>
    <col min="17" max="17" width="10.7109375" customWidth="1"/>
    <col min="18" max="18" width="4.85546875" hidden="1" customWidth="1"/>
    <col min="20" max="20" width="11.140625" customWidth="1"/>
    <col min="21" max="21" width="13.42578125" customWidth="1"/>
    <col min="23" max="23" width="9.7109375" bestFit="1" customWidth="1"/>
    <col min="25" max="25" width="10.140625" bestFit="1" customWidth="1"/>
    <col min="26" max="26" width="46.28515625" bestFit="1" customWidth="1"/>
    <col min="27" max="27" width="9.85546875" bestFit="1" customWidth="1"/>
    <col min="29" max="29" width="9.85546875" bestFit="1" customWidth="1"/>
  </cols>
  <sheetData>
    <row r="1" spans="1:26" ht="15.75" x14ac:dyDescent="0.25">
      <c r="B1" s="87"/>
      <c r="C1" s="132" t="s">
        <v>134</v>
      </c>
      <c r="D1" s="87"/>
      <c r="E1" s="87"/>
      <c r="F1" s="87"/>
      <c r="G1" s="87"/>
      <c r="H1" s="88" t="s">
        <v>92</v>
      </c>
      <c r="I1" s="89"/>
      <c r="J1" s="90"/>
      <c r="K1" s="90" t="s">
        <v>79</v>
      </c>
      <c r="L1" s="90"/>
      <c r="M1" s="90"/>
      <c r="N1" s="87"/>
      <c r="O1" s="87"/>
      <c r="P1" s="87"/>
      <c r="Q1" s="87"/>
    </row>
    <row r="2" spans="1:26" x14ac:dyDescent="0.2">
      <c r="B2" s="87"/>
      <c r="C2" s="87"/>
      <c r="D2" s="87"/>
      <c r="E2" s="87"/>
      <c r="F2" s="87"/>
      <c r="G2" s="87"/>
      <c r="H2" s="91" t="s">
        <v>93</v>
      </c>
      <c r="I2" s="92" t="s">
        <v>94</v>
      </c>
      <c r="J2" s="90"/>
      <c r="K2" s="90" t="s">
        <v>88</v>
      </c>
      <c r="L2" s="90"/>
      <c r="M2" s="90"/>
      <c r="N2" s="87"/>
      <c r="O2" s="87"/>
      <c r="P2" s="87"/>
      <c r="Q2" s="87"/>
    </row>
    <row r="3" spans="1:26" ht="15.75" x14ac:dyDescent="0.25">
      <c r="B3" s="93" t="s">
        <v>0</v>
      </c>
      <c r="C3" s="94"/>
      <c r="D3" s="94"/>
      <c r="E3" s="95" t="s">
        <v>80</v>
      </c>
      <c r="F3" s="133">
        <v>2022</v>
      </c>
      <c r="G3" s="95" t="s">
        <v>54</v>
      </c>
      <c r="H3" s="94">
        <v>2021</v>
      </c>
      <c r="I3" s="94">
        <v>2020</v>
      </c>
      <c r="J3" s="94">
        <v>2019</v>
      </c>
      <c r="K3" s="94">
        <v>2019</v>
      </c>
      <c r="L3" s="94">
        <v>2018</v>
      </c>
      <c r="M3" s="94">
        <v>2018</v>
      </c>
      <c r="N3" s="87"/>
      <c r="O3" s="94">
        <v>2017</v>
      </c>
      <c r="P3" s="87"/>
      <c r="Q3" s="94">
        <v>2016</v>
      </c>
      <c r="R3" s="8">
        <v>2015</v>
      </c>
      <c r="T3" s="8"/>
      <c r="Z3" s="58"/>
    </row>
    <row r="4" spans="1:26" x14ac:dyDescent="0.2">
      <c r="B4" s="87" t="s">
        <v>2</v>
      </c>
      <c r="C4" s="87"/>
      <c r="D4" s="87"/>
      <c r="E4" s="96">
        <f>18*E6*1000</f>
        <v>115200</v>
      </c>
      <c r="F4" s="134">
        <v>108000</v>
      </c>
      <c r="G4" s="96">
        <f>18*G6*1000</f>
        <v>108000</v>
      </c>
      <c r="H4" s="98">
        <f>18*H6*1000</f>
        <v>90000</v>
      </c>
      <c r="I4" s="97">
        <v>144000</v>
      </c>
      <c r="J4" s="90"/>
      <c r="K4" s="97">
        <v>90000</v>
      </c>
      <c r="L4" s="90"/>
      <c r="M4" s="98">
        <f>18*M6*1000</f>
        <v>99000</v>
      </c>
      <c r="N4" s="87"/>
      <c r="O4" s="98">
        <f>18*O6*1000</f>
        <v>63000</v>
      </c>
      <c r="P4" s="87"/>
      <c r="Q4" s="98">
        <f>18*Q6*1000</f>
        <v>64800</v>
      </c>
      <c r="R4" s="55">
        <f>18*R6*1000</f>
        <v>81000</v>
      </c>
      <c r="S4" s="9"/>
      <c r="T4" s="16"/>
      <c r="Z4" s="59"/>
    </row>
    <row r="5" spans="1:26" x14ac:dyDescent="0.2">
      <c r="B5" s="87" t="s">
        <v>15</v>
      </c>
      <c r="C5" s="87"/>
      <c r="D5" s="87"/>
      <c r="E5" s="96"/>
      <c r="F5" s="134"/>
      <c r="G5" s="96"/>
      <c r="H5" s="98"/>
      <c r="I5" s="97"/>
      <c r="J5" s="90"/>
      <c r="K5" s="97">
        <v>130000</v>
      </c>
      <c r="L5" s="90"/>
      <c r="M5" s="99">
        <v>0</v>
      </c>
      <c r="N5" s="87"/>
      <c r="O5" s="97"/>
      <c r="P5" s="87"/>
      <c r="Q5" s="97"/>
      <c r="R5" s="15"/>
      <c r="S5" s="9"/>
      <c r="Z5" s="59"/>
    </row>
    <row r="6" spans="1:26" x14ac:dyDescent="0.2">
      <c r="B6" s="87" t="s">
        <v>16</v>
      </c>
      <c r="C6" s="87"/>
      <c r="D6" s="87"/>
      <c r="E6" s="100">
        <v>6.4</v>
      </c>
      <c r="F6" s="135">
        <v>6</v>
      </c>
      <c r="G6" s="100">
        <v>6</v>
      </c>
      <c r="H6" s="101">
        <v>5</v>
      </c>
      <c r="I6" s="99" t="s">
        <v>31</v>
      </c>
      <c r="J6" s="90"/>
      <c r="K6" s="99" t="s">
        <v>18</v>
      </c>
      <c r="L6" s="90"/>
      <c r="M6" s="102">
        <v>5.5</v>
      </c>
      <c r="N6" s="87"/>
      <c r="O6" s="102">
        <v>3.5</v>
      </c>
      <c r="P6" s="87"/>
      <c r="Q6" s="102">
        <v>3.6</v>
      </c>
      <c r="R6" s="23">
        <v>4.5</v>
      </c>
      <c r="S6" s="23"/>
      <c r="T6" s="23"/>
      <c r="Z6" s="60"/>
    </row>
    <row r="7" spans="1:26" s="29" customFormat="1" ht="15" x14ac:dyDescent="0.25">
      <c r="A7" s="33"/>
      <c r="B7" s="103" t="s">
        <v>6</v>
      </c>
      <c r="C7" s="103"/>
      <c r="D7" s="103"/>
      <c r="E7" s="104">
        <f>E4</f>
        <v>115200</v>
      </c>
      <c r="F7" s="136">
        <f>F4</f>
        <v>108000</v>
      </c>
      <c r="G7" s="104">
        <f>G4</f>
        <v>108000</v>
      </c>
      <c r="H7" s="106">
        <f>H4</f>
        <v>90000</v>
      </c>
      <c r="I7" s="105">
        <f>SUM(I4:I5)</f>
        <v>144000</v>
      </c>
      <c r="J7" s="107"/>
      <c r="K7" s="105">
        <f>SUM(K4:K5)+3000</f>
        <v>223000</v>
      </c>
      <c r="L7" s="107"/>
      <c r="M7" s="105">
        <f>M4+M5</f>
        <v>99000</v>
      </c>
      <c r="N7" s="107"/>
      <c r="O7" s="105">
        <f>O4+O5</f>
        <v>63000</v>
      </c>
      <c r="P7" s="107"/>
      <c r="Q7" s="105">
        <f>Q4+Q5</f>
        <v>64800</v>
      </c>
      <c r="R7" s="27">
        <f>R4+R5</f>
        <v>81000</v>
      </c>
      <c r="S7" s="28"/>
      <c r="T7" s="27"/>
      <c r="Z7" s="61"/>
    </row>
    <row r="8" spans="1:26" x14ac:dyDescent="0.2">
      <c r="B8" s="87"/>
      <c r="C8" s="87"/>
      <c r="D8" s="87"/>
      <c r="E8" s="87"/>
      <c r="F8" s="134"/>
      <c r="G8" s="96"/>
      <c r="H8" s="87"/>
      <c r="I8" s="97"/>
      <c r="J8" s="87"/>
      <c r="K8" s="97"/>
      <c r="L8" s="87"/>
      <c r="M8" s="97"/>
      <c r="N8" s="87"/>
      <c r="O8" s="97"/>
      <c r="P8" s="87"/>
      <c r="Q8" s="97"/>
      <c r="R8" s="15"/>
      <c r="S8" s="9"/>
      <c r="Z8" s="59"/>
    </row>
    <row r="9" spans="1:26" ht="15.75" x14ac:dyDescent="0.25">
      <c r="B9" s="108" t="s">
        <v>1</v>
      </c>
      <c r="C9" s="93"/>
      <c r="D9" s="93"/>
      <c r="E9" s="93"/>
      <c r="F9" s="137"/>
      <c r="G9" s="110"/>
      <c r="H9" s="93"/>
      <c r="I9" s="109"/>
      <c r="J9" s="90"/>
      <c r="K9" s="109"/>
      <c r="L9" s="90"/>
      <c r="M9" s="109"/>
      <c r="N9" s="87"/>
      <c r="O9" s="109"/>
      <c r="P9" s="87"/>
      <c r="Q9" s="109"/>
      <c r="R9" s="19"/>
      <c r="S9" s="11"/>
      <c r="Z9" s="62"/>
    </row>
    <row r="10" spans="1:26" x14ac:dyDescent="0.2">
      <c r="B10" s="87" t="s">
        <v>5</v>
      </c>
      <c r="C10" s="97" t="s">
        <v>20</v>
      </c>
      <c r="D10" s="87"/>
      <c r="E10" s="87"/>
      <c r="F10" s="138"/>
      <c r="G10" s="111"/>
      <c r="H10" s="87"/>
      <c r="I10" s="97"/>
      <c r="J10" s="90"/>
      <c r="K10" s="87"/>
      <c r="L10" s="90"/>
      <c r="M10" s="97"/>
      <c r="N10" s="87"/>
      <c r="O10" s="97"/>
      <c r="P10" s="87"/>
      <c r="Q10" s="97"/>
      <c r="R10" s="15"/>
      <c r="S10" s="9"/>
      <c r="Z10" s="63"/>
    </row>
    <row r="11" spans="1:26" ht="12.75" customHeight="1" x14ac:dyDescent="0.25">
      <c r="B11" s="87" t="s">
        <v>17</v>
      </c>
      <c r="C11" s="112"/>
      <c r="D11" s="112"/>
      <c r="E11" s="112"/>
      <c r="F11" s="134"/>
      <c r="G11" s="96" t="s">
        <v>20</v>
      </c>
      <c r="H11" s="112"/>
      <c r="I11" s="97">
        <v>943</v>
      </c>
      <c r="J11" s="90"/>
      <c r="K11" s="97">
        <v>2822</v>
      </c>
      <c r="L11" s="90"/>
      <c r="M11" s="97"/>
      <c r="N11" s="87"/>
      <c r="O11" s="113"/>
      <c r="P11" s="87"/>
      <c r="Q11" s="97"/>
      <c r="R11" s="18"/>
      <c r="S11" s="9"/>
      <c r="Z11" s="59"/>
    </row>
    <row r="12" spans="1:26" x14ac:dyDescent="0.2">
      <c r="B12" s="87" t="s">
        <v>22</v>
      </c>
      <c r="C12" s="87"/>
      <c r="D12" s="87"/>
      <c r="E12" s="96">
        <f>G43</f>
        <v>33500</v>
      </c>
      <c r="F12" s="134">
        <v>32112</v>
      </c>
      <c r="G12" s="114">
        <v>34500</v>
      </c>
      <c r="H12" s="97">
        <v>35618</v>
      </c>
      <c r="I12" s="97">
        <f>37172-1</f>
        <v>37171</v>
      </c>
      <c r="J12" s="90"/>
      <c r="K12" s="97">
        <v>29711</v>
      </c>
      <c r="L12" s="90"/>
      <c r="M12" s="97">
        <v>24014.94</v>
      </c>
      <c r="N12" s="87"/>
      <c r="O12" s="97">
        <v>18159.189999999999</v>
      </c>
      <c r="P12" s="87"/>
      <c r="Q12" s="97">
        <v>13866.9</v>
      </c>
      <c r="R12" s="15">
        <v>12740</v>
      </c>
      <c r="S12" s="9"/>
      <c r="Z12" s="64"/>
    </row>
    <row r="13" spans="1:26" x14ac:dyDescent="0.2">
      <c r="B13" s="87" t="s">
        <v>21</v>
      </c>
      <c r="C13" s="87"/>
      <c r="D13" s="87"/>
      <c r="E13" s="96">
        <f>G48</f>
        <v>42450</v>
      </c>
      <c r="F13" s="134">
        <v>33281</v>
      </c>
      <c r="G13" s="114">
        <v>37310</v>
      </c>
      <c r="H13" s="97">
        <v>16145</v>
      </c>
      <c r="I13" s="97">
        <v>9732</v>
      </c>
      <c r="J13" s="90"/>
      <c r="K13" s="97">
        <v>33535</v>
      </c>
      <c r="L13" s="90"/>
      <c r="M13" s="97"/>
      <c r="N13" s="87"/>
      <c r="O13" s="97"/>
      <c r="P13" s="87"/>
      <c r="Q13" s="97"/>
      <c r="R13" s="15"/>
      <c r="S13" s="9"/>
      <c r="Z13" s="64"/>
    </row>
    <row r="14" spans="1:26" x14ac:dyDescent="0.2">
      <c r="B14" s="87" t="s">
        <v>25</v>
      </c>
      <c r="C14" s="87"/>
      <c r="D14" s="87"/>
      <c r="E14" s="96">
        <f>G78</f>
        <v>9999</v>
      </c>
      <c r="F14" s="134">
        <v>22275</v>
      </c>
      <c r="G14" s="114">
        <v>18600</v>
      </c>
      <c r="H14" s="97">
        <f>13847-1170-2217-2532</f>
        <v>7928</v>
      </c>
      <c r="I14" s="97">
        <v>22112</v>
      </c>
      <c r="J14" s="90"/>
      <c r="K14" s="97">
        <v>39004</v>
      </c>
      <c r="L14" s="90"/>
      <c r="M14" s="97">
        <f>63051-25417</f>
        <v>37634</v>
      </c>
      <c r="N14" s="87"/>
      <c r="O14" s="97">
        <v>31298.5</v>
      </c>
      <c r="P14" s="87"/>
      <c r="Q14" s="97">
        <v>41895.279999999999</v>
      </c>
      <c r="R14" s="15">
        <v>29182.880000000001</v>
      </c>
      <c r="S14" s="9"/>
      <c r="Z14" s="64"/>
    </row>
    <row r="15" spans="1:26" x14ac:dyDescent="0.2">
      <c r="B15" s="87" t="s">
        <v>26</v>
      </c>
      <c r="C15" s="87"/>
      <c r="D15" s="87"/>
      <c r="E15" s="96">
        <f>G80</f>
        <v>5534</v>
      </c>
      <c r="F15" s="134">
        <v>9200</v>
      </c>
      <c r="G15" s="114">
        <v>8500</v>
      </c>
      <c r="H15" s="97">
        <f>2680+1170+2217+2531+3</f>
        <v>8601</v>
      </c>
      <c r="I15" s="97">
        <v>13605</v>
      </c>
      <c r="J15" s="90"/>
      <c r="K15" s="97">
        <f>101328+2859+2245</f>
        <v>106432</v>
      </c>
      <c r="L15" s="90"/>
      <c r="M15" s="97">
        <f>25416</f>
        <v>25416</v>
      </c>
      <c r="N15" s="87"/>
      <c r="O15" s="97"/>
      <c r="P15" s="87"/>
      <c r="Q15" s="97"/>
      <c r="R15" s="15"/>
      <c r="S15" s="9"/>
      <c r="Z15" s="64"/>
    </row>
    <row r="16" spans="1:26" x14ac:dyDescent="0.2">
      <c r="B16" s="87" t="s">
        <v>91</v>
      </c>
      <c r="C16" s="87"/>
      <c r="D16" s="87"/>
      <c r="E16" s="96">
        <f t="shared" ref="E16:E21" si="0">G86</f>
        <v>10000</v>
      </c>
      <c r="F16" s="134">
        <v>7000</v>
      </c>
      <c r="G16" s="96">
        <v>7000</v>
      </c>
      <c r="H16" s="97">
        <v>3500</v>
      </c>
      <c r="I16" s="97">
        <v>1615</v>
      </c>
      <c r="J16" s="90"/>
      <c r="K16" s="97">
        <v>7000</v>
      </c>
      <c r="L16" s="90"/>
      <c r="M16" s="97">
        <v>5716</v>
      </c>
      <c r="N16" s="87"/>
      <c r="O16" s="97">
        <v>6000</v>
      </c>
      <c r="P16" s="87"/>
      <c r="Q16" s="97">
        <v>5708</v>
      </c>
      <c r="R16" s="15">
        <v>840</v>
      </c>
      <c r="S16" s="9"/>
      <c r="Z16" s="59"/>
    </row>
    <row r="17" spans="1:26" ht="12.75" customHeight="1" x14ac:dyDescent="0.25">
      <c r="B17" s="87" t="s">
        <v>61</v>
      </c>
      <c r="C17" s="112"/>
      <c r="D17" s="112"/>
      <c r="E17" s="96">
        <f t="shared" si="0"/>
        <v>2600</v>
      </c>
      <c r="F17" s="134">
        <v>2605</v>
      </c>
      <c r="G17" s="96">
        <v>1500</v>
      </c>
      <c r="H17" s="98">
        <v>0</v>
      </c>
      <c r="I17" s="97">
        <v>2369</v>
      </c>
      <c r="J17" s="90"/>
      <c r="K17" s="97">
        <v>1867</v>
      </c>
      <c r="L17" s="90"/>
      <c r="M17" s="97">
        <v>1504.95</v>
      </c>
      <c r="N17" s="87"/>
      <c r="O17" s="113">
        <v>893</v>
      </c>
      <c r="P17" s="87"/>
      <c r="Q17" s="97">
        <v>1360</v>
      </c>
      <c r="R17" s="18">
        <v>1262</v>
      </c>
      <c r="S17" s="9"/>
      <c r="Z17" s="59"/>
    </row>
    <row r="18" spans="1:26" x14ac:dyDescent="0.2">
      <c r="B18" s="87" t="s">
        <v>7</v>
      </c>
      <c r="C18" s="87"/>
      <c r="D18" s="87"/>
      <c r="E18" s="96">
        <f t="shared" si="0"/>
        <v>6958</v>
      </c>
      <c r="F18" s="134">
        <v>6741</v>
      </c>
      <c r="G18" s="96">
        <v>6590</v>
      </c>
      <c r="H18" s="97">
        <v>6590</v>
      </c>
      <c r="I18" s="97">
        <v>6039</v>
      </c>
      <c r="J18" s="90"/>
      <c r="K18" s="97">
        <v>5879</v>
      </c>
      <c r="L18" s="90"/>
      <c r="M18" s="97">
        <v>4225.3</v>
      </c>
      <c r="N18" s="87"/>
      <c r="O18" s="113">
        <v>4225.3</v>
      </c>
      <c r="P18" s="87"/>
      <c r="Q18" s="97">
        <v>0</v>
      </c>
      <c r="R18" s="18">
        <v>3847.3</v>
      </c>
      <c r="S18" s="9"/>
      <c r="Z18" s="59"/>
    </row>
    <row r="19" spans="1:26" x14ac:dyDescent="0.2">
      <c r="B19" s="87" t="s">
        <v>27</v>
      </c>
      <c r="C19" s="87"/>
      <c r="D19" s="87"/>
      <c r="E19" s="96">
        <f t="shared" si="0"/>
        <v>0</v>
      </c>
      <c r="F19" s="134"/>
      <c r="G19" s="96"/>
      <c r="H19" s="97">
        <v>6384</v>
      </c>
      <c r="I19" s="97">
        <v>0</v>
      </c>
      <c r="J19" s="90"/>
      <c r="K19" s="97">
        <v>7001</v>
      </c>
      <c r="L19" s="90"/>
      <c r="M19" s="97"/>
      <c r="N19" s="87"/>
      <c r="O19" s="113"/>
      <c r="P19" s="87"/>
      <c r="Q19" s="97"/>
      <c r="R19" s="18"/>
      <c r="S19" s="9"/>
      <c r="Z19" s="59"/>
    </row>
    <row r="20" spans="1:26" ht="15.75" customHeight="1" x14ac:dyDescent="0.2">
      <c r="B20" s="87" t="s">
        <v>51</v>
      </c>
      <c r="C20" s="87"/>
      <c r="D20" s="87"/>
      <c r="E20" s="96">
        <f t="shared" si="0"/>
        <v>1300</v>
      </c>
      <c r="F20" s="134">
        <v>1219</v>
      </c>
      <c r="G20" s="96">
        <v>1000</v>
      </c>
      <c r="H20" s="97">
        <v>916</v>
      </c>
      <c r="I20" s="97">
        <v>760</v>
      </c>
      <c r="J20" s="90"/>
      <c r="K20" s="97">
        <v>940</v>
      </c>
      <c r="L20" s="90"/>
      <c r="M20" s="97">
        <f>259+198</f>
        <v>457</v>
      </c>
      <c r="N20" s="87"/>
      <c r="O20" s="113">
        <f>256+104</f>
        <v>360</v>
      </c>
      <c r="P20" s="87"/>
      <c r="Q20" s="97">
        <v>255</v>
      </c>
      <c r="R20" s="18">
        <f>258+70</f>
        <v>328</v>
      </c>
      <c r="S20" s="9"/>
      <c r="Z20" s="59"/>
    </row>
    <row r="21" spans="1:26" ht="15.75" customHeight="1" x14ac:dyDescent="0.2">
      <c r="B21" s="87" t="s">
        <v>48</v>
      </c>
      <c r="C21" s="87"/>
      <c r="D21" s="87"/>
      <c r="E21" s="96">
        <f t="shared" si="0"/>
        <v>1600</v>
      </c>
      <c r="F21" s="134">
        <v>1582</v>
      </c>
      <c r="G21" s="115">
        <v>1500</v>
      </c>
      <c r="H21" s="97">
        <v>1275.31</v>
      </c>
      <c r="I21" s="97">
        <v>790</v>
      </c>
      <c r="J21" s="90"/>
      <c r="K21" s="97">
        <v>2500</v>
      </c>
      <c r="L21" s="90"/>
      <c r="M21" s="97">
        <v>1518</v>
      </c>
      <c r="N21" s="87"/>
      <c r="O21" s="97">
        <v>4534</v>
      </c>
      <c r="P21" s="87"/>
      <c r="Q21" s="97">
        <v>1984</v>
      </c>
      <c r="R21" s="15">
        <v>1125</v>
      </c>
      <c r="S21" s="9"/>
      <c r="Z21" s="64"/>
    </row>
    <row r="22" spans="1:26" ht="15.75" x14ac:dyDescent="0.25">
      <c r="B22" s="103" t="s">
        <v>8</v>
      </c>
      <c r="C22" s="87"/>
      <c r="D22" s="87"/>
      <c r="E22" s="116">
        <f>SUM(E12:E21)</f>
        <v>113941</v>
      </c>
      <c r="F22" s="139">
        <f>SUM(F12:F21)</f>
        <v>116015</v>
      </c>
      <c r="G22" s="116">
        <f>SUM(G12:G21)</f>
        <v>116500</v>
      </c>
      <c r="H22" s="118">
        <f>SUM(H12:H21)</f>
        <v>86957.31</v>
      </c>
      <c r="I22" s="117">
        <f>SUM(I11:I21)</f>
        <v>95136</v>
      </c>
      <c r="J22" s="90"/>
      <c r="K22" s="117">
        <f>SUM(K10:K21)</f>
        <v>236691</v>
      </c>
      <c r="L22" s="90"/>
      <c r="M22" s="117">
        <f>SUM(M12:M21)</f>
        <v>100486.19</v>
      </c>
      <c r="N22" s="87"/>
      <c r="O22" s="117">
        <f>SUM(O12:O21)</f>
        <v>65469.990000000005</v>
      </c>
      <c r="P22" s="87"/>
      <c r="Q22" s="117">
        <f>SUM(Q12:Q21)</f>
        <v>65069.18</v>
      </c>
      <c r="R22" s="17">
        <f t="shared" ref="R22" si="1">SUM(R12:R21)</f>
        <v>49325.180000000008</v>
      </c>
      <c r="S22" s="9"/>
      <c r="Z22" s="65"/>
    </row>
    <row r="23" spans="1:26" ht="16.5" thickBot="1" x14ac:dyDescent="0.3">
      <c r="B23" s="87"/>
      <c r="C23" s="112"/>
      <c r="D23" s="112"/>
      <c r="E23" s="119"/>
      <c r="F23" s="140"/>
      <c r="G23" s="119"/>
      <c r="H23" s="120"/>
      <c r="I23" s="97"/>
      <c r="J23" s="87"/>
      <c r="K23" s="97"/>
      <c r="L23" s="87"/>
      <c r="M23" s="97"/>
      <c r="N23" s="87"/>
      <c r="O23" s="97"/>
      <c r="P23" s="87"/>
      <c r="Q23" s="97"/>
      <c r="R23" s="15"/>
      <c r="S23" s="9"/>
      <c r="T23" s="15"/>
      <c r="U23" s="15"/>
      <c r="Z23" s="66"/>
    </row>
    <row r="24" spans="1:26" s="2" customFormat="1" ht="15.75" x14ac:dyDescent="0.25">
      <c r="A24" s="34"/>
      <c r="B24" s="108" t="s">
        <v>9</v>
      </c>
      <c r="C24" s="121"/>
      <c r="D24" s="121"/>
      <c r="E24" s="122">
        <f>E7-E22</f>
        <v>1259</v>
      </c>
      <c r="F24" s="141">
        <v>-8015</v>
      </c>
      <c r="G24" s="123">
        <f>G7-G22</f>
        <v>-8500</v>
      </c>
      <c r="H24" s="122">
        <f>H7-H22</f>
        <v>3042.6900000000023</v>
      </c>
      <c r="I24" s="122">
        <f>I7-I22</f>
        <v>48864</v>
      </c>
      <c r="J24" s="121"/>
      <c r="K24" s="122">
        <f>K7-K22</f>
        <v>-13691</v>
      </c>
      <c r="L24" s="121"/>
      <c r="M24" s="122">
        <v>-4487</v>
      </c>
      <c r="N24" s="121"/>
      <c r="O24" s="122">
        <f>O7-O22</f>
        <v>-2469.9900000000052</v>
      </c>
      <c r="P24" s="121"/>
      <c r="Q24" s="122">
        <v>-245.67999999999302</v>
      </c>
      <c r="R24" s="24">
        <v>-9593.6699999999983</v>
      </c>
      <c r="S24" s="11"/>
      <c r="T24" s="19"/>
      <c r="U24" s="19"/>
      <c r="V24" s="19"/>
      <c r="Z24" s="67"/>
    </row>
    <row r="25" spans="1:26" ht="15.75" thickBot="1" x14ac:dyDescent="0.3">
      <c r="B25" s="124"/>
      <c r="C25" s="125"/>
      <c r="D25" s="125"/>
      <c r="E25" s="125"/>
      <c r="F25" s="142"/>
      <c r="G25" s="126"/>
      <c r="H25" s="125"/>
      <c r="I25" s="127"/>
      <c r="J25" s="90"/>
      <c r="K25" s="127"/>
      <c r="L25" s="90"/>
      <c r="M25" s="127"/>
      <c r="N25" s="87"/>
      <c r="O25" s="127"/>
      <c r="P25" s="87"/>
      <c r="Q25" s="127"/>
      <c r="R25" s="21"/>
      <c r="S25" s="12"/>
      <c r="T25" s="15"/>
      <c r="U25" s="15"/>
      <c r="Z25" s="68"/>
    </row>
    <row r="26" spans="1:26" ht="15" x14ac:dyDescent="0.25">
      <c r="B26" s="103" t="s">
        <v>10</v>
      </c>
      <c r="C26" s="87"/>
      <c r="D26" s="87"/>
      <c r="E26" s="95" t="s">
        <v>80</v>
      </c>
      <c r="F26" s="143">
        <v>44865</v>
      </c>
      <c r="G26" s="95" t="s">
        <v>54</v>
      </c>
      <c r="H26" s="128">
        <v>44500</v>
      </c>
      <c r="I26" s="128">
        <v>44135</v>
      </c>
      <c r="J26" s="90"/>
      <c r="K26" s="128">
        <v>43769</v>
      </c>
      <c r="L26" s="90"/>
      <c r="M26" s="128">
        <v>43404</v>
      </c>
      <c r="N26" s="87"/>
      <c r="O26" s="128">
        <v>43039</v>
      </c>
      <c r="P26" s="87"/>
      <c r="Q26" s="128">
        <v>42674</v>
      </c>
      <c r="R26" s="39">
        <v>42308</v>
      </c>
      <c r="S26" s="1"/>
      <c r="T26" s="7"/>
      <c r="U26" s="16"/>
      <c r="V26" s="4"/>
      <c r="Z26" s="59"/>
    </row>
    <row r="27" spans="1:26" x14ac:dyDescent="0.2">
      <c r="B27" s="87"/>
      <c r="C27" s="87"/>
      <c r="D27" s="87"/>
      <c r="E27" s="87"/>
      <c r="F27" s="144"/>
      <c r="G27" s="111"/>
      <c r="H27" s="97"/>
      <c r="I27" s="97"/>
      <c r="J27" s="90"/>
      <c r="K27" s="97"/>
      <c r="L27" s="90"/>
      <c r="M27" s="97"/>
      <c r="N27" s="87"/>
      <c r="O27" s="97"/>
      <c r="P27" s="87"/>
      <c r="Q27" s="97"/>
      <c r="R27" s="15"/>
      <c r="T27" s="15"/>
      <c r="U27" s="15"/>
      <c r="Z27" s="59"/>
    </row>
    <row r="28" spans="1:26" ht="13.5" thickBot="1" x14ac:dyDescent="0.25">
      <c r="B28" s="87" t="s">
        <v>133</v>
      </c>
      <c r="C28" s="87"/>
      <c r="D28" s="87"/>
      <c r="E28" s="96">
        <f>F28+E24</f>
        <v>49800.69</v>
      </c>
      <c r="F28" s="134">
        <f>H28+F24</f>
        <v>48541.69</v>
      </c>
      <c r="G28" s="96">
        <f>H28+G24</f>
        <v>48056.69</v>
      </c>
      <c r="H28" s="97">
        <f>I28+H24</f>
        <v>56556.69</v>
      </c>
      <c r="I28" s="97">
        <v>53514</v>
      </c>
      <c r="J28" s="90"/>
      <c r="K28" s="97">
        <v>10024</v>
      </c>
      <c r="L28" s="90"/>
      <c r="M28" s="97">
        <v>18340.64</v>
      </c>
      <c r="N28" s="87"/>
      <c r="O28" s="97">
        <v>22827.39</v>
      </c>
      <c r="P28" s="87"/>
      <c r="Q28" s="97">
        <v>24699</v>
      </c>
      <c r="R28" s="15">
        <v>25542.92</v>
      </c>
      <c r="T28" s="15"/>
      <c r="U28" s="15"/>
      <c r="Z28" s="59"/>
    </row>
    <row r="29" spans="1:26" ht="16.5" thickBot="1" x14ac:dyDescent="0.3">
      <c r="B29" s="103" t="s">
        <v>11</v>
      </c>
      <c r="C29" s="87"/>
      <c r="D29" s="87"/>
      <c r="E29" s="129">
        <f>E28</f>
        <v>49800.69</v>
      </c>
      <c r="F29" s="145">
        <f>F28</f>
        <v>48541.69</v>
      </c>
      <c r="G29" s="129">
        <f>G28</f>
        <v>48056.69</v>
      </c>
      <c r="H29" s="129">
        <f>H28</f>
        <v>56556.69</v>
      </c>
      <c r="I29" s="129">
        <f>I28</f>
        <v>53514</v>
      </c>
      <c r="J29" s="90"/>
      <c r="K29" s="129">
        <f>K28</f>
        <v>10024</v>
      </c>
      <c r="L29" s="90"/>
      <c r="M29" s="129">
        <v>18340.64</v>
      </c>
      <c r="N29" s="87"/>
      <c r="O29" s="129">
        <v>22827.39</v>
      </c>
      <c r="P29" s="87"/>
      <c r="Q29" s="129">
        <v>24699</v>
      </c>
      <c r="R29" s="20">
        <v>25542.92</v>
      </c>
      <c r="T29" s="15"/>
      <c r="U29" s="15"/>
      <c r="Z29" s="15"/>
    </row>
    <row r="30" spans="1:26" ht="15" x14ac:dyDescent="0.25">
      <c r="B30" s="107"/>
      <c r="C30" s="87"/>
      <c r="D30" s="87"/>
      <c r="E30" s="87"/>
      <c r="F30" s="138"/>
      <c r="G30" s="87"/>
      <c r="H30" s="97"/>
      <c r="I30" s="97"/>
      <c r="J30" s="90"/>
      <c r="K30" s="97"/>
      <c r="L30" s="90"/>
      <c r="M30" s="97"/>
      <c r="N30" s="97"/>
      <c r="O30" s="97"/>
      <c r="P30" s="87"/>
      <c r="Q30" s="97"/>
      <c r="R30" s="15"/>
      <c r="T30" s="15"/>
      <c r="U30" s="15"/>
    </row>
    <row r="31" spans="1:26" ht="8.25" customHeight="1" x14ac:dyDescent="0.25">
      <c r="B31" s="107"/>
      <c r="C31" s="112"/>
      <c r="D31" s="112"/>
      <c r="E31" s="112"/>
      <c r="F31" s="146"/>
      <c r="G31" s="87"/>
      <c r="H31" s="97"/>
      <c r="I31" s="97"/>
      <c r="J31" s="87"/>
      <c r="K31" s="97"/>
      <c r="L31" s="87"/>
      <c r="M31" s="97"/>
      <c r="N31" s="97"/>
      <c r="O31" s="97"/>
      <c r="P31" s="87"/>
      <c r="Q31" s="97"/>
      <c r="R31" s="15"/>
      <c r="T31" s="15"/>
      <c r="U31" s="15"/>
    </row>
    <row r="32" spans="1:26" ht="15" x14ac:dyDescent="0.25">
      <c r="B32" s="103" t="s">
        <v>12</v>
      </c>
      <c r="C32" s="87"/>
      <c r="D32" s="87"/>
      <c r="E32" s="87"/>
      <c r="F32" s="138"/>
      <c r="G32" s="87"/>
      <c r="H32" s="97"/>
      <c r="I32" s="97"/>
      <c r="J32" s="90"/>
      <c r="K32" s="97"/>
      <c r="L32" s="90"/>
      <c r="M32" s="97"/>
      <c r="N32" s="97"/>
      <c r="O32" s="97"/>
      <c r="P32" s="97"/>
      <c r="Q32" s="97"/>
      <c r="R32" s="15"/>
      <c r="S32" s="13"/>
      <c r="T32" s="15"/>
      <c r="U32" s="15"/>
    </row>
    <row r="33" spans="2:25" x14ac:dyDescent="0.2">
      <c r="B33" s="87" t="s">
        <v>19</v>
      </c>
      <c r="C33" s="87"/>
      <c r="D33" s="87"/>
      <c r="E33" s="97">
        <f>F36</f>
        <v>48541.69</v>
      </c>
      <c r="F33" s="134">
        <f>H36</f>
        <v>56556.69</v>
      </c>
      <c r="G33" s="97">
        <f>H36</f>
        <v>56556.69</v>
      </c>
      <c r="H33" s="97">
        <v>53514</v>
      </c>
      <c r="I33" s="97">
        <f>I36-I35</f>
        <v>4650</v>
      </c>
      <c r="J33" s="90"/>
      <c r="K33" s="97">
        <f>L36</f>
        <v>0</v>
      </c>
      <c r="L33" s="90"/>
      <c r="M33" s="97">
        <v>22827.39</v>
      </c>
      <c r="N33" s="97"/>
      <c r="O33" s="97"/>
      <c r="P33" s="97"/>
      <c r="Q33" s="97"/>
      <c r="R33" s="15">
        <v>35136.590000000004</v>
      </c>
      <c r="S33" s="15">
        <f>F35+8015</f>
        <v>0</v>
      </c>
      <c r="T33" s="15"/>
      <c r="U33" s="15"/>
    </row>
    <row r="34" spans="2:25" x14ac:dyDescent="0.2">
      <c r="B34" s="87" t="s">
        <v>28</v>
      </c>
      <c r="C34" s="87"/>
      <c r="D34" s="87"/>
      <c r="E34" s="87"/>
      <c r="F34" s="138"/>
      <c r="G34" s="87"/>
      <c r="H34" s="97">
        <v>0</v>
      </c>
      <c r="I34" s="97">
        <v>0</v>
      </c>
      <c r="J34" s="90"/>
      <c r="K34" s="97">
        <v>5374</v>
      </c>
      <c r="L34" s="90"/>
      <c r="M34" s="97">
        <v>-4486.75</v>
      </c>
      <c r="N34" s="97"/>
      <c r="O34" s="97"/>
      <c r="P34" s="97"/>
      <c r="Q34" s="97"/>
      <c r="R34" s="15"/>
      <c r="T34" s="15"/>
      <c r="U34" s="15"/>
    </row>
    <row r="35" spans="2:25" x14ac:dyDescent="0.2">
      <c r="B35" s="87" t="s">
        <v>13</v>
      </c>
      <c r="C35" s="87"/>
      <c r="D35" s="87"/>
      <c r="E35" s="97">
        <f>E24</f>
        <v>1259</v>
      </c>
      <c r="F35" s="134">
        <f>F24</f>
        <v>-8015</v>
      </c>
      <c r="G35" s="97">
        <f>G24</f>
        <v>-8500</v>
      </c>
      <c r="H35" s="97">
        <f>H24</f>
        <v>3042.6900000000023</v>
      </c>
      <c r="I35" s="97">
        <f>I24</f>
        <v>48864</v>
      </c>
      <c r="J35" s="90"/>
      <c r="K35" s="97">
        <f>K24</f>
        <v>-13691</v>
      </c>
      <c r="L35" s="90"/>
      <c r="M35" s="97"/>
      <c r="N35" s="130"/>
      <c r="O35" s="97"/>
      <c r="P35" s="97"/>
      <c r="Q35" s="97"/>
      <c r="R35" s="15">
        <v>-9593.6699999999983</v>
      </c>
      <c r="T35" s="15"/>
      <c r="U35" s="15"/>
    </row>
    <row r="36" spans="2:25" ht="15.75" x14ac:dyDescent="0.25">
      <c r="B36" s="103" t="s">
        <v>14</v>
      </c>
      <c r="C36" s="87"/>
      <c r="D36" s="87"/>
      <c r="E36" s="131">
        <f>SUM(E33:E35)</f>
        <v>49800.69</v>
      </c>
      <c r="F36" s="147">
        <f>SUM(F33:F35)</f>
        <v>48541.69</v>
      </c>
      <c r="G36" s="131">
        <f>SUM(G33:G35)</f>
        <v>48056.69</v>
      </c>
      <c r="H36" s="131">
        <f>H29</f>
        <v>56556.69</v>
      </c>
      <c r="I36" s="131">
        <f>I29</f>
        <v>53514</v>
      </c>
      <c r="J36" s="131"/>
      <c r="K36" s="131">
        <f>K29</f>
        <v>10024</v>
      </c>
      <c r="L36" s="131"/>
      <c r="M36" s="131">
        <f>M29</f>
        <v>18340.64</v>
      </c>
      <c r="N36" s="131"/>
      <c r="O36" s="131">
        <f>O29</f>
        <v>22827.39</v>
      </c>
      <c r="P36" s="131"/>
      <c r="Q36" s="131">
        <f>Q29</f>
        <v>24699</v>
      </c>
      <c r="R36" s="22">
        <v>25542.920000000006</v>
      </c>
      <c r="T36" s="15"/>
      <c r="U36" s="15"/>
    </row>
    <row r="37" spans="2:25" ht="10.5" customHeight="1" x14ac:dyDescent="0.2">
      <c r="B37" s="4"/>
      <c r="F37" s="15"/>
      <c r="G37" s="15"/>
      <c r="J37" s="15"/>
      <c r="K37" s="15"/>
      <c r="L37" s="15"/>
      <c r="M37" s="15"/>
      <c r="N37" s="15"/>
      <c r="O37" s="15"/>
      <c r="P37" s="15"/>
    </row>
    <row r="38" spans="2:25" ht="6" hidden="1" customHeight="1" x14ac:dyDescent="0.25">
      <c r="B38" s="25"/>
      <c r="F38" s="15"/>
      <c r="G38" s="15"/>
      <c r="H38" s="17"/>
      <c r="J38" s="17"/>
      <c r="K38" s="15"/>
      <c r="L38" s="17"/>
      <c r="M38" s="15"/>
      <c r="N38" s="17"/>
      <c r="O38" s="15"/>
      <c r="P38" s="17"/>
    </row>
    <row r="39" spans="2:25" ht="4.5" hidden="1" customHeight="1" x14ac:dyDescent="0.2">
      <c r="B39" s="5"/>
      <c r="C39" s="5"/>
      <c r="D39" s="5"/>
      <c r="E39" s="5"/>
      <c r="F39" s="21"/>
      <c r="G39" s="21"/>
      <c r="H39" s="21"/>
      <c r="I39" s="5"/>
      <c r="J39" s="21"/>
      <c r="K39" s="21"/>
      <c r="L39" s="21"/>
      <c r="M39" s="21"/>
      <c r="N39" s="21"/>
      <c r="O39" s="21"/>
      <c r="P39" s="21"/>
      <c r="Q39" s="2"/>
    </row>
    <row r="40" spans="2:25" ht="15" x14ac:dyDescent="0.25">
      <c r="F40" s="15"/>
      <c r="G40" s="15"/>
      <c r="J40"/>
      <c r="K40"/>
      <c r="L40"/>
      <c r="M40"/>
      <c r="S40" s="26" t="s">
        <v>62</v>
      </c>
    </row>
    <row r="41" spans="2:25" ht="15.75" x14ac:dyDescent="0.25">
      <c r="B41" s="3"/>
      <c r="C41" s="3"/>
      <c r="D41" s="3"/>
      <c r="E41" s="3"/>
      <c r="F41" s="150" t="s">
        <v>80</v>
      </c>
      <c r="G41" s="150"/>
      <c r="I41" s="3"/>
      <c r="J41" s="3"/>
      <c r="K41" s="3"/>
      <c r="L41"/>
      <c r="M41" s="15"/>
      <c r="N41" s="15"/>
      <c r="O41" s="148" t="s">
        <v>132</v>
      </c>
      <c r="P41" s="148"/>
      <c r="S41" s="26" t="s">
        <v>90</v>
      </c>
      <c r="X41" s="16"/>
    </row>
    <row r="42" spans="2:25" x14ac:dyDescent="0.2">
      <c r="F42" s="4" t="s">
        <v>32</v>
      </c>
      <c r="G42" s="69" t="s">
        <v>33</v>
      </c>
      <c r="J42"/>
      <c r="K42"/>
      <c r="L42"/>
      <c r="M42" s="15"/>
      <c r="N42" s="15"/>
      <c r="O42" s="4" t="s">
        <v>32</v>
      </c>
      <c r="P42" s="69"/>
      <c r="Q42" s="69" t="s">
        <v>33</v>
      </c>
      <c r="R42" s="1"/>
      <c r="S42" s="1"/>
    </row>
    <row r="43" spans="2:25" s="1" customFormat="1" x14ac:dyDescent="0.2">
      <c r="B43" s="3" t="s">
        <v>22</v>
      </c>
      <c r="C43" s="3"/>
      <c r="D43" s="3"/>
      <c r="E43" s="3"/>
      <c r="F43" s="71">
        <f>SUM(F44:F47)</f>
        <v>33500</v>
      </c>
      <c r="G43" s="83">
        <f>SUM(G44:G47)</f>
        <v>33500</v>
      </c>
      <c r="I43" s="3" t="s">
        <v>22</v>
      </c>
      <c r="J43" s="3"/>
      <c r="K43" s="3"/>
      <c r="L43" s="3"/>
      <c r="O43" s="71">
        <f>SUM(O44:O47)</f>
        <v>34500</v>
      </c>
      <c r="P43" s="72"/>
      <c r="Q43" s="72">
        <f>SUM(Q44:Q47)</f>
        <v>34500</v>
      </c>
      <c r="R43"/>
      <c r="S43" s="7">
        <f>SUM(S44:S46)</f>
        <v>32112</v>
      </c>
      <c r="Y43" s="7"/>
    </row>
    <row r="44" spans="2:25" x14ac:dyDescent="0.2">
      <c r="B44" s="4" t="s">
        <v>97</v>
      </c>
      <c r="F44" s="15">
        <v>19000</v>
      </c>
      <c r="G44" s="59">
        <v>19000</v>
      </c>
      <c r="I44" s="4" t="s">
        <v>23</v>
      </c>
      <c r="J44"/>
      <c r="K44"/>
      <c r="L44"/>
      <c r="M44"/>
      <c r="O44" s="15">
        <v>19000</v>
      </c>
      <c r="P44" s="15"/>
      <c r="Q44" s="15">
        <v>19000</v>
      </c>
      <c r="S44" s="15">
        <f>6957+3431+7312+1048</f>
        <v>18748</v>
      </c>
    </row>
    <row r="45" spans="2:25" x14ac:dyDescent="0.2">
      <c r="B45" s="4" t="s">
        <v>98</v>
      </c>
      <c r="F45" s="15">
        <v>11000</v>
      </c>
      <c r="G45" s="59">
        <v>11000</v>
      </c>
      <c r="I45" s="4" t="s">
        <v>29</v>
      </c>
      <c r="J45"/>
      <c r="K45"/>
      <c r="L45"/>
      <c r="M45"/>
      <c r="O45" s="15">
        <v>12000</v>
      </c>
      <c r="P45" s="15"/>
      <c r="Q45" s="15">
        <v>12000</v>
      </c>
      <c r="S45" s="15">
        <f>5327+3329+1461</f>
        <v>10117</v>
      </c>
    </row>
    <row r="46" spans="2:25" x14ac:dyDescent="0.2">
      <c r="B46" s="4" t="s">
        <v>99</v>
      </c>
      <c r="F46" s="15">
        <v>3500</v>
      </c>
      <c r="G46" s="59">
        <v>3500</v>
      </c>
      <c r="I46" s="4" t="s">
        <v>24</v>
      </c>
      <c r="J46"/>
      <c r="K46"/>
      <c r="L46"/>
      <c r="M46"/>
      <c r="O46" s="15">
        <v>3500</v>
      </c>
      <c r="P46" s="15"/>
      <c r="Q46" s="15">
        <v>3500</v>
      </c>
      <c r="S46" s="15">
        <f>2416+831</f>
        <v>3247</v>
      </c>
    </row>
    <row r="47" spans="2:25" x14ac:dyDescent="0.2">
      <c r="B47" s="4"/>
      <c r="F47" s="15"/>
      <c r="G47" s="59"/>
      <c r="I47" s="4"/>
      <c r="J47"/>
      <c r="K47"/>
      <c r="L47"/>
      <c r="M47"/>
      <c r="O47" s="15"/>
      <c r="P47" s="15"/>
      <c r="Q47" s="15"/>
      <c r="S47" s="15"/>
    </row>
    <row r="48" spans="2:25" x14ac:dyDescent="0.2">
      <c r="B48" s="3" t="s">
        <v>21</v>
      </c>
      <c r="C48" s="3"/>
      <c r="D48" s="3"/>
      <c r="E48" s="3"/>
      <c r="F48" s="71">
        <f>SUM(F49:F77)</f>
        <v>79450</v>
      </c>
      <c r="G48" s="84">
        <f>SUM(G49:G77)</f>
        <v>42450</v>
      </c>
      <c r="I48" s="3" t="s">
        <v>21</v>
      </c>
      <c r="J48" s="3"/>
      <c r="K48" s="3"/>
      <c r="L48"/>
      <c r="M48" s="15"/>
      <c r="N48" s="15"/>
      <c r="O48" s="71">
        <f>SUM(O49:O67)</f>
        <v>71530</v>
      </c>
      <c r="P48" s="71"/>
      <c r="Q48" s="71">
        <f>SUM(Q49:Q67)</f>
        <v>37310</v>
      </c>
      <c r="S48" s="7">
        <f>SUM(S49:S67)</f>
        <v>33281</v>
      </c>
      <c r="Y48" s="15"/>
    </row>
    <row r="49" spans="1:24" x14ac:dyDescent="0.2">
      <c r="A49" s="9"/>
      <c r="B49" s="4" t="s">
        <v>100</v>
      </c>
      <c r="F49" s="15">
        <v>20000</v>
      </c>
      <c r="G49" s="59">
        <v>0</v>
      </c>
      <c r="I49" s="4" t="s">
        <v>68</v>
      </c>
      <c r="J49"/>
      <c r="K49"/>
      <c r="L49"/>
      <c r="M49" s="15"/>
      <c r="N49" s="15"/>
      <c r="O49" s="15">
        <v>9000</v>
      </c>
      <c r="P49" s="15"/>
      <c r="Q49" s="15">
        <v>0</v>
      </c>
      <c r="R49" s="9"/>
      <c r="S49" s="15"/>
      <c r="X49" s="9"/>
    </row>
    <row r="50" spans="1:24" s="9" customFormat="1" x14ac:dyDescent="0.2">
      <c r="B50" s="4" t="s">
        <v>126</v>
      </c>
      <c r="C50"/>
      <c r="D50"/>
      <c r="E50"/>
      <c r="F50" s="15">
        <v>15000</v>
      </c>
      <c r="G50" s="59">
        <v>0</v>
      </c>
      <c r="I50" s="4" t="s">
        <v>66</v>
      </c>
      <c r="J50"/>
      <c r="K50"/>
      <c r="L50"/>
      <c r="M50" s="37"/>
      <c r="N50" s="15"/>
      <c r="O50" s="16">
        <v>10000</v>
      </c>
      <c r="P50" s="16"/>
      <c r="Q50" s="16">
        <v>0</v>
      </c>
      <c r="S50" s="15">
        <v>1350</v>
      </c>
    </row>
    <row r="51" spans="1:24" s="9" customFormat="1" x14ac:dyDescent="0.2">
      <c r="B51" s="4" t="s">
        <v>101</v>
      </c>
      <c r="C51"/>
      <c r="D51"/>
      <c r="E51"/>
      <c r="F51" s="15">
        <v>6000</v>
      </c>
      <c r="G51" s="59">
        <v>6000</v>
      </c>
      <c r="I51" s="4" t="s">
        <v>67</v>
      </c>
      <c r="J51"/>
      <c r="K51"/>
      <c r="L51"/>
      <c r="M51" s="37"/>
      <c r="N51" s="15"/>
      <c r="O51" s="77">
        <v>5000</v>
      </c>
      <c r="P51" s="77"/>
      <c r="Q51" s="77">
        <v>0</v>
      </c>
      <c r="S51" s="15"/>
    </row>
    <row r="52" spans="1:24" s="9" customFormat="1" x14ac:dyDescent="0.2">
      <c r="B52" s="4" t="s">
        <v>128</v>
      </c>
      <c r="C52"/>
      <c r="D52"/>
      <c r="E52"/>
      <c r="F52" s="15">
        <v>7000</v>
      </c>
      <c r="G52" s="59">
        <v>7000</v>
      </c>
      <c r="I52" s="9" t="s">
        <v>56</v>
      </c>
      <c r="O52" s="15">
        <f>1500*1.24*2</f>
        <v>3720</v>
      </c>
      <c r="P52" s="15"/>
      <c r="Q52" s="15">
        <v>0</v>
      </c>
      <c r="S52" s="15"/>
    </row>
    <row r="53" spans="1:24" s="9" customFormat="1" x14ac:dyDescent="0.2">
      <c r="B53" s="4" t="s">
        <v>102</v>
      </c>
      <c r="C53" s="4"/>
      <c r="D53" s="4"/>
      <c r="E53" s="63"/>
      <c r="F53" s="15">
        <v>4950</v>
      </c>
      <c r="G53" s="59">
        <f>450*11</f>
        <v>4950</v>
      </c>
      <c r="I53" s="63" t="s">
        <v>55</v>
      </c>
      <c r="J53" s="63"/>
      <c r="K53" s="63"/>
      <c r="L53" s="63"/>
      <c r="M53" s="73"/>
      <c r="N53" s="73"/>
      <c r="O53" s="59">
        <v>4500</v>
      </c>
      <c r="P53" s="59"/>
      <c r="Q53" s="59">
        <v>0</v>
      </c>
      <c r="S53" s="15">
        <v>0</v>
      </c>
    </row>
    <row r="54" spans="1:24" s="9" customFormat="1" x14ac:dyDescent="0.2">
      <c r="B54" s="4" t="s">
        <v>103</v>
      </c>
      <c r="C54" s="4"/>
      <c r="D54" s="4"/>
      <c r="E54"/>
      <c r="F54" s="15">
        <v>4400</v>
      </c>
      <c r="G54" s="59">
        <f>400*11</f>
        <v>4400</v>
      </c>
      <c r="I54" s="30" t="s">
        <v>82</v>
      </c>
      <c r="O54" s="15">
        <v>360</v>
      </c>
      <c r="P54" s="15"/>
      <c r="Q54" s="15">
        <v>360</v>
      </c>
      <c r="S54" s="15">
        <v>750</v>
      </c>
    </row>
    <row r="55" spans="1:24" s="9" customFormat="1" x14ac:dyDescent="0.2">
      <c r="B55" s="30" t="s">
        <v>104</v>
      </c>
      <c r="C55" s="4"/>
      <c r="D55" s="4"/>
      <c r="E55"/>
      <c r="F55" s="15">
        <v>4000</v>
      </c>
      <c r="G55" s="59">
        <v>4000</v>
      </c>
      <c r="I55" s="4" t="s">
        <v>60</v>
      </c>
      <c r="J55"/>
      <c r="K55"/>
      <c r="L55"/>
      <c r="M55" s="15"/>
      <c r="O55" s="15">
        <v>200</v>
      </c>
      <c r="P55" s="15"/>
      <c r="Q55" s="15">
        <v>200</v>
      </c>
      <c r="S55" s="15">
        <v>400</v>
      </c>
    </row>
    <row r="56" spans="1:24" s="9" customFormat="1" x14ac:dyDescent="0.2">
      <c r="B56" s="4" t="s">
        <v>105</v>
      </c>
      <c r="C56" s="4"/>
      <c r="D56" s="4"/>
      <c r="E56"/>
      <c r="F56" s="15">
        <v>3500</v>
      </c>
      <c r="G56" s="59">
        <v>3500</v>
      </c>
      <c r="I56" s="4" t="s">
        <v>69</v>
      </c>
      <c r="J56"/>
      <c r="K56"/>
      <c r="L56"/>
      <c r="M56" s="37"/>
      <c r="N56" s="15"/>
      <c r="O56" s="15">
        <f>5*450+800+2800</f>
        <v>5850</v>
      </c>
      <c r="P56" s="15"/>
      <c r="Q56" s="15">
        <f>5*450+800+2800</f>
        <v>5850</v>
      </c>
      <c r="S56" s="15">
        <v>500</v>
      </c>
    </row>
    <row r="57" spans="1:24" s="9" customFormat="1" x14ac:dyDescent="0.2">
      <c r="B57" s="30" t="s">
        <v>106</v>
      </c>
      <c r="C57" s="30"/>
      <c r="D57" s="30"/>
      <c r="F57" s="15">
        <v>2000</v>
      </c>
      <c r="G57" s="59">
        <v>0</v>
      </c>
      <c r="I57" s="30" t="s">
        <v>77</v>
      </c>
      <c r="J57" s="31"/>
      <c r="K57" s="31"/>
      <c r="L57" s="31"/>
      <c r="M57" s="38"/>
      <c r="N57" s="31"/>
      <c r="O57" s="77">
        <v>2000</v>
      </c>
      <c r="P57" s="77"/>
      <c r="Q57" s="77">
        <v>0</v>
      </c>
      <c r="S57" s="15">
        <v>0</v>
      </c>
    </row>
    <row r="58" spans="1:24" s="9" customFormat="1" x14ac:dyDescent="0.2">
      <c r="B58" s="4" t="s">
        <v>107</v>
      </c>
      <c r="C58" s="4"/>
      <c r="D58" s="4"/>
      <c r="E58" s="63"/>
      <c r="F58" s="15">
        <v>1500</v>
      </c>
      <c r="G58" s="59">
        <v>1500</v>
      </c>
      <c r="I58" s="4" t="s">
        <v>78</v>
      </c>
      <c r="J58"/>
      <c r="K58"/>
      <c r="L58"/>
      <c r="M58" s="38"/>
      <c r="N58" s="15"/>
      <c r="O58" s="77">
        <v>2500</v>
      </c>
      <c r="P58" s="77"/>
      <c r="Q58" s="77">
        <v>2500</v>
      </c>
      <c r="S58" s="15">
        <v>3650</v>
      </c>
    </row>
    <row r="59" spans="1:24" s="9" customFormat="1" x14ac:dyDescent="0.2">
      <c r="B59" s="4" t="s">
        <v>108</v>
      </c>
      <c r="C59" s="4"/>
      <c r="D59" s="4"/>
      <c r="E59"/>
      <c r="F59" s="15">
        <v>1500</v>
      </c>
      <c r="G59" s="59">
        <v>1500</v>
      </c>
      <c r="I59" s="4" t="s">
        <v>53</v>
      </c>
      <c r="J59"/>
      <c r="K59"/>
      <c r="L59"/>
      <c r="M59" s="37"/>
      <c r="N59" s="15"/>
      <c r="O59" s="15">
        <v>2000</v>
      </c>
      <c r="P59" s="15"/>
      <c r="Q59" s="15">
        <v>2000</v>
      </c>
      <c r="S59" s="15">
        <v>0</v>
      </c>
    </row>
    <row r="60" spans="1:24" s="9" customFormat="1" x14ac:dyDescent="0.2">
      <c r="B60" s="4" t="s">
        <v>109</v>
      </c>
      <c r="C60" s="4"/>
      <c r="D60" s="4"/>
      <c r="E60"/>
      <c r="F60" s="15">
        <v>1500</v>
      </c>
      <c r="G60" s="59">
        <v>1500</v>
      </c>
      <c r="I60" s="30" t="s">
        <v>75</v>
      </c>
      <c r="N60" s="15"/>
      <c r="O60" s="15">
        <f>3*450*5</f>
        <v>6750</v>
      </c>
      <c r="P60" s="15"/>
      <c r="Q60" s="15">
        <f>3*450*5</f>
        <v>6750</v>
      </c>
      <c r="S60" s="15">
        <v>6000</v>
      </c>
    </row>
    <row r="61" spans="1:24" s="9" customFormat="1" x14ac:dyDescent="0.2">
      <c r="B61" s="30" t="s">
        <v>110</v>
      </c>
      <c r="C61" s="30"/>
      <c r="D61" s="30"/>
      <c r="F61" s="15">
        <v>1200</v>
      </c>
      <c r="G61" s="59">
        <v>1200</v>
      </c>
      <c r="I61" s="63" t="s">
        <v>57</v>
      </c>
      <c r="J61" s="63"/>
      <c r="K61" s="63"/>
      <c r="L61" s="63"/>
      <c r="M61" s="74"/>
      <c r="N61" s="59"/>
      <c r="O61" s="59">
        <v>11000</v>
      </c>
      <c r="P61" s="59"/>
      <c r="Q61" s="59">
        <v>11000</v>
      </c>
      <c r="S61" s="15">
        <v>11500</v>
      </c>
    </row>
    <row r="62" spans="1:24" s="9" customFormat="1" x14ac:dyDescent="0.2">
      <c r="B62" s="4" t="s">
        <v>111</v>
      </c>
      <c r="C62" s="4"/>
      <c r="D62" s="4"/>
      <c r="E62"/>
      <c r="F62" s="15">
        <v>1200</v>
      </c>
      <c r="G62" s="59">
        <v>1200</v>
      </c>
      <c r="I62" s="4" t="s">
        <v>65</v>
      </c>
      <c r="J62"/>
      <c r="K62"/>
      <c r="L62"/>
      <c r="M62" s="37"/>
      <c r="N62" s="15"/>
      <c r="O62" s="15">
        <v>400</v>
      </c>
      <c r="P62" s="15"/>
      <c r="Q62" s="15">
        <v>400</v>
      </c>
      <c r="S62" s="15">
        <v>0</v>
      </c>
    </row>
    <row r="63" spans="1:24" s="9" customFormat="1" x14ac:dyDescent="0.2">
      <c r="B63" s="4" t="s">
        <v>112</v>
      </c>
      <c r="C63" s="4"/>
      <c r="D63" s="4"/>
      <c r="E63"/>
      <c r="F63" s="15">
        <v>1000</v>
      </c>
      <c r="G63" s="59">
        <v>1000</v>
      </c>
      <c r="I63" s="4" t="s">
        <v>58</v>
      </c>
      <c r="J63"/>
      <c r="K63"/>
      <c r="L63"/>
      <c r="M63" s="15"/>
      <c r="O63" s="15">
        <v>0</v>
      </c>
      <c r="P63" s="15"/>
      <c r="Q63" s="15">
        <v>0</v>
      </c>
      <c r="S63" s="15">
        <v>0</v>
      </c>
    </row>
    <row r="64" spans="1:24" s="9" customFormat="1" x14ac:dyDescent="0.2">
      <c r="B64" s="4" t="s">
        <v>113</v>
      </c>
      <c r="C64" s="4"/>
      <c r="D64" s="4"/>
      <c r="E64"/>
      <c r="F64" s="15">
        <v>1000</v>
      </c>
      <c r="G64" s="59">
        <v>1000</v>
      </c>
      <c r="I64" s="30" t="s">
        <v>81</v>
      </c>
      <c r="M64" s="37"/>
      <c r="N64" s="15"/>
      <c r="O64" s="15">
        <v>350</v>
      </c>
      <c r="P64" s="15"/>
      <c r="Q64" s="15">
        <v>350</v>
      </c>
      <c r="S64" s="15">
        <f>1161+70</f>
        <v>1231</v>
      </c>
    </row>
    <row r="65" spans="2:26" s="9" customFormat="1" x14ac:dyDescent="0.2">
      <c r="B65" s="4" t="s">
        <v>114</v>
      </c>
      <c r="C65" s="4"/>
      <c r="D65" s="4"/>
      <c r="E65"/>
      <c r="F65" s="15">
        <v>1000</v>
      </c>
      <c r="G65" s="59">
        <v>1000</v>
      </c>
      <c r="I65" s="4" t="s">
        <v>63</v>
      </c>
      <c r="J65"/>
      <c r="K65"/>
      <c r="L65"/>
      <c r="M65" s="15"/>
      <c r="N65" s="15"/>
      <c r="O65" s="15">
        <f>12*450+500</f>
        <v>5900</v>
      </c>
      <c r="P65" s="15"/>
      <c r="Q65" s="15">
        <v>5900</v>
      </c>
      <c r="S65" s="15">
        <v>5900</v>
      </c>
    </row>
    <row r="66" spans="2:26" s="9" customFormat="1" x14ac:dyDescent="0.2">
      <c r="B66" s="4" t="s">
        <v>115</v>
      </c>
      <c r="C66" s="4"/>
      <c r="D66" s="4"/>
      <c r="E66"/>
      <c r="F66" s="15">
        <v>500</v>
      </c>
      <c r="G66" s="59">
        <v>500</v>
      </c>
      <c r="I66" s="63" t="s">
        <v>72</v>
      </c>
      <c r="J66" s="63"/>
      <c r="K66" s="63"/>
      <c r="L66" s="63"/>
      <c r="M66" s="59"/>
      <c r="N66" s="59"/>
      <c r="O66" s="59">
        <v>2000</v>
      </c>
      <c r="P66" s="59"/>
      <c r="Q66" s="59">
        <v>2000</v>
      </c>
      <c r="S66" s="18">
        <v>2000</v>
      </c>
    </row>
    <row r="67" spans="2:26" s="9" customFormat="1" x14ac:dyDescent="0.2">
      <c r="B67" s="4" t="s">
        <v>127</v>
      </c>
      <c r="C67" s="4"/>
      <c r="D67" s="4"/>
      <c r="E67"/>
      <c r="F67" s="15">
        <v>500</v>
      </c>
      <c r="G67" s="59">
        <v>500</v>
      </c>
      <c r="I67" s="30" t="s">
        <v>20</v>
      </c>
      <c r="O67" s="15"/>
      <c r="P67" s="15"/>
      <c r="Q67" s="15"/>
      <c r="S67" s="78" t="s">
        <v>20</v>
      </c>
    </row>
    <row r="68" spans="2:26" s="9" customFormat="1" x14ac:dyDescent="0.2">
      <c r="B68" s="4" t="s">
        <v>116</v>
      </c>
      <c r="C68" s="4"/>
      <c r="D68" s="4"/>
      <c r="E68"/>
      <c r="F68" s="15">
        <v>400</v>
      </c>
      <c r="G68" s="59">
        <v>400</v>
      </c>
      <c r="I68" s="3" t="s">
        <v>25</v>
      </c>
      <c r="O68" s="71">
        <f>SUM(O69:O75)</f>
        <v>18600</v>
      </c>
      <c r="P68" s="80"/>
      <c r="Q68" s="80">
        <f>SUM(Q69:Q79)</f>
        <v>18600</v>
      </c>
      <c r="S68" s="80">
        <f>SUM(S69:S79)</f>
        <v>22275</v>
      </c>
      <c r="Y68" s="7"/>
    </row>
    <row r="69" spans="2:26" s="9" customFormat="1" x14ac:dyDescent="0.2">
      <c r="B69" s="4" t="s">
        <v>117</v>
      </c>
      <c r="C69" s="4"/>
      <c r="D69" s="4"/>
      <c r="E69" s="63"/>
      <c r="F69" s="15">
        <v>400</v>
      </c>
      <c r="G69" s="59">
        <v>400</v>
      </c>
      <c r="I69" t="s">
        <v>4</v>
      </c>
      <c r="O69" s="15">
        <v>10000</v>
      </c>
      <c r="P69" s="15"/>
      <c r="Q69" s="15">
        <v>10000</v>
      </c>
      <c r="S69" s="15">
        <v>0</v>
      </c>
    </row>
    <row r="70" spans="2:26" s="9" customFormat="1" x14ac:dyDescent="0.2">
      <c r="B70" s="30" t="s">
        <v>118</v>
      </c>
      <c r="C70" s="30"/>
      <c r="D70" s="30"/>
      <c r="F70" s="15">
        <v>250</v>
      </c>
      <c r="G70" s="59">
        <v>250</v>
      </c>
      <c r="I70" s="4" t="s">
        <v>83</v>
      </c>
      <c r="O70" s="15"/>
      <c r="P70" s="15"/>
      <c r="Q70" s="15"/>
      <c r="S70" s="15">
        <v>13375</v>
      </c>
    </row>
    <row r="71" spans="2:26" s="9" customFormat="1" x14ac:dyDescent="0.2">
      <c r="B71" s="9" t="s">
        <v>119</v>
      </c>
      <c r="F71" s="15">
        <v>200</v>
      </c>
      <c r="G71" s="59">
        <v>200</v>
      </c>
      <c r="I71" s="4" t="s">
        <v>84</v>
      </c>
      <c r="O71" s="15"/>
      <c r="P71" s="15"/>
      <c r="Q71" s="15"/>
      <c r="S71" s="15">
        <v>1000</v>
      </c>
    </row>
    <row r="72" spans="2:26" s="9" customFormat="1" x14ac:dyDescent="0.2">
      <c r="B72" s="82" t="s">
        <v>120</v>
      </c>
      <c r="F72" s="15">
        <v>100</v>
      </c>
      <c r="G72" s="59">
        <v>100</v>
      </c>
      <c r="I72" s="4" t="s">
        <v>86</v>
      </c>
      <c r="O72" s="15"/>
      <c r="P72" s="15"/>
      <c r="Q72" s="15"/>
      <c r="S72" s="15">
        <v>1400</v>
      </c>
      <c r="Z72" s="30"/>
    </row>
    <row r="73" spans="2:26" s="9" customFormat="1" x14ac:dyDescent="0.2">
      <c r="B73" s="82" t="s">
        <v>121</v>
      </c>
      <c r="F73" s="15">
        <v>100</v>
      </c>
      <c r="G73" s="59">
        <v>100</v>
      </c>
      <c r="I73" s="75" t="s">
        <v>73</v>
      </c>
      <c r="J73" s="76"/>
      <c r="K73" s="76"/>
      <c r="L73" s="76"/>
      <c r="M73" s="77"/>
      <c r="N73" s="77"/>
      <c r="O73" s="77">
        <v>1600</v>
      </c>
      <c r="P73" s="77"/>
      <c r="Q73" s="77">
        <v>1600</v>
      </c>
      <c r="S73" s="15">
        <v>0</v>
      </c>
    </row>
    <row r="74" spans="2:26" s="9" customFormat="1" x14ac:dyDescent="0.2">
      <c r="B74" s="82" t="s">
        <v>122</v>
      </c>
      <c r="F74" s="15">
        <v>100</v>
      </c>
      <c r="G74" s="59">
        <v>100</v>
      </c>
      <c r="I74" s="30" t="s">
        <v>76</v>
      </c>
      <c r="J74"/>
      <c r="K74"/>
      <c r="L74"/>
      <c r="O74" s="15"/>
      <c r="P74" s="15"/>
      <c r="Q74" s="15"/>
      <c r="S74" s="15"/>
    </row>
    <row r="75" spans="2:26" s="9" customFormat="1" x14ac:dyDescent="0.2">
      <c r="B75" s="30" t="s">
        <v>123</v>
      </c>
      <c r="F75" s="15">
        <v>100</v>
      </c>
      <c r="G75" s="59">
        <v>100</v>
      </c>
      <c r="I75" s="9" t="s">
        <v>74</v>
      </c>
      <c r="O75" s="77">
        <v>7000</v>
      </c>
      <c r="P75" s="77"/>
      <c r="Q75" s="77">
        <v>7000</v>
      </c>
      <c r="S75" s="15">
        <v>4500</v>
      </c>
    </row>
    <row r="76" spans="2:26" s="9" customFormat="1" x14ac:dyDescent="0.2">
      <c r="B76" s="30" t="s">
        <v>124</v>
      </c>
      <c r="F76" s="15">
        <v>50</v>
      </c>
      <c r="G76" s="59">
        <v>50</v>
      </c>
      <c r="I76" s="30" t="s">
        <v>85</v>
      </c>
      <c r="S76" s="15">
        <v>2000</v>
      </c>
    </row>
    <row r="77" spans="2:26" s="9" customFormat="1" x14ac:dyDescent="0.2">
      <c r="B77" s="30" t="s">
        <v>125</v>
      </c>
      <c r="F77" s="15">
        <v>0</v>
      </c>
      <c r="G77" s="59">
        <v>0</v>
      </c>
      <c r="I77" s="30"/>
      <c r="S77" s="15"/>
    </row>
    <row r="78" spans="2:26" s="9" customFormat="1" x14ac:dyDescent="0.2">
      <c r="B78" s="3" t="s">
        <v>25</v>
      </c>
      <c r="F78" s="71">
        <f>SUM(F79:F79)</f>
        <v>10000</v>
      </c>
      <c r="G78" s="85">
        <f>SUM(G79:G79)</f>
        <v>9999</v>
      </c>
      <c r="I78" s="30"/>
      <c r="S78" s="15"/>
    </row>
    <row r="79" spans="2:26" s="9" customFormat="1" x14ac:dyDescent="0.2">
      <c r="B79" t="s">
        <v>4</v>
      </c>
      <c r="F79" s="15">
        <v>10000</v>
      </c>
      <c r="G79" s="59">
        <v>9999</v>
      </c>
      <c r="I79" s="4"/>
      <c r="J79"/>
      <c r="O79" s="15"/>
      <c r="P79" s="15"/>
      <c r="Q79" s="15"/>
      <c r="S79" s="15"/>
      <c r="Y79" s="7"/>
    </row>
    <row r="80" spans="2:26" s="9" customFormat="1" x14ac:dyDescent="0.2">
      <c r="B80" s="3" t="s">
        <v>26</v>
      </c>
      <c r="C80" s="3"/>
      <c r="D80" s="3"/>
      <c r="E80" s="3"/>
      <c r="F80" s="71">
        <f>SUM(F81:F85)</f>
        <v>24534.400000000001</v>
      </c>
      <c r="G80" s="85">
        <f>SUM(G81:G85)</f>
        <v>5534</v>
      </c>
      <c r="I80" s="3" t="s">
        <v>26</v>
      </c>
      <c r="J80" s="3"/>
      <c r="K80" s="3"/>
      <c r="L80"/>
      <c r="M80" s="15"/>
      <c r="N80" s="15"/>
      <c r="O80" s="71">
        <f>SUM(O81:O85)</f>
        <v>26500</v>
      </c>
      <c r="P80" s="80"/>
      <c r="Q80" s="80">
        <f>SUM(Q81:Q85)</f>
        <v>8500</v>
      </c>
      <c r="S80" s="71">
        <f>SUM(S81:S85)</f>
        <v>9200</v>
      </c>
      <c r="Y80" s="7"/>
    </row>
    <row r="81" spans="1:25" s="9" customFormat="1" x14ac:dyDescent="0.2">
      <c r="A81" s="32"/>
      <c r="B81" s="4" t="s">
        <v>71</v>
      </c>
      <c r="C81" s="4"/>
      <c r="D81" s="4"/>
      <c r="E81" s="57"/>
      <c r="F81" s="16">
        <v>500</v>
      </c>
      <c r="G81" s="59">
        <v>500</v>
      </c>
      <c r="I81" s="57" t="s">
        <v>71</v>
      </c>
      <c r="J81" s="57"/>
      <c r="K81" s="57"/>
      <c r="L81" s="4"/>
      <c r="M81" s="16"/>
      <c r="N81" s="16"/>
      <c r="O81" s="16">
        <v>1000</v>
      </c>
      <c r="P81" s="78"/>
      <c r="Q81" s="78">
        <v>1000</v>
      </c>
      <c r="S81" s="79">
        <v>1200</v>
      </c>
    </row>
    <row r="82" spans="1:25" s="9" customFormat="1" x14ac:dyDescent="0.2">
      <c r="A82" s="32"/>
      <c r="B82" s="4" t="s">
        <v>129</v>
      </c>
      <c r="C82"/>
      <c r="D82"/>
      <c r="E82"/>
      <c r="F82" s="15"/>
      <c r="G82" s="59"/>
      <c r="I82" s="4" t="s">
        <v>70</v>
      </c>
      <c r="J82"/>
      <c r="K82"/>
      <c r="L82"/>
      <c r="M82" s="15"/>
      <c r="N82" s="15"/>
      <c r="O82" s="15">
        <v>3000</v>
      </c>
      <c r="P82" s="15"/>
      <c r="Q82" s="15">
        <v>3000</v>
      </c>
      <c r="S82" s="15">
        <v>3000</v>
      </c>
    </row>
    <row r="83" spans="1:25" s="9" customFormat="1" x14ac:dyDescent="0.2">
      <c r="A83" s="32"/>
      <c r="B83" t="s">
        <v>130</v>
      </c>
      <c r="C83"/>
      <c r="D83"/>
      <c r="E83"/>
      <c r="F83" s="15">
        <f>464*10.85</f>
        <v>5034.3999999999996</v>
      </c>
      <c r="G83" s="59">
        <v>5034</v>
      </c>
      <c r="I83" s="63" t="s">
        <v>59</v>
      </c>
      <c r="J83" s="73"/>
      <c r="K83" s="73"/>
      <c r="L83" s="73"/>
      <c r="M83" s="59"/>
      <c r="N83" s="59"/>
      <c r="O83" s="59">
        <v>18000</v>
      </c>
      <c r="P83" s="59"/>
      <c r="Q83" s="59">
        <v>0</v>
      </c>
      <c r="S83" s="15"/>
    </row>
    <row r="84" spans="1:25" s="9" customFormat="1" x14ac:dyDescent="0.2">
      <c r="A84" s="32"/>
      <c r="B84" s="4" t="s">
        <v>59</v>
      </c>
      <c r="C84" s="30"/>
      <c r="D84" s="30"/>
      <c r="E84" s="30"/>
      <c r="F84" s="16">
        <v>19000</v>
      </c>
      <c r="G84" s="59">
        <v>0</v>
      </c>
      <c r="I84" s="73" t="s">
        <v>64</v>
      </c>
      <c r="J84" s="73"/>
      <c r="K84" s="73"/>
      <c r="L84" s="73"/>
      <c r="M84" s="73"/>
      <c r="N84" s="63"/>
      <c r="O84" s="59">
        <v>4500</v>
      </c>
      <c r="P84" s="59"/>
      <c r="Q84" s="59">
        <v>4500</v>
      </c>
      <c r="S84" s="15">
        <v>5000</v>
      </c>
    </row>
    <row r="85" spans="1:25" s="9" customFormat="1" x14ac:dyDescent="0.2">
      <c r="A85" s="32"/>
      <c r="B85" s="30" t="s">
        <v>89</v>
      </c>
      <c r="C85" s="30"/>
      <c r="D85" s="30"/>
      <c r="E85" s="30"/>
      <c r="F85" s="16">
        <v>0</v>
      </c>
      <c r="G85" s="59">
        <v>0</v>
      </c>
      <c r="O85" s="15"/>
      <c r="P85" s="15"/>
      <c r="Q85" s="15"/>
      <c r="R85"/>
      <c r="S85" s="15"/>
      <c r="X85"/>
    </row>
    <row r="86" spans="1:25" x14ac:dyDescent="0.2">
      <c r="B86" s="1" t="s">
        <v>91</v>
      </c>
      <c r="C86" s="1"/>
      <c r="D86" s="1"/>
      <c r="E86" s="31"/>
      <c r="F86" s="7">
        <v>7000</v>
      </c>
      <c r="G86" s="86">
        <v>10000</v>
      </c>
      <c r="I86" s="4"/>
      <c r="J86"/>
      <c r="K86"/>
      <c r="L86"/>
      <c r="M86"/>
      <c r="O86" s="15"/>
      <c r="P86" s="15"/>
      <c r="Q86" s="15"/>
      <c r="S86" s="15"/>
    </row>
    <row r="87" spans="1:25" ht="15.75" x14ac:dyDescent="0.25">
      <c r="A87" s="4"/>
      <c r="B87" s="1" t="s">
        <v>61</v>
      </c>
      <c r="C87" s="10"/>
      <c r="D87" s="10"/>
      <c r="E87" s="31"/>
      <c r="F87" s="7">
        <v>2600</v>
      </c>
      <c r="G87" s="86">
        <v>2600</v>
      </c>
      <c r="I87" s="3" t="s">
        <v>30</v>
      </c>
      <c r="J87"/>
      <c r="K87"/>
      <c r="L87"/>
      <c r="M87"/>
      <c r="O87" s="7">
        <v>3350</v>
      </c>
      <c r="P87" s="81"/>
      <c r="Q87" s="81">
        <v>3350</v>
      </c>
      <c r="R87" s="81">
        <v>3350</v>
      </c>
      <c r="S87" s="81">
        <f>SUM(S88:S90)</f>
        <v>2801</v>
      </c>
    </row>
    <row r="88" spans="1:25" x14ac:dyDescent="0.2">
      <c r="A88" s="9"/>
      <c r="B88" s="1" t="s">
        <v>95</v>
      </c>
      <c r="C88" s="1"/>
      <c r="D88" s="1"/>
      <c r="E88" s="31"/>
      <c r="F88" s="7">
        <v>6958</v>
      </c>
      <c r="G88" s="86">
        <v>6958</v>
      </c>
      <c r="I88" t="s">
        <v>52</v>
      </c>
      <c r="N88" s="9"/>
      <c r="O88" s="16">
        <v>1000</v>
      </c>
      <c r="P88" s="16"/>
      <c r="Q88" s="16">
        <v>1000</v>
      </c>
      <c r="S88" s="15">
        <v>1219</v>
      </c>
    </row>
    <row r="89" spans="1:25" x14ac:dyDescent="0.2">
      <c r="A89" s="9"/>
      <c r="B89" s="4" t="s">
        <v>27</v>
      </c>
      <c r="F89" s="16">
        <v>0</v>
      </c>
      <c r="G89" s="59">
        <v>0</v>
      </c>
      <c r="I89" t="s">
        <v>3</v>
      </c>
      <c r="J89"/>
      <c r="K89"/>
      <c r="L89"/>
      <c r="M89" s="15"/>
      <c r="N89" s="15"/>
      <c r="O89" s="16">
        <v>350</v>
      </c>
      <c r="P89" s="16"/>
      <c r="Q89" s="16">
        <v>350</v>
      </c>
      <c r="S89" s="15">
        <v>0</v>
      </c>
    </row>
    <row r="90" spans="1:25" x14ac:dyDescent="0.2">
      <c r="A90" s="9"/>
      <c r="B90" s="1" t="s">
        <v>131</v>
      </c>
      <c r="C90" s="1"/>
      <c r="D90" s="1"/>
      <c r="E90" s="1"/>
      <c r="F90" s="7">
        <v>1300</v>
      </c>
      <c r="G90" s="86">
        <v>1300</v>
      </c>
      <c r="I90" s="4" t="s">
        <v>87</v>
      </c>
      <c r="J90"/>
      <c r="K90"/>
      <c r="L90"/>
      <c r="M90" s="15"/>
      <c r="N90" s="15"/>
      <c r="O90" s="15">
        <v>2000</v>
      </c>
      <c r="P90" s="15"/>
      <c r="Q90" s="15">
        <v>2000</v>
      </c>
      <c r="S90" s="15">
        <v>1582</v>
      </c>
    </row>
    <row r="91" spans="1:25" x14ac:dyDescent="0.2">
      <c r="A91" s="9"/>
      <c r="B91" s="1" t="s">
        <v>48</v>
      </c>
      <c r="C91" s="1"/>
      <c r="D91" s="1"/>
      <c r="E91" s="1"/>
      <c r="F91" s="7">
        <v>1600</v>
      </c>
      <c r="G91" s="86">
        <v>1600</v>
      </c>
      <c r="J91"/>
      <c r="K91"/>
      <c r="L91"/>
      <c r="M91"/>
      <c r="Q91" s="15"/>
      <c r="S91" s="7"/>
      <c r="X91" s="9"/>
    </row>
    <row r="92" spans="1:25" x14ac:dyDescent="0.2">
      <c r="A92" s="9"/>
      <c r="I92" s="4" t="s">
        <v>96</v>
      </c>
      <c r="J92"/>
      <c r="K92"/>
      <c r="L92"/>
      <c r="M92"/>
      <c r="Q92" s="15"/>
      <c r="S92" s="15"/>
      <c r="X92" s="9"/>
      <c r="Y92" s="9"/>
    </row>
    <row r="93" spans="1:25" x14ac:dyDescent="0.2">
      <c r="A93" s="9"/>
      <c r="J93"/>
      <c r="K93"/>
      <c r="L93"/>
      <c r="M93"/>
      <c r="X93" s="9"/>
      <c r="Y93" s="9"/>
    </row>
    <row r="94" spans="1:25" x14ac:dyDescent="0.2">
      <c r="A94" s="9"/>
      <c r="J94" s="15"/>
      <c r="K94"/>
      <c r="L94"/>
      <c r="M94"/>
      <c r="W94" s="15"/>
      <c r="Y94" s="9"/>
    </row>
    <row r="95" spans="1:25" x14ac:dyDescent="0.2">
      <c r="A95" s="9"/>
      <c r="K95"/>
      <c r="L95"/>
      <c r="M95"/>
      <c r="Q95" s="9"/>
    </row>
    <row r="96" spans="1:25" x14ac:dyDescent="0.2">
      <c r="A96" s="9"/>
      <c r="L96"/>
      <c r="M96"/>
      <c r="O96" s="9"/>
      <c r="P96" s="9"/>
      <c r="Q96" s="9"/>
      <c r="R96" s="9"/>
      <c r="S96" s="9"/>
    </row>
    <row r="97" spans="1:25" x14ac:dyDescent="0.2">
      <c r="A97" s="35"/>
      <c r="I97" s="63"/>
      <c r="N97" s="9"/>
      <c r="O97" s="9"/>
      <c r="P97" s="9"/>
      <c r="Q97" s="9"/>
      <c r="R97" s="9"/>
      <c r="S97" s="9"/>
      <c r="T97" s="9"/>
      <c r="U97" s="9"/>
      <c r="V97" s="9"/>
    </row>
    <row r="98" spans="1:25" s="9" customFormat="1" x14ac:dyDescent="0.2">
      <c r="A98" s="35"/>
      <c r="B98" s="30"/>
      <c r="D98"/>
      <c r="E98"/>
      <c r="F98"/>
      <c r="G98"/>
      <c r="H98"/>
      <c r="I98" s="63"/>
      <c r="J98" s="15"/>
      <c r="Q98"/>
      <c r="W98"/>
      <c r="X98"/>
      <c r="Y98"/>
    </row>
    <row r="99" spans="1:25" s="9" customFormat="1" x14ac:dyDescent="0.2">
      <c r="A99" s="35"/>
      <c r="B99"/>
      <c r="F99"/>
      <c r="G99"/>
      <c r="H99" s="15"/>
      <c r="I99" s="63"/>
      <c r="J99" s="15"/>
      <c r="K99"/>
      <c r="P99"/>
      <c r="Q99"/>
      <c r="R99"/>
      <c r="S99"/>
      <c r="W99"/>
      <c r="X99"/>
      <c r="Y99"/>
    </row>
    <row r="100" spans="1:25" s="9" customFormat="1" x14ac:dyDescent="0.2">
      <c r="A100" s="32"/>
      <c r="B100" s="4" t="s">
        <v>20</v>
      </c>
      <c r="F100"/>
      <c r="G100"/>
      <c r="H100"/>
      <c r="I100" s="63"/>
      <c r="K100"/>
      <c r="P100"/>
      <c r="Q100"/>
      <c r="R100"/>
      <c r="S100"/>
      <c r="T100"/>
      <c r="U100"/>
      <c r="V100"/>
      <c r="W100"/>
      <c r="X100"/>
      <c r="Y100"/>
    </row>
    <row r="101" spans="1:25" x14ac:dyDescent="0.2">
      <c r="C101" s="9"/>
      <c r="D101" s="9"/>
      <c r="E101" s="9"/>
      <c r="H101"/>
      <c r="I101" s="63"/>
      <c r="N101" s="9"/>
      <c r="O101" s="9"/>
      <c r="W101" s="9"/>
    </row>
    <row r="102" spans="1:25" x14ac:dyDescent="0.2">
      <c r="B102" s="30" t="s">
        <v>20</v>
      </c>
      <c r="C102" s="9"/>
      <c r="D102" s="9"/>
      <c r="E102" s="9"/>
      <c r="H102"/>
      <c r="I102" s="63"/>
      <c r="N102" s="9"/>
      <c r="W102" s="9"/>
    </row>
    <row r="103" spans="1:25" x14ac:dyDescent="0.2">
      <c r="B103" s="4" t="s">
        <v>20</v>
      </c>
      <c r="H103"/>
      <c r="I103" s="63"/>
      <c r="W103" s="9"/>
    </row>
    <row r="104" spans="1:25" x14ac:dyDescent="0.2">
      <c r="H104"/>
      <c r="I104" s="63"/>
      <c r="Y104" s="52"/>
    </row>
    <row r="105" spans="1:25" ht="15.75" x14ac:dyDescent="0.2">
      <c r="B105" s="56"/>
      <c r="C105" s="56"/>
      <c r="D105" s="56"/>
      <c r="E105" s="56"/>
      <c r="H105"/>
      <c r="I105" s="63"/>
    </row>
    <row r="106" spans="1:25" x14ac:dyDescent="0.2">
      <c r="I106" s="63"/>
    </row>
    <row r="107" spans="1:25" x14ac:dyDescent="0.2">
      <c r="B107" s="9"/>
      <c r="C107" s="9"/>
      <c r="D107" s="9"/>
      <c r="E107" s="9"/>
      <c r="F107" s="9"/>
      <c r="G107" s="9"/>
      <c r="H107" s="9"/>
    </row>
    <row r="108" spans="1:25" x14ac:dyDescent="0.2">
      <c r="B108" s="9"/>
      <c r="C108" s="9"/>
      <c r="D108" s="9"/>
      <c r="E108" s="9"/>
      <c r="F108" s="9"/>
      <c r="G108" s="9"/>
      <c r="H108" s="9"/>
      <c r="I108" s="59"/>
      <c r="J108" s="15"/>
    </row>
    <row r="109" spans="1:25" x14ac:dyDescent="0.2">
      <c r="B109" s="9"/>
      <c r="C109" s="9"/>
      <c r="D109" s="9"/>
      <c r="E109" s="9"/>
      <c r="F109" s="9"/>
      <c r="G109" s="9"/>
      <c r="H109" s="9"/>
      <c r="J109" s="15"/>
    </row>
    <row r="110" spans="1:25" x14ac:dyDescent="0.2">
      <c r="J110" s="15"/>
      <c r="L110" s="54"/>
    </row>
    <row r="111" spans="1:25" x14ac:dyDescent="0.2">
      <c r="J111" s="15"/>
      <c r="L111" s="3"/>
    </row>
    <row r="112" spans="1:25" x14ac:dyDescent="0.2">
      <c r="B112" s="9"/>
      <c r="C112" s="9"/>
      <c r="D112" s="9"/>
      <c r="E112" s="9"/>
      <c r="J112" s="15"/>
      <c r="L112" s="3"/>
    </row>
    <row r="113" spans="2:30" x14ac:dyDescent="0.2">
      <c r="L113" s="3"/>
    </row>
    <row r="114" spans="2:30" x14ac:dyDescent="0.2">
      <c r="L114" s="3"/>
    </row>
    <row r="115" spans="2:30" x14ac:dyDescent="0.2">
      <c r="B115" s="3"/>
      <c r="L115" s="3"/>
      <c r="AC115" s="9"/>
      <c r="AD115" s="9"/>
    </row>
    <row r="116" spans="2:30" x14ac:dyDescent="0.2">
      <c r="L116" s="15"/>
      <c r="AC116" s="9"/>
      <c r="AD116" s="9"/>
    </row>
    <row r="117" spans="2:30" x14ac:dyDescent="0.2">
      <c r="L117" s="15"/>
      <c r="AC117" s="9"/>
      <c r="AD117" s="9"/>
    </row>
    <row r="118" spans="2:30" x14ac:dyDescent="0.2">
      <c r="B118" s="4"/>
      <c r="F118" s="15"/>
      <c r="G118" s="15"/>
      <c r="AB118" s="9"/>
      <c r="AC118" s="1"/>
      <c r="AD118" s="9"/>
    </row>
    <row r="119" spans="2:30" x14ac:dyDescent="0.2">
      <c r="B119" s="4"/>
      <c r="F119" s="15"/>
      <c r="G119" s="15"/>
      <c r="L119" s="15"/>
      <c r="AB119" s="36"/>
      <c r="AC119" s="15"/>
      <c r="AD119" s="15"/>
    </row>
    <row r="120" spans="2:30" x14ac:dyDescent="0.2">
      <c r="B120" s="4"/>
      <c r="F120" s="15"/>
      <c r="G120" s="15"/>
      <c r="L120" s="15"/>
      <c r="AB120" s="15"/>
      <c r="AD120" s="15"/>
    </row>
    <row r="121" spans="2:30" x14ac:dyDescent="0.2">
      <c r="B121" s="3"/>
      <c r="C121" s="3"/>
      <c r="D121" s="3"/>
      <c r="E121" s="3"/>
      <c r="F121" s="15"/>
      <c r="G121" s="15"/>
    </row>
    <row r="122" spans="2:30" x14ac:dyDescent="0.2">
      <c r="F122" s="15"/>
      <c r="G122" s="15"/>
    </row>
    <row r="124" spans="2:30" x14ac:dyDescent="0.2">
      <c r="L124" s="15"/>
    </row>
    <row r="126" spans="2:30" x14ac:dyDescent="0.2">
      <c r="B126" s="4"/>
    </row>
    <row r="128" spans="2:30" x14ac:dyDescent="0.2">
      <c r="F128" s="15"/>
      <c r="G128" s="15"/>
    </row>
    <row r="129" spans="2:12" x14ac:dyDescent="0.2">
      <c r="B129" s="3"/>
      <c r="C129" s="3"/>
      <c r="D129" s="3"/>
      <c r="E129" s="3"/>
    </row>
    <row r="130" spans="2:12" x14ac:dyDescent="0.2">
      <c r="B130" s="3"/>
      <c r="C130" s="3"/>
      <c r="D130" s="3"/>
      <c r="E130" s="3"/>
      <c r="F130" s="15"/>
      <c r="G130" s="15"/>
    </row>
    <row r="131" spans="2:12" x14ac:dyDescent="0.2">
      <c r="F131" s="15"/>
      <c r="G131" s="15"/>
    </row>
    <row r="134" spans="2:12" x14ac:dyDescent="0.2">
      <c r="B134" s="4"/>
    </row>
    <row r="135" spans="2:12" x14ac:dyDescent="0.2">
      <c r="B135" s="4"/>
      <c r="F135" s="15"/>
      <c r="G135" s="15"/>
      <c r="H135"/>
      <c r="K135"/>
    </row>
    <row r="136" spans="2:12" x14ac:dyDescent="0.2">
      <c r="F136" s="15"/>
      <c r="G136" s="15"/>
      <c r="H136"/>
    </row>
    <row r="138" spans="2:12" x14ac:dyDescent="0.2">
      <c r="L138" s="6"/>
    </row>
    <row r="139" spans="2:12" x14ac:dyDescent="0.2">
      <c r="B139" s="4"/>
    </row>
    <row r="140" spans="2:12" x14ac:dyDescent="0.2">
      <c r="F140" s="15"/>
      <c r="G140" s="15"/>
      <c r="H140"/>
    </row>
    <row r="145" spans="2:10" x14ac:dyDescent="0.2"/>
    <row r="153" spans="2:10" x14ac:dyDescent="0.2">
      <c r="B153" s="4" t="s">
        <v>20</v>
      </c>
    </row>
    <row r="154" spans="2:10" x14ac:dyDescent="0.2">
      <c r="F154" s="15"/>
      <c r="G154" s="15"/>
    </row>
    <row r="170" spans="10:19" x14ac:dyDescent="0.2">
      <c r="J170"/>
    </row>
    <row r="171" spans="10:19" x14ac:dyDescent="0.2">
      <c r="J171"/>
      <c r="K171"/>
    </row>
    <row r="172" spans="10:19" x14ac:dyDescent="0.2">
      <c r="J172"/>
      <c r="K172"/>
    </row>
    <row r="173" spans="10:19" x14ac:dyDescent="0.2">
      <c r="K173"/>
      <c r="L173"/>
      <c r="M173"/>
    </row>
    <row r="174" spans="10:19" ht="15" x14ac:dyDescent="0.2">
      <c r="J174" s="70"/>
      <c r="L174"/>
      <c r="M174"/>
      <c r="Q174" s="9"/>
    </row>
    <row r="175" spans="10:19" x14ac:dyDescent="0.2">
      <c r="L175"/>
      <c r="M175"/>
      <c r="O175" s="9"/>
      <c r="P175" s="9"/>
      <c r="Q175" s="9"/>
      <c r="R175" s="9"/>
      <c r="S175" s="9"/>
    </row>
    <row r="176" spans="10:19" x14ac:dyDescent="0.2">
      <c r="J176"/>
      <c r="N176" s="9"/>
      <c r="O176" s="9"/>
      <c r="P176" s="9"/>
      <c r="Q176" s="9"/>
      <c r="R176" s="9"/>
      <c r="S176" s="9"/>
    </row>
    <row r="177" spans="2:19" x14ac:dyDescent="0.2">
      <c r="J177" s="15">
        <v>7073.18</v>
      </c>
      <c r="K177"/>
      <c r="N177" s="9"/>
      <c r="O177" s="9"/>
      <c r="P177" s="9"/>
      <c r="R177" s="9"/>
      <c r="S177" s="9"/>
    </row>
    <row r="178" spans="2:19" ht="15" customHeight="1" x14ac:dyDescent="0.2">
      <c r="J178" s="15">
        <v>9719.15</v>
      </c>
      <c r="K178"/>
      <c r="N178" s="9"/>
      <c r="Q178" s="70"/>
    </row>
    <row r="179" spans="2:19" ht="15" x14ac:dyDescent="0.2">
      <c r="I179">
        <f>1653*11</f>
        <v>18183</v>
      </c>
      <c r="J179" s="42" t="s">
        <v>37</v>
      </c>
      <c r="K179"/>
      <c r="L179"/>
      <c r="M179"/>
      <c r="O179" s="70"/>
      <c r="P179" s="70"/>
      <c r="Q179" s="9"/>
    </row>
    <row r="180" spans="2:19" ht="240" x14ac:dyDescent="0.2">
      <c r="H180"/>
      <c r="I180" s="4">
        <f>18000/52</f>
        <v>346.15384615384613</v>
      </c>
      <c r="J180" s="42" t="s">
        <v>35</v>
      </c>
      <c r="K180" s="50">
        <v>43614</v>
      </c>
      <c r="L180" s="70" t="s">
        <v>34</v>
      </c>
      <c r="M180" s="70"/>
      <c r="N180" s="70"/>
      <c r="O180" s="9"/>
      <c r="P180" s="9"/>
    </row>
    <row r="181" spans="2:19" ht="45" customHeight="1" x14ac:dyDescent="0.25">
      <c r="H181">
        <f>18000/12</f>
        <v>1500</v>
      </c>
      <c r="I181">
        <f>I180/7</f>
        <v>49.450549450549445</v>
      </c>
      <c r="J181" s="42"/>
      <c r="K181" s="50">
        <v>43614</v>
      </c>
      <c r="L181"/>
      <c r="M181"/>
      <c r="N181" s="41" t="s">
        <v>36</v>
      </c>
      <c r="O181" s="44"/>
    </row>
    <row r="182" spans="2:19" ht="409.5" x14ac:dyDescent="0.2">
      <c r="H182"/>
      <c r="J182" s="42" t="s">
        <v>35</v>
      </c>
      <c r="K182" s="50"/>
      <c r="L182" s="43" t="s">
        <v>38</v>
      </c>
      <c r="M182" s="44">
        <v>10419.370000000001</v>
      </c>
      <c r="N182" s="44"/>
      <c r="O182" s="45">
        <f>M182+M183</f>
        <v>11919.37</v>
      </c>
    </row>
    <row r="183" spans="2:19" ht="409.5" x14ac:dyDescent="0.2">
      <c r="H183"/>
      <c r="I183" s="70"/>
      <c r="J183" s="42" t="s">
        <v>42</v>
      </c>
      <c r="K183" s="50">
        <v>43614</v>
      </c>
      <c r="L183" s="43" t="s">
        <v>39</v>
      </c>
      <c r="M183" s="44">
        <v>1500</v>
      </c>
      <c r="N183" s="44"/>
      <c r="O183" s="44"/>
    </row>
    <row r="184" spans="2:19" ht="409.5" x14ac:dyDescent="0.2">
      <c r="G184" s="70" t="s">
        <v>34</v>
      </c>
      <c r="H184" s="70"/>
      <c r="I184" s="9"/>
      <c r="J184" s="42" t="s">
        <v>44</v>
      </c>
      <c r="K184" s="50">
        <v>43553</v>
      </c>
      <c r="L184" s="46" t="s">
        <v>40</v>
      </c>
      <c r="M184" s="44"/>
      <c r="N184" s="44"/>
      <c r="O184" s="44"/>
    </row>
    <row r="185" spans="2:19" ht="409.5" x14ac:dyDescent="0.2">
      <c r="G185" s="53" t="s">
        <v>46</v>
      </c>
      <c r="H185" s="9"/>
      <c r="K185" s="51">
        <v>43725</v>
      </c>
      <c r="L185" s="43" t="s">
        <v>41</v>
      </c>
      <c r="M185" s="44">
        <f>9145.87-1500</f>
        <v>7645.8700000000008</v>
      </c>
      <c r="N185" s="44"/>
      <c r="O185" s="44"/>
    </row>
    <row r="186" spans="2:19" ht="409.5" x14ac:dyDescent="0.2">
      <c r="G186" s="4" t="s">
        <v>47</v>
      </c>
      <c r="H186"/>
      <c r="L186" s="43" t="s">
        <v>43</v>
      </c>
      <c r="M186" s="44">
        <v>3363.13</v>
      </c>
      <c r="N186" s="44"/>
      <c r="O186" s="49">
        <f>M187+M186+M185</f>
        <v>17792.340000000004</v>
      </c>
    </row>
    <row r="187" spans="2:19" ht="327.75" x14ac:dyDescent="0.2">
      <c r="D187" s="14">
        <v>43903</v>
      </c>
      <c r="E187" s="14"/>
      <c r="G187" t="s">
        <v>49</v>
      </c>
      <c r="H187"/>
      <c r="L187" s="47" t="s">
        <v>45</v>
      </c>
      <c r="M187" s="48">
        <v>6783.34</v>
      </c>
      <c r="N187" s="48"/>
    </row>
    <row r="188" spans="2:19" x14ac:dyDescent="0.2">
      <c r="D188" s="14">
        <v>44082</v>
      </c>
      <c r="E188" s="14"/>
      <c r="G188" t="s">
        <v>50</v>
      </c>
      <c r="H188"/>
    </row>
    <row r="189" spans="2:19" x14ac:dyDescent="0.2">
      <c r="B189" s="14">
        <v>43935</v>
      </c>
      <c r="H189" s="15">
        <v>2530</v>
      </c>
    </row>
    <row r="190" spans="2:19" x14ac:dyDescent="0.2">
      <c r="B190" s="14">
        <v>43980</v>
      </c>
      <c r="H190" s="15">
        <v>1563.21</v>
      </c>
    </row>
    <row r="191" spans="2:19" x14ac:dyDescent="0.2">
      <c r="B191" s="14">
        <v>44087</v>
      </c>
      <c r="H191" s="15">
        <v>7000</v>
      </c>
    </row>
    <row r="192" spans="2:19" x14ac:dyDescent="0.2">
      <c r="B192" s="14">
        <v>44087</v>
      </c>
      <c r="H192" s="15">
        <v>4114</v>
      </c>
    </row>
    <row r="193" spans="2:8" x14ac:dyDescent="0.2">
      <c r="B193" s="14">
        <v>44087</v>
      </c>
      <c r="H193" s="15">
        <v>2737</v>
      </c>
    </row>
    <row r="194" spans="2:8" ht="15" x14ac:dyDescent="0.2">
      <c r="F194" s="149"/>
      <c r="G194" s="149"/>
      <c r="H194" s="40">
        <f>SUM(H187:H193)</f>
        <v>17944.21</v>
      </c>
    </row>
  </sheetData>
  <sortState xmlns:xlrd2="http://schemas.microsoft.com/office/spreadsheetml/2017/richdata2" ref="A10:R21">
    <sortCondition ref="A10:A21"/>
  </sortState>
  <mergeCells count="2">
    <mergeCell ref="F194:G194"/>
    <mergeCell ref="F41:G41"/>
  </mergeCells>
  <conditionalFormatting sqref="Q24 P35">
    <cfRule type="cellIs" dxfId="10" priority="13" stopIfTrue="1" operator="lessThan">
      <formula>0</formula>
    </cfRule>
  </conditionalFormatting>
  <conditionalFormatting sqref="M24 M34">
    <cfRule type="cellIs" dxfId="9" priority="14" stopIfTrue="1" operator="lessThan">
      <formula>0</formula>
    </cfRule>
  </conditionalFormatting>
  <conditionalFormatting sqref="R35">
    <cfRule type="cellIs" dxfId="8" priority="12" stopIfTrue="1" operator="lessThan">
      <formula>0</formula>
    </cfRule>
  </conditionalFormatting>
  <conditionalFormatting sqref="K24 K35">
    <cfRule type="cellIs" dxfId="7" priority="11" stopIfTrue="1" operator="lessThan">
      <formula>0</formula>
    </cfRule>
  </conditionalFormatting>
  <conditionalFormatting sqref="I24 I35">
    <cfRule type="cellIs" dxfId="6" priority="9" stopIfTrue="1" operator="lessThan">
      <formula>0</formula>
    </cfRule>
  </conditionalFormatting>
  <conditionalFormatting sqref="H24">
    <cfRule type="cellIs" dxfId="5" priority="6" stopIfTrue="1" operator="lessThan">
      <formula>0</formula>
    </cfRule>
  </conditionalFormatting>
  <conditionalFormatting sqref="H35">
    <cfRule type="cellIs" dxfId="4" priority="5" stopIfTrue="1" operator="lessThan">
      <formula>0</formula>
    </cfRule>
  </conditionalFormatting>
  <conditionalFormatting sqref="G24">
    <cfRule type="cellIs" dxfId="3" priority="4" stopIfTrue="1" operator="lessThan">
      <formula>0</formula>
    </cfRule>
  </conditionalFormatting>
  <conditionalFormatting sqref="Z24">
    <cfRule type="cellIs" dxfId="2" priority="3" stopIfTrue="1" operator="lessThan">
      <formula>0</formula>
    </cfRule>
  </conditionalFormatting>
  <conditionalFormatting sqref="O24">
    <cfRule type="cellIs" dxfId="1" priority="2" stopIfTrue="1" operator="lessThan">
      <formula>0</formula>
    </cfRule>
  </conditionalFormatting>
  <conditionalFormatting sqref="E24:F24">
    <cfRule type="cellIs" dxfId="0" priority="1" stopIfTrue="1" operator="lessThan">
      <formula>0</formula>
    </cfRule>
  </conditionalFormatting>
  <hyperlinks>
    <hyperlink ref="J183" r:id="rId1" display="https://apps.kapitas.se/Reporting/data/reportVoucherDetail.php?voucherId=2933939" xr:uid="{35B92C33-A836-463D-B1AD-A019720EE127}"/>
    <hyperlink ref="J182" r:id="rId2" display="https://apps.kapitas.se/Reporting/data/reportVoucherDetail.php?voucherId=3132270" xr:uid="{1057E9F9-73EC-46EE-B90F-70E1E22D0DA5}"/>
    <hyperlink ref="J179" r:id="rId3" display="https://apps.kapitas.se/Reporting/data/reportVoucherDetail.php?voucherId=3132276" xr:uid="{678EC1C9-796F-43C4-B560-1C7314B12B08}"/>
    <hyperlink ref="J184" r:id="rId4" display="https://apps.kapitas.se/Reporting/data/reportVoucherDetail.php?voucherId=3132409" xr:uid="{4B6BC972-9C7C-46D2-897E-B3FDEB4A6382}"/>
    <hyperlink ref="J180" r:id="rId5" display="https://apps.kapitas.se/Reporting/data/reportVoucherDetail.php?voucherId=3132270" xr:uid="{AD2EF970-CF46-4374-B84F-92454ED8D2A5}"/>
  </hyperlinks>
  <printOptions gridLines="1"/>
  <pageMargins left="0.7" right="0.7" top="0.75" bottom="0.75" header="0.3" footer="0.3"/>
  <pageSetup paperSize="9" fitToHeight="2" orientation="portrait" r:id="rId6"/>
  <headerFooter>
    <oddHeader>&amp;C&amp;12Resultat och Balansräkning Ada</oddHeader>
  </headerFooter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Många år, budget 2023</vt:lpstr>
      <vt:lpstr>'Många år, budget 2023'!Utskriftsområde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Bytoft</dc:creator>
  <cp:lastModifiedBy>Anders Yoga</cp:lastModifiedBy>
  <cp:lastPrinted>2022-11-29T11:38:42Z</cp:lastPrinted>
  <dcterms:created xsi:type="dcterms:W3CDTF">2006-11-20T18:51:36Z</dcterms:created>
  <dcterms:modified xsi:type="dcterms:W3CDTF">2022-12-12T20:39:29Z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-1629326637</vt:i4>
  </property>
  <property fmtid="{D5CDD505-2E9C-101B-9397-08002B2CF9AE}" pid="3" name="_NewReviewCycle">
    <vt:lpwstr/>
  </property>
  <property fmtid="{D5CDD505-2E9C-101B-9397-08002B2CF9AE}" pid="4" name="_EmailSubject">
    <vt:lpwstr>Verifikationer</vt:lpwstr>
  </property>
  <property fmtid="{D5CDD505-2E9C-101B-9397-08002B2CF9AE}" pid="5" name="_AuthorEmail">
    <vt:lpwstr>Hans.Filipsson@swedishclub.com</vt:lpwstr>
  </property>
  <property fmtid="{D5CDD505-2E9C-101B-9397-08002B2CF9AE}" pid="6" name="_AuthorEmailDisplayName">
    <vt:lpwstr>Hans Filipsson</vt:lpwstr>
  </property>
  <property fmtid="{D5CDD505-2E9C-101B-9397-08002B2CF9AE}" pid="7" name="_ReviewingToolsShownOnce">
    <vt:lpwstr/>
  </property>
</Properties>
</file>