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PRIVAT\IFK Mariefred\Kassör\2025\"/>
    </mc:Choice>
  </mc:AlternateContent>
  <xr:revisionPtr revIDLastSave="0" documentId="13_ncr:1_{F39ABBCB-6099-472B-8B54-1AE526F4EF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 Budget 2026" sheetId="153" r:id="rId1"/>
    <sheet name="Balans 2025" sheetId="152" r:id="rId2"/>
    <sheet name=" Utfall 2025, SLUTLIG" sheetId="151" r:id="rId3"/>
    <sheet name=" Utfall 2025, 251231" sheetId="150" r:id="rId4"/>
    <sheet name=" Utfall 2025, 251105" sheetId="149" r:id="rId5"/>
    <sheet name=" Utfall 2025, 250925" sheetId="148" r:id="rId6"/>
    <sheet name=" Utfall 2025, 250819" sheetId="147" r:id="rId7"/>
    <sheet name=" Utfall 2025, 250528" sheetId="145" r:id="rId8"/>
    <sheet name=" Utfall 2025, 250504" sheetId="144" r:id="rId9"/>
    <sheet name=" Utfall 2025, 250327" sheetId="143" r:id="rId10"/>
    <sheet name=" Budget 2025, uppdaterad" sheetId="146" r:id="rId11"/>
    <sheet name=" Budget 2025" sheetId="140" r:id="rId12"/>
    <sheet name="Balans 2024" sheetId="141" r:id="rId13"/>
    <sheet name=" Utfall 2024, SLUTLIG" sheetId="142" r:id="rId14"/>
    <sheet name=" Utfall 2024, 241231" sheetId="139" r:id="rId15"/>
    <sheet name=" Utfall 2024, 241204" sheetId="138" r:id="rId16"/>
    <sheet name=" Utfall 2024, 241023" sheetId="137" r:id="rId17"/>
    <sheet name=" Utfall 2024, 240922" sheetId="136" r:id="rId18"/>
    <sheet name=" Utfall 2024, 240915" sheetId="135" r:id="rId19"/>
    <sheet name=" Utfall 2024, 240828" sheetId="134" r:id="rId20"/>
    <sheet name=" Utfall 2024, 240605" sheetId="133" r:id="rId21"/>
    <sheet name=" Utfall 2024, 240503" sheetId="132" r:id="rId22"/>
    <sheet name=" Utfall 2024, 240329" sheetId="131" r:id="rId23"/>
    <sheet name=" Budget 2024" sheetId="130" r:id="rId24"/>
    <sheet name="Balans 2023" sheetId="129" r:id="rId25"/>
    <sheet name=" Utfall 2023, SLUTLIG" sheetId="128" r:id="rId26"/>
    <sheet name=" Utfall 2023, 231231" sheetId="127" r:id="rId27"/>
    <sheet name=" Utfall 2023, 231108" sheetId="126" r:id="rId28"/>
    <sheet name=" Utfall 2023, 230930" sheetId="125" r:id="rId29"/>
    <sheet name=" Utfall 2023, 230912" sheetId="124" r:id="rId30"/>
    <sheet name=" Utfall 2023, 230812" sheetId="123" r:id="rId31"/>
    <sheet name=" Utfall 2023, 230515" sheetId="122" r:id="rId32"/>
    <sheet name=" Utfall 2023, 230418" sheetId="121" r:id="rId33"/>
    <sheet name=" Utfall 2023, 230207" sheetId="120" r:id="rId34"/>
    <sheet name=" Budget 2023" sheetId="118" r:id="rId35"/>
    <sheet name="Balans 2022" sheetId="117" r:id="rId36"/>
    <sheet name=" Utfall 2022, SLUTLIG" sheetId="119" r:id="rId37"/>
    <sheet name=" Utfall 2022, 221231" sheetId="116" r:id="rId38"/>
    <sheet name=" Utfall 2022, 221109" sheetId="115" r:id="rId39"/>
    <sheet name=" Utfall 2022, 220920" sheetId="114" r:id="rId40"/>
    <sheet name=" Utfall 2022, 220818" sheetId="113" r:id="rId41"/>
    <sheet name=" Utfall 2022, 220615" sheetId="112" r:id="rId42"/>
    <sheet name=" Utfall 2022, 220516" sheetId="111" r:id="rId43"/>
    <sheet name=" Utfall 2022, 220411" sheetId="110" r:id="rId44"/>
    <sheet name=" Utfall 2022, 220206" sheetId="109" r:id="rId45"/>
    <sheet name=" Budget 2022" sheetId="108" r:id="rId46"/>
    <sheet name="Balans 2021" sheetId="107" r:id="rId47"/>
    <sheet name=" Utfall 2021, SLUTLIG" sheetId="106" r:id="rId48"/>
    <sheet name=" Utfall 2021, 211231" sheetId="105" r:id="rId49"/>
    <sheet name=" Utfall 2021, 211128" sheetId="104" r:id="rId50"/>
    <sheet name=" Utfall 2021, 210919" sheetId="103" r:id="rId51"/>
    <sheet name=" Utfall 2021, 210822" sheetId="102" r:id="rId52"/>
    <sheet name=" Utfall 2021, 210606" sheetId="101" r:id="rId53"/>
    <sheet name=" Utfall 2021, 210410" sheetId="100" r:id="rId54"/>
    <sheet name=" Budget 2021" sheetId="99" r:id="rId55"/>
    <sheet name="Balans 2020" sheetId="98" r:id="rId56"/>
    <sheet name=" Utfall 2020, SLUTLIG" sheetId="97" r:id="rId57"/>
    <sheet name=" Utfall 2020, 201231" sheetId="96" r:id="rId58"/>
    <sheet name=" Utfall 2020, 201117" sheetId="95" r:id="rId59"/>
    <sheet name=" Utfall 2020, 200930" sheetId="94" r:id="rId60"/>
    <sheet name=" Utfall 2020, 200815" sheetId="93" r:id="rId61"/>
    <sheet name=" Utfall 2020, 200617" sheetId="92" r:id="rId62"/>
    <sheet name=" Utfall 2020, 200519" sheetId="91" r:id="rId63"/>
    <sheet name=" Utfall 2020, 200420" sheetId="90" r:id="rId64"/>
    <sheet name=" Utfall 2020, 200310" sheetId="89" r:id="rId65"/>
    <sheet name=" Budget 2020" sheetId="87" r:id="rId66"/>
    <sheet name="Balans 2019" sheetId="86" r:id="rId67"/>
    <sheet name=" Utfall 2019 - SLUTLIG" sheetId="88" r:id="rId68"/>
    <sheet name=" Utfall 2019, 191231" sheetId="85" r:id="rId69"/>
    <sheet name=" Utfall 2019, 191207" sheetId="84" r:id="rId70"/>
    <sheet name=" Utfall 2019, 191016" sheetId="83" r:id="rId71"/>
    <sheet name=" Utfall 2019, 190917" sheetId="82" r:id="rId72"/>
    <sheet name=" Utfall 2019, 190812" sheetId="81" r:id="rId73"/>
    <sheet name=" Utfall 2019, 190603" sheetId="80" r:id="rId74"/>
    <sheet name=" Utfall 2019, 190319" sheetId="79" r:id="rId75"/>
    <sheet name=" Budget 2019" sheetId="77" r:id="rId76"/>
    <sheet name="Balans 2018" sheetId="76" r:id="rId77"/>
    <sheet name=" Utfall 2018 - SLUTLIG" sheetId="78" r:id="rId78"/>
    <sheet name=" Utfall 2018, 181231" sheetId="75" r:id="rId79"/>
    <sheet name=" Utfall 2018, 181111" sheetId="74" r:id="rId80"/>
    <sheet name=" Utfall 2018, 180927" sheetId="73" r:id="rId81"/>
    <sheet name=" Utfall 2018, 180828" sheetId="72" r:id="rId82"/>
    <sheet name=" Utfall 2018, 180429" sheetId="71" r:id="rId83"/>
    <sheet name=" Budget 2018" sheetId="70" r:id="rId84"/>
    <sheet name="Balans 2017" sheetId="69" r:id="rId85"/>
    <sheet name=" Utfall 2017, SLUTLIG" sheetId="68" r:id="rId86"/>
    <sheet name=" Utfall 2017, 171231" sheetId="67" r:id="rId87"/>
    <sheet name=" Utfall 2017, 171009" sheetId="66" r:id="rId88"/>
    <sheet name=" Utfall 2017, 170905" sheetId="65" r:id="rId89"/>
    <sheet name=" Utfall 2017, 170728" sheetId="64" r:id="rId90"/>
    <sheet name=" Utfall 2017, 170515" sheetId="63" r:id="rId91"/>
    <sheet name=" Utfall 2017, 170320" sheetId="62" r:id="rId92"/>
    <sheet name=" Budget 2017" sheetId="61" r:id="rId93"/>
    <sheet name=" Utfall A-laget 2016" sheetId="60" r:id="rId94"/>
    <sheet name="Balans 2016" sheetId="57" r:id="rId95"/>
    <sheet name="2016 Transaktionsrapport" sheetId="34" r:id="rId96"/>
    <sheet name=" Utfall 2016, SLUTLIG" sheetId="59" r:id="rId97"/>
    <sheet name=" Utfall 2016, 161231" sheetId="55" r:id="rId98"/>
    <sheet name=" Utfall 2016, 161124" sheetId="54" r:id="rId99"/>
    <sheet name=" Utfall 2016, 161023" sheetId="53" r:id="rId100"/>
    <sheet name=" Utfall 2016, 160917" sheetId="52" r:id="rId101"/>
    <sheet name=" Utfall 2016, 160820" sheetId="51" r:id="rId102"/>
    <sheet name=" Utfall 2016, 160610" sheetId="50" r:id="rId103"/>
    <sheet name=" Utfall 2016, 160514" sheetId="49" r:id="rId104"/>
    <sheet name=" Utfall 2016, 160331" sheetId="48" r:id="rId105"/>
    <sheet name=" Utfall 2016, 160229" sheetId="46" r:id="rId106"/>
    <sheet name="Budget 2016" sheetId="42" r:id="rId107"/>
    <sheet name=" Utfall A-lag 2015" sheetId="45" r:id="rId108"/>
    <sheet name="Balans 2015" sheetId="44" r:id="rId109"/>
    <sheet name="2015 Transaktionsrapport" sheetId="47" r:id="rId110"/>
    <sheet name=" Utfall 2015, SLUTLIGT" sheetId="43" r:id="rId111"/>
    <sheet name=" Utfall 2015, 151231" sheetId="41" r:id="rId112"/>
    <sheet name=" Utfall 2015, 151121" sheetId="40" r:id="rId113"/>
    <sheet name=" Utfall 2015, 151017" sheetId="39" r:id="rId114"/>
    <sheet name=" Utfall 2015, 150925" sheetId="38" r:id="rId115"/>
    <sheet name=" Utfall 2015, 150824" sheetId="37" r:id="rId116"/>
    <sheet name=" Utfall 2015, 150731" sheetId="36" r:id="rId117"/>
    <sheet name=" Utfall 2015, 150331" sheetId="35" r:id="rId118"/>
    <sheet name=" Budget 2015" sheetId="32" r:id="rId119"/>
    <sheet name="Ledare 2014" sheetId="29" r:id="rId120"/>
    <sheet name="Domare 2014" sheetId="23" r:id="rId121"/>
    <sheet name=" Utfall 2014, A-lag" sheetId="33" r:id="rId122"/>
    <sheet name="2014 Transaktionsrapport" sheetId="20" r:id="rId123"/>
    <sheet name="Balans 2014" sheetId="30" r:id="rId124"/>
    <sheet name=" Utfall 2014, SLUTLIG" sheetId="31" r:id="rId125"/>
    <sheet name=" Utfall 2014, 2014-12-31" sheetId="28" r:id="rId126"/>
    <sheet name=" Utfall 2014, 2014-11-30" sheetId="27" r:id="rId127"/>
    <sheet name=" Utfall 2014, 2014-09-30" sheetId="26" r:id="rId128"/>
    <sheet name=" Utfall 2014, 2014-09-15" sheetId="25" r:id="rId129"/>
    <sheet name=" Utfall 2014, 2014-04-30" sheetId="21" r:id="rId130"/>
    <sheet name=" Utfall 2014, 2014-05-31" sheetId="22" r:id="rId131"/>
    <sheet name=" Utfall 2014, 2014-07-31" sheetId="24" r:id="rId132"/>
    <sheet name="Budget 2014" sheetId="19" r:id="rId133"/>
    <sheet name=" Utfall 2013, 2013-12-31 SLUTL" sheetId="17" r:id="rId134"/>
    <sheet name="Balans 2013" sheetId="18" r:id="rId135"/>
    <sheet name="2013 Transaktionsrapport" sheetId="11" r:id="rId136"/>
    <sheet name="Resultat Herrlag 2013" sheetId="5" r:id="rId137"/>
    <sheet name="Domare 2013" sheetId="13" r:id="rId138"/>
    <sheet name="Balans 2012 (Inkl A-lag)" sheetId="6" r:id="rId139"/>
    <sheet name="Resultat 2012 inkl Herrar" sheetId="4" r:id="rId140"/>
    <sheet name="Resultat(utan herr)2012" sheetId="2" r:id="rId141"/>
    <sheet name="Resultat Herrlag 2012" sheetId="7" r:id="rId142"/>
    <sheet name=" Budget 2013 herrv1" sheetId="3" r:id="rId143"/>
    <sheet name="2012Transaktionsrapport" sheetId="9" r:id="rId144"/>
    <sheet name="Domare 2012" sheetId="12" r:id="rId145"/>
  </sheets>
  <definedNames>
    <definedName name="_xlnm._FilterDatabase" localSheetId="143" hidden="1">'2012Transaktionsrapport'!$A$1:$J$178</definedName>
    <definedName name="_xlnm._FilterDatabase" localSheetId="135" hidden="1">'2013 Transaktionsrapport'!$A$1:$J$231</definedName>
    <definedName name="_xlnm._FilterDatabase" localSheetId="122" hidden="1">'2014 Transaktionsrapport'!$A$1:$J$285</definedName>
    <definedName name="_xlnm._FilterDatabase" localSheetId="109" hidden="1">'2015 Transaktionsrapport'!$A$1:$J$348</definedName>
    <definedName name="_xlnm._FilterDatabase" localSheetId="95" hidden="1">'2016 Transaktionsrapport'!$A$1:$J$1423</definedName>
    <definedName name="_xlnm.Print_Area" localSheetId="118">' Budget 2015'!$A$1:$K$43</definedName>
    <definedName name="_xlnm.Print_Area" localSheetId="92">' Budget 2017'!$A$1:$L$41</definedName>
    <definedName name="_xlnm.Print_Area" localSheetId="83">' Budget 2018'!$A$1:$M$41</definedName>
    <definedName name="_xlnm.Print_Area" localSheetId="75">' Budget 2019'!$A$1:$N$41</definedName>
    <definedName name="_xlnm.Print_Area" localSheetId="65">' Budget 2020'!$A$1:$O$41</definedName>
    <definedName name="_xlnm.Print_Area" localSheetId="54">' Budget 2021'!$A$1:$P$41</definedName>
    <definedName name="_xlnm.Print_Area" localSheetId="45">' Budget 2022'!$A$1:$Q$41</definedName>
    <definedName name="_xlnm.Print_Area" localSheetId="34">' Budget 2023'!$A$1:$R$41</definedName>
    <definedName name="_xlnm.Print_Area" localSheetId="23">' Budget 2024'!$A$1:$S$41</definedName>
    <definedName name="_xlnm.Print_Area" localSheetId="11">' Budget 2025'!$A$1:$T$43</definedName>
    <definedName name="_xlnm.Print_Area" localSheetId="10">' Budget 2025, uppdaterad'!$A$1:$T$43</definedName>
    <definedName name="_xlnm.Print_Area" localSheetId="0">' Budget 2026'!$A$1:$U$43</definedName>
    <definedName name="_xlnm.Print_Area" localSheetId="133">' Utfall 2013, 2013-12-31 SLUTL'!$A$1:$K$43</definedName>
    <definedName name="_xlnm.Print_Area" localSheetId="129">' Utfall 2014, 2014-04-30'!$A$1:$K$43</definedName>
    <definedName name="_xlnm.Print_Area" localSheetId="130">' Utfall 2014, 2014-05-31'!$A$1:$K$43</definedName>
    <definedName name="_xlnm.Print_Area" localSheetId="131">' Utfall 2014, 2014-07-31'!$A$1:$K$43</definedName>
    <definedName name="_xlnm.Print_Area" localSheetId="128">' Utfall 2014, 2014-09-15'!$A$1:$K$43</definedName>
    <definedName name="_xlnm.Print_Area" localSheetId="127">' Utfall 2014, 2014-09-30'!$A$1:$K$43</definedName>
    <definedName name="_xlnm.Print_Area" localSheetId="126">' Utfall 2014, 2014-11-30'!$A$1:$K$43</definedName>
    <definedName name="_xlnm.Print_Area" localSheetId="125">' Utfall 2014, 2014-12-31'!$A$1:$K$43</definedName>
    <definedName name="_xlnm.Print_Area" localSheetId="121">' Utfall 2014, A-lag'!$A$1:$K$43</definedName>
    <definedName name="_xlnm.Print_Area" localSheetId="124">' Utfall 2014, SLUTLIG'!$A$1:$K$43</definedName>
    <definedName name="_xlnm.Print_Area" localSheetId="117">' Utfall 2015, 150331'!$A$1:$L$43</definedName>
    <definedName name="_xlnm.Print_Area" localSheetId="116">' Utfall 2015, 150731'!$A$1:$M$43</definedName>
    <definedName name="_xlnm.Print_Area" localSheetId="115">' Utfall 2015, 150824'!$A$1:$M$43</definedName>
    <definedName name="_xlnm.Print_Area" localSheetId="114">' Utfall 2015, 150925'!$A$1:$L$43</definedName>
    <definedName name="_xlnm.Print_Area" localSheetId="113">' Utfall 2015, 151017'!$A$1:$L$40</definedName>
    <definedName name="_xlnm.Print_Area" localSheetId="112">' Utfall 2015, 151121'!$A$1:$L$40</definedName>
    <definedName name="_xlnm.Print_Area" localSheetId="111">' Utfall 2015, 151231'!$A$1:$L$40</definedName>
    <definedName name="_xlnm.Print_Area" localSheetId="110">' Utfall 2015, SLUTLIGT'!$A$1:$J$40</definedName>
    <definedName name="_xlnm.Print_Area" localSheetId="105">' Utfall 2016, 160229'!$A$1:$M$40</definedName>
    <definedName name="_xlnm.Print_Area" localSheetId="104">' Utfall 2016, 160331'!$A$1:$M$40</definedName>
    <definedName name="_xlnm.Print_Area" localSheetId="103">' Utfall 2016, 160514'!$A$1:$M$40</definedName>
    <definedName name="_xlnm.Print_Area" localSheetId="102">' Utfall 2016, 160610'!$A$1:$M$40</definedName>
    <definedName name="_xlnm.Print_Area" localSheetId="101">' Utfall 2016, 160820'!$A$1:$M$41</definedName>
    <definedName name="_xlnm.Print_Area" localSheetId="100">' Utfall 2016, 160917'!$A$1:$M$41</definedName>
    <definedName name="_xlnm.Print_Area" localSheetId="99">' Utfall 2016, 161023'!$A$1:$M$41</definedName>
    <definedName name="_xlnm.Print_Area" localSheetId="98">' Utfall 2016, 161124'!$A$1:$M$41</definedName>
    <definedName name="_xlnm.Print_Area" localSheetId="97">' Utfall 2016, 161231'!$A$1:$M$41</definedName>
    <definedName name="_xlnm.Print_Area" localSheetId="96">' Utfall 2016, SLUTLIG'!$A$1:$L$41</definedName>
    <definedName name="_xlnm.Print_Area" localSheetId="91">' Utfall 2017, 170320'!$A$1:$N$41</definedName>
    <definedName name="_xlnm.Print_Area" localSheetId="90">' Utfall 2017, 170515'!$A$1:$N$41</definedName>
    <definedName name="_xlnm.Print_Area" localSheetId="89">' Utfall 2017, 170728'!$A$1:$N$41</definedName>
    <definedName name="_xlnm.Print_Area" localSheetId="88">' Utfall 2017, 170905'!$A$1:$N$41</definedName>
    <definedName name="_xlnm.Print_Area" localSheetId="87">' Utfall 2017, 171009'!$A$1:$N$41</definedName>
    <definedName name="_xlnm.Print_Area" localSheetId="86">' Utfall 2017, 171231'!$A$1:$O$41</definedName>
    <definedName name="_xlnm.Print_Area" localSheetId="85">' Utfall 2017, SLUTLIG'!$A$1:$M$41</definedName>
    <definedName name="_xlnm.Print_Area" localSheetId="77">' Utfall 2018 - SLUTLIG'!$A$1:$M$41</definedName>
    <definedName name="_xlnm.Print_Area" localSheetId="82">' Utfall 2018, 180429'!$A$1:$O$41</definedName>
    <definedName name="_xlnm.Print_Area" localSheetId="81">' Utfall 2018, 180828'!$A$1:$O$41</definedName>
    <definedName name="_xlnm.Print_Area" localSheetId="80">' Utfall 2018, 180927'!$A$1:$O$41</definedName>
    <definedName name="_xlnm.Print_Area" localSheetId="79">' Utfall 2018, 181111'!$A$1:$O$41</definedName>
    <definedName name="_xlnm.Print_Area" localSheetId="78">' Utfall 2018, 181231'!$A$1:$O$41</definedName>
    <definedName name="_xlnm.Print_Area" localSheetId="67">' Utfall 2019 - SLUTLIG'!$A$1:$O$41</definedName>
    <definedName name="_xlnm.Print_Area" localSheetId="74">' Utfall 2019, 190319'!$A$1:$P$41</definedName>
    <definedName name="_xlnm.Print_Area" localSheetId="73">' Utfall 2019, 190603'!$A$1:$P$41</definedName>
    <definedName name="_xlnm.Print_Area" localSheetId="72">' Utfall 2019, 190812'!$A$1:$P$41</definedName>
    <definedName name="_xlnm.Print_Area" localSheetId="71">' Utfall 2019, 190917'!$A$1:$P$41</definedName>
    <definedName name="_xlnm.Print_Area" localSheetId="70">' Utfall 2019, 191016'!$A$1:$P$41</definedName>
    <definedName name="_xlnm.Print_Area" localSheetId="69">' Utfall 2019, 191207'!$A$1:$P$41</definedName>
    <definedName name="_xlnm.Print_Area" localSheetId="68">' Utfall 2019, 191231'!$A$1:$P$41</definedName>
    <definedName name="_xlnm.Print_Area" localSheetId="64">' Utfall 2020, 200310'!$A$1:$Q$41</definedName>
    <definedName name="_xlnm.Print_Area" localSheetId="63">' Utfall 2020, 200420'!$A$1:$Q$41</definedName>
    <definedName name="_xlnm.Print_Area" localSheetId="62">' Utfall 2020, 200519'!$A$1:$Q$41</definedName>
    <definedName name="_xlnm.Print_Area" localSheetId="61">' Utfall 2020, 200617'!$A$1:$Q$41</definedName>
    <definedName name="_xlnm.Print_Area" localSheetId="60">' Utfall 2020, 200815'!$A$1:$Q$41</definedName>
    <definedName name="_xlnm.Print_Area" localSheetId="59">' Utfall 2020, 200930'!$A$1:$Q$41</definedName>
    <definedName name="_xlnm.Print_Area" localSheetId="58">' Utfall 2020, 201117'!$A$1:$Q$41</definedName>
    <definedName name="_xlnm.Print_Area" localSheetId="57">' Utfall 2020, 201231'!$A$1:$Q$41</definedName>
    <definedName name="_xlnm.Print_Area" localSheetId="56">' Utfall 2020, SLUTLIG'!$A$1:$O$41</definedName>
    <definedName name="_xlnm.Print_Area" localSheetId="53">' Utfall 2021, 210410'!$A$1:$R$41</definedName>
    <definedName name="_xlnm.Print_Area" localSheetId="52">' Utfall 2021, 210606'!$A$1:$R$41</definedName>
    <definedName name="_xlnm.Print_Area" localSheetId="51">' Utfall 2021, 210822'!$A$1:$R$41</definedName>
    <definedName name="_xlnm.Print_Area" localSheetId="50">' Utfall 2021, 210919'!$A$1:$R$41</definedName>
    <definedName name="_xlnm.Print_Area" localSheetId="49">' Utfall 2021, 211128'!$A$1:$R$41</definedName>
    <definedName name="_xlnm.Print_Area" localSheetId="48">' Utfall 2021, 211231'!$A$1:$R$41</definedName>
    <definedName name="_xlnm.Print_Area" localSheetId="47">' Utfall 2021, SLUTLIG'!$A$1:$P$41</definedName>
    <definedName name="_xlnm.Print_Area" localSheetId="44">' Utfall 2022, 220206'!$A$1:$S$41</definedName>
    <definedName name="_xlnm.Print_Area" localSheetId="43">' Utfall 2022, 220411'!$A$1:$S$41</definedName>
    <definedName name="_xlnm.Print_Area" localSheetId="42">' Utfall 2022, 220516'!$A$1:$S$41</definedName>
    <definedName name="_xlnm.Print_Area" localSheetId="41">' Utfall 2022, 220615'!$A$1:$S$41</definedName>
    <definedName name="_xlnm.Print_Area" localSheetId="40">' Utfall 2022, 220818'!$A$1:$S$41</definedName>
    <definedName name="_xlnm.Print_Area" localSheetId="39">' Utfall 2022, 220920'!$A$1:$S$41</definedName>
    <definedName name="_xlnm.Print_Area" localSheetId="38">' Utfall 2022, 221109'!$A$1:$S$41</definedName>
    <definedName name="_xlnm.Print_Area" localSheetId="37">' Utfall 2022, 221231'!$A$1:$S$41</definedName>
    <definedName name="_xlnm.Print_Area" localSheetId="36">' Utfall 2022, SLUTLIG'!$A$1:$Q$41</definedName>
    <definedName name="_xlnm.Print_Area" localSheetId="33">' Utfall 2023, 230207'!$A$1:$T$41</definedName>
    <definedName name="_xlnm.Print_Area" localSheetId="32">' Utfall 2023, 230418'!$A$1:$T$41</definedName>
    <definedName name="_xlnm.Print_Area" localSheetId="31">' Utfall 2023, 230515'!$A$1:$T$41</definedName>
    <definedName name="_xlnm.Print_Area" localSheetId="30">' Utfall 2023, 230812'!$A$1:$T$41</definedName>
    <definedName name="_xlnm.Print_Area" localSheetId="29">' Utfall 2023, 230912'!$A$1:$T$41</definedName>
    <definedName name="_xlnm.Print_Area" localSheetId="28">' Utfall 2023, 230930'!$A$1:$T$41</definedName>
    <definedName name="_xlnm.Print_Area" localSheetId="27">' Utfall 2023, 231108'!$A$1:$T$41</definedName>
    <definedName name="_xlnm.Print_Area" localSheetId="26">' Utfall 2023, 231231'!$A$1:$T$41</definedName>
    <definedName name="_xlnm.Print_Area" localSheetId="25">' Utfall 2023, SLUTLIG'!$A$1:$R$41</definedName>
    <definedName name="_xlnm.Print_Area" localSheetId="22">' Utfall 2024, 240329'!$A$1:$U$41</definedName>
    <definedName name="_xlnm.Print_Area" localSheetId="21">' Utfall 2024, 240503'!$A$1:$U$41</definedName>
    <definedName name="_xlnm.Print_Area" localSheetId="20">' Utfall 2024, 240605'!$A$1:$U$41</definedName>
    <definedName name="_xlnm.Print_Area" localSheetId="19">' Utfall 2024, 240828'!$A$1:$U$41</definedName>
    <definedName name="_xlnm.Print_Area" localSheetId="18">' Utfall 2024, 240915'!$A$1:$U$41</definedName>
    <definedName name="_xlnm.Print_Area" localSheetId="17">' Utfall 2024, 240922'!$A$1:$U$41</definedName>
    <definedName name="_xlnm.Print_Area" localSheetId="16">' Utfall 2024, 241023'!$A$1:$U$41</definedName>
    <definedName name="_xlnm.Print_Area" localSheetId="15">' Utfall 2024, 241204'!$A$1:$U$41</definedName>
    <definedName name="_xlnm.Print_Area" localSheetId="14">' Utfall 2024, 241231'!$A$1:$U$41</definedName>
    <definedName name="_xlnm.Print_Area" localSheetId="13">' Utfall 2024, SLUTLIG'!$A$1:$S$41</definedName>
    <definedName name="_xlnm.Print_Area" localSheetId="9">' Utfall 2025, 250327'!$A$1:$V$43</definedName>
    <definedName name="_xlnm.Print_Area" localSheetId="8">' Utfall 2025, 250504'!$A$1:$V$43</definedName>
    <definedName name="_xlnm.Print_Area" localSheetId="7">' Utfall 2025, 250528'!$A$1:$V$43</definedName>
    <definedName name="_xlnm.Print_Area" localSheetId="6">' Utfall 2025, 250819'!$A$1:$V$43</definedName>
    <definedName name="_xlnm.Print_Area" localSheetId="5">' Utfall 2025, 250925'!$A$1:$V$43</definedName>
    <definedName name="_xlnm.Print_Area" localSheetId="4">' Utfall 2025, 251105'!$A$1:$V$43</definedName>
    <definedName name="_xlnm.Print_Area" localSheetId="3">' Utfall 2025, 251231'!$A$1:$V$43</definedName>
    <definedName name="_xlnm.Print_Area" localSheetId="2">' Utfall 2025, SLUTLIG'!$A$1:$T$43</definedName>
    <definedName name="_xlnm.Print_Area" localSheetId="107">' Utfall A-lag 2015'!$A$1:$K$40</definedName>
    <definedName name="_xlnm.Print_Area" localSheetId="93">' Utfall A-laget 2016'!$A$1:$L$41</definedName>
    <definedName name="_xlnm.Print_Area" localSheetId="132">'Budget 2014'!$A$1:$I$43</definedName>
    <definedName name="_xlnm.Print_Area" localSheetId="106">'Budget 2016'!$A$1:$K$40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35" i="153" l="1"/>
  <c r="S32" i="153"/>
  <c r="S29" i="153"/>
  <c r="S24" i="153"/>
  <c r="S23" i="153"/>
  <c r="S22" i="153"/>
  <c r="S20" i="153"/>
  <c r="S19" i="153"/>
  <c r="S36" i="153" s="1"/>
  <c r="S38" i="153" s="1"/>
  <c r="S42" i="153" s="1"/>
  <c r="S16" i="153"/>
  <c r="T36" i="153"/>
  <c r="P36" i="153"/>
  <c r="K36" i="153"/>
  <c r="H36" i="153"/>
  <c r="F36" i="153"/>
  <c r="R35" i="153"/>
  <c r="R36" i="153" s="1"/>
  <c r="Q35" i="153"/>
  <c r="Q36" i="153" s="1"/>
  <c r="O35" i="153"/>
  <c r="O36" i="153" s="1"/>
  <c r="N35" i="153"/>
  <c r="N36" i="153" s="1"/>
  <c r="L35" i="153"/>
  <c r="L36" i="153" s="1"/>
  <c r="L38" i="153" s="1"/>
  <c r="L42" i="153" s="1"/>
  <c r="J35" i="153"/>
  <c r="I35" i="153"/>
  <c r="G35" i="153"/>
  <c r="G36" i="153" s="1"/>
  <c r="E35" i="153"/>
  <c r="E36" i="153" s="1"/>
  <c r="D35" i="153"/>
  <c r="C35" i="153"/>
  <c r="B35" i="153"/>
  <c r="J34" i="153"/>
  <c r="J32" i="153"/>
  <c r="I32" i="153"/>
  <c r="D32" i="153"/>
  <c r="C32" i="153"/>
  <c r="J31" i="153"/>
  <c r="I31" i="153"/>
  <c r="D31" i="153"/>
  <c r="C31" i="153"/>
  <c r="B31" i="153"/>
  <c r="J30" i="153"/>
  <c r="J29" i="153"/>
  <c r="I29" i="153"/>
  <c r="J28" i="153"/>
  <c r="I28" i="153"/>
  <c r="J27" i="153"/>
  <c r="I27" i="153"/>
  <c r="C27" i="153"/>
  <c r="J26" i="153"/>
  <c r="I26" i="153"/>
  <c r="J25" i="153"/>
  <c r="I25" i="153"/>
  <c r="J24" i="153"/>
  <c r="I24" i="153"/>
  <c r="J23" i="153"/>
  <c r="I23" i="153"/>
  <c r="J22" i="153"/>
  <c r="I22" i="153"/>
  <c r="J21" i="153"/>
  <c r="I21" i="153"/>
  <c r="J20" i="153"/>
  <c r="I20" i="153"/>
  <c r="C20" i="153"/>
  <c r="C36" i="153" s="1"/>
  <c r="B20" i="153"/>
  <c r="B36" i="153" s="1"/>
  <c r="J19" i="153"/>
  <c r="I19" i="153"/>
  <c r="T16" i="153"/>
  <c r="R16" i="153"/>
  <c r="Q16" i="153"/>
  <c r="P16" i="153"/>
  <c r="O16" i="153"/>
  <c r="N16" i="153"/>
  <c r="L16" i="153"/>
  <c r="K16" i="153"/>
  <c r="H16" i="153"/>
  <c r="G16" i="153"/>
  <c r="D16" i="153"/>
  <c r="J15" i="153"/>
  <c r="I15" i="153"/>
  <c r="F15" i="153"/>
  <c r="F16" i="153" s="1"/>
  <c r="E15" i="153"/>
  <c r="E16" i="153" s="1"/>
  <c r="C15" i="153"/>
  <c r="B15" i="153"/>
  <c r="J13" i="153"/>
  <c r="J11" i="153"/>
  <c r="I11" i="153"/>
  <c r="J10" i="153"/>
  <c r="I10" i="153"/>
  <c r="J9" i="153"/>
  <c r="I9" i="153"/>
  <c r="J8" i="153"/>
  <c r="I8" i="153"/>
  <c r="C8" i="153"/>
  <c r="J7" i="153"/>
  <c r="I7" i="153"/>
  <c r="J6" i="153"/>
  <c r="I6" i="153"/>
  <c r="D6" i="153"/>
  <c r="C6" i="153"/>
  <c r="C16" i="153" s="1"/>
  <c r="B6" i="153"/>
  <c r="C17" i="152"/>
  <c r="D17" i="152"/>
  <c r="E17" i="152"/>
  <c r="D16" i="152"/>
  <c r="E30" i="152"/>
  <c r="C30" i="152"/>
  <c r="D29" i="152"/>
  <c r="D30" i="152" s="1"/>
  <c r="E26" i="152"/>
  <c r="C26" i="152"/>
  <c r="D25" i="152"/>
  <c r="D26" i="152" s="1"/>
  <c r="E13" i="152"/>
  <c r="C13" i="152"/>
  <c r="D12" i="152"/>
  <c r="D11" i="152"/>
  <c r="E8" i="152"/>
  <c r="E19" i="152" s="1"/>
  <c r="D8" i="152"/>
  <c r="C8" i="152"/>
  <c r="T36" i="151"/>
  <c r="K36" i="151"/>
  <c r="H36" i="151"/>
  <c r="F36" i="151"/>
  <c r="S35" i="151"/>
  <c r="R35" i="151"/>
  <c r="R36" i="151" s="1"/>
  <c r="Q35" i="151"/>
  <c r="Q36" i="151" s="1"/>
  <c r="O35" i="151"/>
  <c r="O36" i="151" s="1"/>
  <c r="N35" i="151"/>
  <c r="N36" i="151" s="1"/>
  <c r="M35" i="151"/>
  <c r="M36" i="151" s="1"/>
  <c r="L35" i="151"/>
  <c r="L36" i="151" s="1"/>
  <c r="J35" i="151"/>
  <c r="I35" i="151"/>
  <c r="G35" i="151"/>
  <c r="G36" i="151" s="1"/>
  <c r="E35" i="151"/>
  <c r="E36" i="151" s="1"/>
  <c r="D35" i="151"/>
  <c r="C35" i="151"/>
  <c r="B35" i="151"/>
  <c r="J34" i="151"/>
  <c r="J33" i="151"/>
  <c r="I33" i="151"/>
  <c r="D33" i="151"/>
  <c r="D36" i="151" s="1"/>
  <c r="C33" i="151"/>
  <c r="S32" i="151"/>
  <c r="J32" i="151"/>
  <c r="I32" i="151"/>
  <c r="D32" i="151"/>
  <c r="C32" i="151"/>
  <c r="J31" i="151"/>
  <c r="I31" i="151"/>
  <c r="D31" i="151"/>
  <c r="C31" i="151"/>
  <c r="B31" i="151"/>
  <c r="P30" i="151"/>
  <c r="J30" i="151"/>
  <c r="S29" i="151"/>
  <c r="P29" i="151"/>
  <c r="J29" i="151"/>
  <c r="I29" i="151"/>
  <c r="J28" i="151"/>
  <c r="I28" i="151"/>
  <c r="J27" i="151"/>
  <c r="I27" i="151"/>
  <c r="C27" i="151"/>
  <c r="J26" i="151"/>
  <c r="I26" i="151"/>
  <c r="J25" i="151"/>
  <c r="I25" i="151"/>
  <c r="S24" i="151"/>
  <c r="J24" i="151"/>
  <c r="I24" i="151"/>
  <c r="S23" i="151"/>
  <c r="J23" i="151"/>
  <c r="I23" i="151"/>
  <c r="S22" i="151"/>
  <c r="J22" i="151"/>
  <c r="I22" i="151"/>
  <c r="J21" i="151"/>
  <c r="I21" i="151"/>
  <c r="S20" i="151"/>
  <c r="J20" i="151"/>
  <c r="I20" i="151"/>
  <c r="S19" i="151"/>
  <c r="J19" i="151"/>
  <c r="I19" i="151"/>
  <c r="C19" i="151"/>
  <c r="B19" i="151"/>
  <c r="B36" i="151" s="1"/>
  <c r="T16" i="151"/>
  <c r="S16" i="151"/>
  <c r="R16" i="151"/>
  <c r="Q16" i="151"/>
  <c r="P16" i="151"/>
  <c r="O16" i="151"/>
  <c r="N16" i="151"/>
  <c r="M16" i="151"/>
  <c r="L16" i="151"/>
  <c r="K16" i="151"/>
  <c r="H16" i="151"/>
  <c r="G16" i="151"/>
  <c r="F16" i="151"/>
  <c r="J15" i="151"/>
  <c r="I15" i="151"/>
  <c r="F15" i="151"/>
  <c r="E15" i="151"/>
  <c r="E16" i="151" s="1"/>
  <c r="C15" i="151"/>
  <c r="B15" i="151"/>
  <c r="J13" i="151"/>
  <c r="J12" i="151"/>
  <c r="I12" i="151"/>
  <c r="J11" i="151"/>
  <c r="I11" i="151"/>
  <c r="J10" i="151"/>
  <c r="I10" i="151"/>
  <c r="J9" i="151"/>
  <c r="I9" i="151"/>
  <c r="J8" i="151"/>
  <c r="I8" i="151"/>
  <c r="C8" i="151"/>
  <c r="J7" i="151"/>
  <c r="I7" i="151"/>
  <c r="J6" i="151"/>
  <c r="I6" i="151"/>
  <c r="D6" i="151"/>
  <c r="D16" i="151" s="1"/>
  <c r="C6" i="151"/>
  <c r="B6" i="151"/>
  <c r="S35" i="150"/>
  <c r="T19" i="150"/>
  <c r="T36" i="150"/>
  <c r="S19" i="150"/>
  <c r="S20" i="150"/>
  <c r="S29" i="150"/>
  <c r="S24" i="150"/>
  <c r="S23" i="150"/>
  <c r="S22" i="150"/>
  <c r="U36" i="150"/>
  <c r="K36" i="150"/>
  <c r="K38" i="150" s="1"/>
  <c r="K42" i="150" s="1"/>
  <c r="H36" i="150"/>
  <c r="H38" i="150" s="1"/>
  <c r="H42" i="150" s="1"/>
  <c r="F36" i="150"/>
  <c r="F38" i="150" s="1"/>
  <c r="F42" i="150" s="1"/>
  <c r="R35" i="150"/>
  <c r="R36" i="150" s="1"/>
  <c r="R38" i="150" s="1"/>
  <c r="R42" i="150" s="1"/>
  <c r="Q35" i="150"/>
  <c r="Q36" i="150" s="1"/>
  <c r="Q38" i="150" s="1"/>
  <c r="Q42" i="150" s="1"/>
  <c r="O35" i="150"/>
  <c r="O36" i="150" s="1"/>
  <c r="O38" i="150" s="1"/>
  <c r="O42" i="150" s="1"/>
  <c r="N35" i="150"/>
  <c r="N36" i="150" s="1"/>
  <c r="N38" i="150" s="1"/>
  <c r="N42" i="150" s="1"/>
  <c r="M35" i="150"/>
  <c r="M36" i="150" s="1"/>
  <c r="M38" i="150" s="1"/>
  <c r="M42" i="150" s="1"/>
  <c r="L35" i="150"/>
  <c r="L36" i="150" s="1"/>
  <c r="L38" i="150" s="1"/>
  <c r="L42" i="150" s="1"/>
  <c r="J35" i="150"/>
  <c r="I35" i="150"/>
  <c r="G35" i="150"/>
  <c r="G36" i="150" s="1"/>
  <c r="G38" i="150" s="1"/>
  <c r="G42" i="150" s="1"/>
  <c r="E35" i="150"/>
  <c r="E36" i="150" s="1"/>
  <c r="E38" i="150" s="1"/>
  <c r="E42" i="150" s="1"/>
  <c r="D35" i="150"/>
  <c r="C35" i="150"/>
  <c r="B35" i="150"/>
  <c r="J34" i="150"/>
  <c r="J33" i="150"/>
  <c r="I33" i="150"/>
  <c r="D33" i="150"/>
  <c r="C33" i="150"/>
  <c r="S32" i="150"/>
  <c r="J32" i="150"/>
  <c r="I32" i="150"/>
  <c r="D32" i="150"/>
  <c r="C32" i="150"/>
  <c r="J31" i="150"/>
  <c r="I31" i="150"/>
  <c r="D31" i="150"/>
  <c r="D36" i="150" s="1"/>
  <c r="D38" i="150" s="1"/>
  <c r="D42" i="150" s="1"/>
  <c r="C31" i="150"/>
  <c r="B31" i="150"/>
  <c r="P30" i="150"/>
  <c r="J30" i="150"/>
  <c r="P29" i="150"/>
  <c r="P36" i="150" s="1"/>
  <c r="P38" i="150" s="1"/>
  <c r="P42" i="150" s="1"/>
  <c r="J29" i="150"/>
  <c r="I29" i="150"/>
  <c r="J28" i="150"/>
  <c r="I28" i="150"/>
  <c r="J27" i="150"/>
  <c r="I27" i="150"/>
  <c r="C27" i="150"/>
  <c r="J26" i="150"/>
  <c r="I26" i="150"/>
  <c r="J25" i="150"/>
  <c r="I25" i="150"/>
  <c r="J24" i="150"/>
  <c r="I24" i="150"/>
  <c r="J23" i="150"/>
  <c r="I23" i="150"/>
  <c r="J22" i="150"/>
  <c r="I22" i="150"/>
  <c r="J21" i="150"/>
  <c r="I21" i="150"/>
  <c r="J20" i="150"/>
  <c r="I20" i="150"/>
  <c r="J19" i="150"/>
  <c r="J36" i="150" s="1"/>
  <c r="J38" i="150" s="1"/>
  <c r="J42" i="150" s="1"/>
  <c r="I19" i="150"/>
  <c r="I36" i="150" s="1"/>
  <c r="C19" i="150"/>
  <c r="C36" i="150" s="1"/>
  <c r="B19" i="150"/>
  <c r="B36" i="150" s="1"/>
  <c r="U16" i="150"/>
  <c r="U38" i="150" s="1"/>
  <c r="U42" i="150" s="1"/>
  <c r="T16" i="150"/>
  <c r="S16" i="150"/>
  <c r="R16" i="150"/>
  <c r="Q16" i="150"/>
  <c r="P16" i="150"/>
  <c r="O16" i="150"/>
  <c r="N16" i="150"/>
  <c r="M16" i="150"/>
  <c r="L16" i="150"/>
  <c r="K16" i="150"/>
  <c r="H16" i="150"/>
  <c r="G16" i="150"/>
  <c r="F16" i="150"/>
  <c r="D16" i="150"/>
  <c r="J15" i="150"/>
  <c r="I15" i="150"/>
  <c r="F15" i="150"/>
  <c r="E15" i="150"/>
  <c r="E16" i="150" s="1"/>
  <c r="C15" i="150"/>
  <c r="B15" i="150"/>
  <c r="J13" i="150"/>
  <c r="J12" i="150"/>
  <c r="I12" i="150"/>
  <c r="J11" i="150"/>
  <c r="I11" i="150"/>
  <c r="J10" i="150"/>
  <c r="I10" i="150"/>
  <c r="J9" i="150"/>
  <c r="I9" i="150"/>
  <c r="J8" i="150"/>
  <c r="I8" i="150"/>
  <c r="I16" i="150" s="1"/>
  <c r="C8" i="150"/>
  <c r="J7" i="150"/>
  <c r="I7" i="150"/>
  <c r="J6" i="150"/>
  <c r="J16" i="150" s="1"/>
  <c r="I6" i="150"/>
  <c r="D6" i="150"/>
  <c r="C6" i="150"/>
  <c r="C16" i="150" s="1"/>
  <c r="B6" i="150"/>
  <c r="B16" i="150" s="1"/>
  <c r="S23" i="149"/>
  <c r="S19" i="149"/>
  <c r="S32" i="149"/>
  <c r="S29" i="149"/>
  <c r="S24" i="149"/>
  <c r="S22" i="149"/>
  <c r="U36" i="149"/>
  <c r="T36" i="149"/>
  <c r="K36" i="149"/>
  <c r="K38" i="149" s="1"/>
  <c r="K42" i="149" s="1"/>
  <c r="H36" i="149"/>
  <c r="H38" i="149" s="1"/>
  <c r="H42" i="149" s="1"/>
  <c r="G36" i="149"/>
  <c r="G38" i="149" s="1"/>
  <c r="G42" i="149" s="1"/>
  <c r="F36" i="149"/>
  <c r="F38" i="149" s="1"/>
  <c r="F42" i="149" s="1"/>
  <c r="B36" i="149"/>
  <c r="B38" i="149" s="1"/>
  <c r="B42" i="149" s="1"/>
  <c r="S35" i="149"/>
  <c r="R35" i="149"/>
  <c r="R36" i="149" s="1"/>
  <c r="R38" i="149" s="1"/>
  <c r="R42" i="149" s="1"/>
  <c r="Q35" i="149"/>
  <c r="Q36" i="149" s="1"/>
  <c r="Q38" i="149" s="1"/>
  <c r="Q42" i="149" s="1"/>
  <c r="O35" i="149"/>
  <c r="O36" i="149" s="1"/>
  <c r="O38" i="149" s="1"/>
  <c r="O42" i="149" s="1"/>
  <c r="N35" i="149"/>
  <c r="N36" i="149" s="1"/>
  <c r="N38" i="149" s="1"/>
  <c r="N42" i="149" s="1"/>
  <c r="M35" i="149"/>
  <c r="M36" i="149" s="1"/>
  <c r="M38" i="149" s="1"/>
  <c r="M42" i="149" s="1"/>
  <c r="L35" i="149"/>
  <c r="L36" i="149" s="1"/>
  <c r="L38" i="149" s="1"/>
  <c r="L42" i="149" s="1"/>
  <c r="J35" i="149"/>
  <c r="I35" i="149"/>
  <c r="G35" i="149"/>
  <c r="E35" i="149"/>
  <c r="E36" i="149" s="1"/>
  <c r="E38" i="149" s="1"/>
  <c r="E42" i="149" s="1"/>
  <c r="D35" i="149"/>
  <c r="C35" i="149"/>
  <c r="B35" i="149"/>
  <c r="J34" i="149"/>
  <c r="J33" i="149"/>
  <c r="I33" i="149"/>
  <c r="D33" i="149"/>
  <c r="C33" i="149"/>
  <c r="J32" i="149"/>
  <c r="I32" i="149"/>
  <c r="D32" i="149"/>
  <c r="C32" i="149"/>
  <c r="J31" i="149"/>
  <c r="I31" i="149"/>
  <c r="D31" i="149"/>
  <c r="D36" i="149" s="1"/>
  <c r="C31" i="149"/>
  <c r="B31" i="149"/>
  <c r="P30" i="149"/>
  <c r="J30" i="149"/>
  <c r="P29" i="149"/>
  <c r="P36" i="149" s="1"/>
  <c r="P38" i="149" s="1"/>
  <c r="P42" i="149" s="1"/>
  <c r="J29" i="149"/>
  <c r="I29" i="149"/>
  <c r="J28" i="149"/>
  <c r="I28" i="149"/>
  <c r="J27" i="149"/>
  <c r="I27" i="149"/>
  <c r="C27" i="149"/>
  <c r="C36" i="149" s="1"/>
  <c r="C38" i="149" s="1"/>
  <c r="C42" i="149" s="1"/>
  <c r="J26" i="149"/>
  <c r="I26" i="149"/>
  <c r="J25" i="149"/>
  <c r="I25" i="149"/>
  <c r="J24" i="149"/>
  <c r="I24" i="149"/>
  <c r="J23" i="149"/>
  <c r="I23" i="149"/>
  <c r="J22" i="149"/>
  <c r="I22" i="149"/>
  <c r="J21" i="149"/>
  <c r="I21" i="149"/>
  <c r="J20" i="149"/>
  <c r="I20" i="149"/>
  <c r="J19" i="149"/>
  <c r="J36" i="149" s="1"/>
  <c r="I19" i="149"/>
  <c r="I36" i="149" s="1"/>
  <c r="I38" i="149" s="1"/>
  <c r="I42" i="149" s="1"/>
  <c r="C19" i="149"/>
  <c r="B19" i="149"/>
  <c r="U16" i="149"/>
  <c r="U38" i="149" s="1"/>
  <c r="U42" i="149" s="1"/>
  <c r="T16" i="149"/>
  <c r="S16" i="149"/>
  <c r="R16" i="149"/>
  <c r="Q16" i="149"/>
  <c r="P16" i="149"/>
  <c r="O16" i="149"/>
  <c r="N16" i="149"/>
  <c r="M16" i="149"/>
  <c r="L16" i="149"/>
  <c r="K16" i="149"/>
  <c r="H16" i="149"/>
  <c r="G16" i="149"/>
  <c r="F16" i="149"/>
  <c r="E16" i="149"/>
  <c r="J15" i="149"/>
  <c r="I15" i="149"/>
  <c r="F15" i="149"/>
  <c r="E15" i="149"/>
  <c r="C15" i="149"/>
  <c r="B15" i="149"/>
  <c r="J13" i="149"/>
  <c r="J12" i="149"/>
  <c r="I12" i="149"/>
  <c r="J11" i="149"/>
  <c r="I11" i="149"/>
  <c r="J10" i="149"/>
  <c r="I10" i="149"/>
  <c r="J9" i="149"/>
  <c r="I9" i="149"/>
  <c r="J8" i="149"/>
  <c r="J16" i="149" s="1"/>
  <c r="I8" i="149"/>
  <c r="I16" i="149" s="1"/>
  <c r="C8" i="149"/>
  <c r="J7" i="149"/>
  <c r="I7" i="149"/>
  <c r="J6" i="149"/>
  <c r="I6" i="149"/>
  <c r="D6" i="149"/>
  <c r="D16" i="149" s="1"/>
  <c r="C6" i="149"/>
  <c r="C16" i="149" s="1"/>
  <c r="B6" i="149"/>
  <c r="B16" i="149" s="1"/>
  <c r="S24" i="148"/>
  <c r="S19" i="148"/>
  <c r="S29" i="148"/>
  <c r="S32" i="148"/>
  <c r="S35" i="148"/>
  <c r="T38" i="153" l="1"/>
  <c r="T42" i="153" s="1"/>
  <c r="I16" i="153"/>
  <c r="J36" i="153"/>
  <c r="J38" i="153" s="1"/>
  <c r="J42" i="153" s="1"/>
  <c r="H38" i="153"/>
  <c r="H42" i="153" s="1"/>
  <c r="J16" i="153"/>
  <c r="K38" i="153"/>
  <c r="K42" i="153" s="1"/>
  <c r="D36" i="153"/>
  <c r="D38" i="153" s="1"/>
  <c r="D42" i="153" s="1"/>
  <c r="N38" i="153"/>
  <c r="N42" i="153" s="1"/>
  <c r="O38" i="153"/>
  <c r="O42" i="153" s="1"/>
  <c r="P38" i="153"/>
  <c r="P42" i="153" s="1"/>
  <c r="B16" i="153"/>
  <c r="Q38" i="153"/>
  <c r="Q42" i="153" s="1"/>
  <c r="E38" i="153"/>
  <c r="E42" i="153" s="1"/>
  <c r="R38" i="153"/>
  <c r="R42" i="153" s="1"/>
  <c r="I36" i="153"/>
  <c r="I38" i="153" s="1"/>
  <c r="I42" i="153" s="1"/>
  <c r="G38" i="153"/>
  <c r="G42" i="153" s="1"/>
  <c r="F38" i="153"/>
  <c r="F42" i="153" s="1"/>
  <c r="B38" i="153"/>
  <c r="B42" i="153" s="1"/>
  <c r="C38" i="153"/>
  <c r="C42" i="153" s="1"/>
  <c r="E32" i="152"/>
  <c r="C32" i="152"/>
  <c r="C19" i="152"/>
  <c r="D19" i="152" s="1"/>
  <c r="D13" i="152"/>
  <c r="D32" i="152"/>
  <c r="T38" i="151"/>
  <c r="T42" i="151" s="1"/>
  <c r="G38" i="151"/>
  <c r="G42" i="151" s="1"/>
  <c r="F38" i="151"/>
  <c r="F42" i="151" s="1"/>
  <c r="Q38" i="151"/>
  <c r="Q42" i="151" s="1"/>
  <c r="L38" i="151"/>
  <c r="L42" i="151" s="1"/>
  <c r="J16" i="151"/>
  <c r="B16" i="151"/>
  <c r="B38" i="151" s="1"/>
  <c r="B42" i="151" s="1"/>
  <c r="D38" i="151"/>
  <c r="D42" i="151" s="1"/>
  <c r="H38" i="151"/>
  <c r="H42" i="151" s="1"/>
  <c r="S36" i="151"/>
  <c r="S38" i="151" s="1"/>
  <c r="S42" i="151" s="1"/>
  <c r="C36" i="151"/>
  <c r="J36" i="151"/>
  <c r="P36" i="151"/>
  <c r="P38" i="151" s="1"/>
  <c r="P42" i="151" s="1"/>
  <c r="M38" i="151"/>
  <c r="M42" i="151" s="1"/>
  <c r="K38" i="151"/>
  <c r="K42" i="151" s="1"/>
  <c r="C16" i="151"/>
  <c r="C38" i="151" s="1"/>
  <c r="C42" i="151" s="1"/>
  <c r="I36" i="151"/>
  <c r="N38" i="151"/>
  <c r="N42" i="151" s="1"/>
  <c r="O38" i="151"/>
  <c r="O42" i="151" s="1"/>
  <c r="R38" i="151"/>
  <c r="R42" i="151" s="1"/>
  <c r="I16" i="151"/>
  <c r="E38" i="151"/>
  <c r="E42" i="151" s="1"/>
  <c r="T38" i="150"/>
  <c r="T42" i="150" s="1"/>
  <c r="S36" i="150"/>
  <c r="S38" i="150" s="1"/>
  <c r="S42" i="150" s="1"/>
  <c r="B38" i="150"/>
  <c r="B42" i="150" s="1"/>
  <c r="C38" i="150"/>
  <c r="C42" i="150" s="1"/>
  <c r="I38" i="150"/>
  <c r="I42" i="150" s="1"/>
  <c r="T38" i="149"/>
  <c r="T42" i="149" s="1"/>
  <c r="S36" i="149"/>
  <c r="S38" i="149" s="1"/>
  <c r="S42" i="149" s="1"/>
  <c r="D38" i="149"/>
  <c r="D42" i="149" s="1"/>
  <c r="J38" i="149"/>
  <c r="J42" i="149" s="1"/>
  <c r="U36" i="148"/>
  <c r="T36" i="148"/>
  <c r="R36" i="148"/>
  <c r="R38" i="148" s="1"/>
  <c r="R42" i="148" s="1"/>
  <c r="Q36" i="148"/>
  <c r="Q38" i="148" s="1"/>
  <c r="Q42" i="148" s="1"/>
  <c r="K36" i="148"/>
  <c r="K38" i="148" s="1"/>
  <c r="K42" i="148" s="1"/>
  <c r="H36" i="148"/>
  <c r="F36" i="148"/>
  <c r="B36" i="148"/>
  <c r="B38" i="148" s="1"/>
  <c r="B42" i="148" s="1"/>
  <c r="R35" i="148"/>
  <c r="Q35" i="148"/>
  <c r="O35" i="148"/>
  <c r="O36" i="148" s="1"/>
  <c r="O38" i="148" s="1"/>
  <c r="O42" i="148" s="1"/>
  <c r="N35" i="148"/>
  <c r="N36" i="148" s="1"/>
  <c r="N38" i="148" s="1"/>
  <c r="N42" i="148" s="1"/>
  <c r="M35" i="148"/>
  <c r="M36" i="148" s="1"/>
  <c r="M38" i="148" s="1"/>
  <c r="M42" i="148" s="1"/>
  <c r="L35" i="148"/>
  <c r="L36" i="148" s="1"/>
  <c r="L38" i="148" s="1"/>
  <c r="L42" i="148" s="1"/>
  <c r="J35" i="148"/>
  <c r="I35" i="148"/>
  <c r="G35" i="148"/>
  <c r="G36" i="148" s="1"/>
  <c r="G38" i="148" s="1"/>
  <c r="G42" i="148" s="1"/>
  <c r="E35" i="148"/>
  <c r="E36" i="148" s="1"/>
  <c r="E38" i="148" s="1"/>
  <c r="E42" i="148" s="1"/>
  <c r="D35" i="148"/>
  <c r="C35" i="148"/>
  <c r="B35" i="148"/>
  <c r="J34" i="148"/>
  <c r="J33" i="148"/>
  <c r="I33" i="148"/>
  <c r="D33" i="148"/>
  <c r="C33" i="148"/>
  <c r="J32" i="148"/>
  <c r="I32" i="148"/>
  <c r="D32" i="148"/>
  <c r="C32" i="148"/>
  <c r="J31" i="148"/>
  <c r="I31" i="148"/>
  <c r="D31" i="148"/>
  <c r="D36" i="148" s="1"/>
  <c r="D38" i="148" s="1"/>
  <c r="D42" i="148" s="1"/>
  <c r="C31" i="148"/>
  <c r="B31" i="148"/>
  <c r="P30" i="148"/>
  <c r="J30" i="148"/>
  <c r="P29" i="148"/>
  <c r="P36" i="148" s="1"/>
  <c r="P38" i="148" s="1"/>
  <c r="P42" i="148" s="1"/>
  <c r="J29" i="148"/>
  <c r="I29" i="148"/>
  <c r="J28" i="148"/>
  <c r="I28" i="148"/>
  <c r="J27" i="148"/>
  <c r="I27" i="148"/>
  <c r="C27" i="148"/>
  <c r="J26" i="148"/>
  <c r="I26" i="148"/>
  <c r="J25" i="148"/>
  <c r="I25" i="148"/>
  <c r="J24" i="148"/>
  <c r="I24" i="148"/>
  <c r="J23" i="148"/>
  <c r="I23" i="148"/>
  <c r="S22" i="148"/>
  <c r="J22" i="148"/>
  <c r="J36" i="148" s="1"/>
  <c r="J38" i="148" s="1"/>
  <c r="J42" i="148" s="1"/>
  <c r="I22" i="148"/>
  <c r="J21" i="148"/>
  <c r="I21" i="148"/>
  <c r="J20" i="148"/>
  <c r="I20" i="148"/>
  <c r="S36" i="148"/>
  <c r="J19" i="148"/>
  <c r="I19" i="148"/>
  <c r="I36" i="148" s="1"/>
  <c r="I38" i="148" s="1"/>
  <c r="I42" i="148" s="1"/>
  <c r="C19" i="148"/>
  <c r="C36" i="148" s="1"/>
  <c r="B19" i="148"/>
  <c r="U16" i="148"/>
  <c r="U38" i="148" s="1"/>
  <c r="U42" i="148" s="1"/>
  <c r="T16" i="148"/>
  <c r="S16" i="148"/>
  <c r="R16" i="148"/>
  <c r="Q16" i="148"/>
  <c r="P16" i="148"/>
  <c r="O16" i="148"/>
  <c r="N16" i="148"/>
  <c r="M16" i="148"/>
  <c r="L16" i="148"/>
  <c r="K16" i="148"/>
  <c r="H16" i="148"/>
  <c r="H38" i="148" s="1"/>
  <c r="H42" i="148" s="1"/>
  <c r="G16" i="148"/>
  <c r="D16" i="148"/>
  <c r="J15" i="148"/>
  <c r="I15" i="148"/>
  <c r="F15" i="148"/>
  <c r="F16" i="148" s="1"/>
  <c r="F38" i="148" s="1"/>
  <c r="F42" i="148" s="1"/>
  <c r="E15" i="148"/>
  <c r="E16" i="148" s="1"/>
  <c r="C15" i="148"/>
  <c r="B15" i="148"/>
  <c r="J13" i="148"/>
  <c r="J12" i="148"/>
  <c r="I12" i="148"/>
  <c r="J11" i="148"/>
  <c r="I11" i="148"/>
  <c r="J10" i="148"/>
  <c r="I10" i="148"/>
  <c r="J9" i="148"/>
  <c r="I9" i="148"/>
  <c r="J8" i="148"/>
  <c r="I8" i="148"/>
  <c r="I16" i="148" s="1"/>
  <c r="C8" i="148"/>
  <c r="J7" i="148"/>
  <c r="I7" i="148"/>
  <c r="J6" i="148"/>
  <c r="J16" i="148" s="1"/>
  <c r="I6" i="148"/>
  <c r="D6" i="148"/>
  <c r="C6" i="148"/>
  <c r="C16" i="148" s="1"/>
  <c r="B6" i="148"/>
  <c r="B16" i="148" s="1"/>
  <c r="S35" i="147"/>
  <c r="S19" i="147"/>
  <c r="Q38" i="147"/>
  <c r="Q42" i="147" s="1"/>
  <c r="H38" i="147"/>
  <c r="H42" i="147" s="1"/>
  <c r="U36" i="147"/>
  <c r="T36" i="147"/>
  <c r="R36" i="147"/>
  <c r="R38" i="147" s="1"/>
  <c r="R42" i="147" s="1"/>
  <c r="Q36" i="147"/>
  <c r="L36" i="147"/>
  <c r="L38" i="147" s="1"/>
  <c r="L42" i="147" s="1"/>
  <c r="K36" i="147"/>
  <c r="K38" i="147" s="1"/>
  <c r="K42" i="147" s="1"/>
  <c r="H36" i="147"/>
  <c r="F36" i="147"/>
  <c r="E36" i="147"/>
  <c r="R35" i="147"/>
  <c r="Q35" i="147"/>
  <c r="O35" i="147"/>
  <c r="O36" i="147" s="1"/>
  <c r="O38" i="147" s="1"/>
  <c r="O42" i="147" s="1"/>
  <c r="N35" i="147"/>
  <c r="N36" i="147" s="1"/>
  <c r="N38" i="147" s="1"/>
  <c r="N42" i="147" s="1"/>
  <c r="M35" i="147"/>
  <c r="M36" i="147" s="1"/>
  <c r="M38" i="147" s="1"/>
  <c r="M42" i="147" s="1"/>
  <c r="L35" i="147"/>
  <c r="J35" i="147"/>
  <c r="I35" i="147"/>
  <c r="G35" i="147"/>
  <c r="G36" i="147" s="1"/>
  <c r="G38" i="147" s="1"/>
  <c r="G42" i="147" s="1"/>
  <c r="E35" i="147"/>
  <c r="D35" i="147"/>
  <c r="C35" i="147"/>
  <c r="B35" i="147"/>
  <c r="B36" i="147" s="1"/>
  <c r="B38" i="147" s="1"/>
  <c r="B42" i="147" s="1"/>
  <c r="J34" i="147"/>
  <c r="J33" i="147"/>
  <c r="I33" i="147"/>
  <c r="D33" i="147"/>
  <c r="C33" i="147"/>
  <c r="J32" i="147"/>
  <c r="I32" i="147"/>
  <c r="D32" i="147"/>
  <c r="D36" i="147" s="1"/>
  <c r="D38" i="147" s="1"/>
  <c r="D42" i="147" s="1"/>
  <c r="C32" i="147"/>
  <c r="J31" i="147"/>
  <c r="I31" i="147"/>
  <c r="D31" i="147"/>
  <c r="C31" i="147"/>
  <c r="B31" i="147"/>
  <c r="P30" i="147"/>
  <c r="P36" i="147" s="1"/>
  <c r="P38" i="147" s="1"/>
  <c r="P42" i="147" s="1"/>
  <c r="J30" i="147"/>
  <c r="P29" i="147"/>
  <c r="J29" i="147"/>
  <c r="I29" i="147"/>
  <c r="J28" i="147"/>
  <c r="I28" i="147"/>
  <c r="J27" i="147"/>
  <c r="I27" i="147"/>
  <c r="C27" i="147"/>
  <c r="J26" i="147"/>
  <c r="I26" i="147"/>
  <c r="J25" i="147"/>
  <c r="I25" i="147"/>
  <c r="J24" i="147"/>
  <c r="I24" i="147"/>
  <c r="J23" i="147"/>
  <c r="I23" i="147"/>
  <c r="S22" i="147"/>
  <c r="J22" i="147"/>
  <c r="J36" i="147" s="1"/>
  <c r="I22" i="147"/>
  <c r="J21" i="147"/>
  <c r="I21" i="147"/>
  <c r="J20" i="147"/>
  <c r="I20" i="147"/>
  <c r="J19" i="147"/>
  <c r="I19" i="147"/>
  <c r="I36" i="147" s="1"/>
  <c r="I38" i="147" s="1"/>
  <c r="I42" i="147" s="1"/>
  <c r="C19" i="147"/>
  <c r="C36" i="147" s="1"/>
  <c r="C38" i="147" s="1"/>
  <c r="C42" i="147" s="1"/>
  <c r="B19" i="147"/>
  <c r="U16" i="147"/>
  <c r="U38" i="147" s="1"/>
  <c r="U42" i="147" s="1"/>
  <c r="T16" i="147"/>
  <c r="S16" i="147"/>
  <c r="R16" i="147"/>
  <c r="Q16" i="147"/>
  <c r="P16" i="147"/>
  <c r="O16" i="147"/>
  <c r="N16" i="147"/>
  <c r="M16" i="147"/>
  <c r="L16" i="147"/>
  <c r="K16" i="147"/>
  <c r="H16" i="147"/>
  <c r="G16" i="147"/>
  <c r="B16" i="147"/>
  <c r="J15" i="147"/>
  <c r="I15" i="147"/>
  <c r="F15" i="147"/>
  <c r="F16" i="147" s="1"/>
  <c r="F38" i="147" s="1"/>
  <c r="F42" i="147" s="1"/>
  <c r="E15" i="147"/>
  <c r="E16" i="147" s="1"/>
  <c r="C15" i="147"/>
  <c r="B15" i="147"/>
  <c r="J13" i="147"/>
  <c r="J12" i="147"/>
  <c r="I12" i="147"/>
  <c r="J11" i="147"/>
  <c r="I11" i="147"/>
  <c r="J10" i="147"/>
  <c r="I10" i="147"/>
  <c r="J9" i="147"/>
  <c r="I9" i="147"/>
  <c r="J8" i="147"/>
  <c r="J16" i="147" s="1"/>
  <c r="I8" i="147"/>
  <c r="C8" i="147"/>
  <c r="C16" i="147" s="1"/>
  <c r="J7" i="147"/>
  <c r="I7" i="147"/>
  <c r="J6" i="147"/>
  <c r="I6" i="147"/>
  <c r="I16" i="147" s="1"/>
  <c r="D6" i="147"/>
  <c r="D16" i="147" s="1"/>
  <c r="C6" i="147"/>
  <c r="B6" i="147"/>
  <c r="S36" i="146"/>
  <c r="P36" i="146"/>
  <c r="P38" i="146" s="1"/>
  <c r="P42" i="146" s="1"/>
  <c r="O36" i="146"/>
  <c r="O38" i="146" s="1"/>
  <c r="O42" i="146" s="1"/>
  <c r="K36" i="146"/>
  <c r="K38" i="146" s="1"/>
  <c r="K42" i="146" s="1"/>
  <c r="H36" i="146"/>
  <c r="H38" i="146" s="1"/>
  <c r="H42" i="146" s="1"/>
  <c r="G36" i="146"/>
  <c r="G38" i="146" s="1"/>
  <c r="G42" i="146" s="1"/>
  <c r="F36" i="146"/>
  <c r="F38" i="146" s="1"/>
  <c r="F42" i="146" s="1"/>
  <c r="R35" i="146"/>
  <c r="R36" i="146" s="1"/>
  <c r="R38" i="146" s="1"/>
  <c r="R42" i="146" s="1"/>
  <c r="Q35" i="146"/>
  <c r="Q36" i="146" s="1"/>
  <c r="Q38" i="146" s="1"/>
  <c r="Q42" i="146" s="1"/>
  <c r="O35" i="146"/>
  <c r="N35" i="146"/>
  <c r="N36" i="146" s="1"/>
  <c r="N38" i="146" s="1"/>
  <c r="N42" i="146" s="1"/>
  <c r="L35" i="146"/>
  <c r="L36" i="146" s="1"/>
  <c r="L38" i="146" s="1"/>
  <c r="L42" i="146" s="1"/>
  <c r="J35" i="146"/>
  <c r="I35" i="146"/>
  <c r="G35" i="146"/>
  <c r="E35" i="146"/>
  <c r="E36" i="146" s="1"/>
  <c r="D35" i="146"/>
  <c r="C35" i="146"/>
  <c r="B35" i="146"/>
  <c r="J34" i="146"/>
  <c r="J32" i="146"/>
  <c r="I32" i="146"/>
  <c r="D32" i="146"/>
  <c r="C32" i="146"/>
  <c r="J31" i="146"/>
  <c r="I31" i="146"/>
  <c r="D31" i="146"/>
  <c r="D36" i="146" s="1"/>
  <c r="C31" i="146"/>
  <c r="B31" i="146"/>
  <c r="J30" i="146"/>
  <c r="J29" i="146"/>
  <c r="I29" i="146"/>
  <c r="J28" i="146"/>
  <c r="I28" i="146"/>
  <c r="J27" i="146"/>
  <c r="I27" i="146"/>
  <c r="C27" i="146"/>
  <c r="J26" i="146"/>
  <c r="I26" i="146"/>
  <c r="J25" i="146"/>
  <c r="I25" i="146"/>
  <c r="J24" i="146"/>
  <c r="I24" i="146"/>
  <c r="J23" i="146"/>
  <c r="I23" i="146"/>
  <c r="J22" i="146"/>
  <c r="I22" i="146"/>
  <c r="J21" i="146"/>
  <c r="I21" i="146"/>
  <c r="J20" i="146"/>
  <c r="I20" i="146"/>
  <c r="I36" i="146" s="1"/>
  <c r="C20" i="146"/>
  <c r="C36" i="146" s="1"/>
  <c r="C38" i="146" s="1"/>
  <c r="C42" i="146" s="1"/>
  <c r="B20" i="146"/>
  <c r="B36" i="146" s="1"/>
  <c r="B38" i="146" s="1"/>
  <c r="B42" i="146" s="1"/>
  <c r="J19" i="146"/>
  <c r="J36" i="146" s="1"/>
  <c r="J38" i="146" s="1"/>
  <c r="J42" i="146" s="1"/>
  <c r="I19" i="146"/>
  <c r="S16" i="146"/>
  <c r="S38" i="146" s="1"/>
  <c r="S42" i="146" s="1"/>
  <c r="R16" i="146"/>
  <c r="Q16" i="146"/>
  <c r="P16" i="146"/>
  <c r="O16" i="146"/>
  <c r="N16" i="146"/>
  <c r="L16" i="146"/>
  <c r="K16" i="146"/>
  <c r="H16" i="146"/>
  <c r="G16" i="146"/>
  <c r="B16" i="146"/>
  <c r="J15" i="146"/>
  <c r="I15" i="146"/>
  <c r="F15" i="146"/>
  <c r="F16" i="146" s="1"/>
  <c r="E15" i="146"/>
  <c r="E16" i="146" s="1"/>
  <c r="C15" i="146"/>
  <c r="B15" i="146"/>
  <c r="J13" i="146"/>
  <c r="J11" i="146"/>
  <c r="I11" i="146"/>
  <c r="J10" i="146"/>
  <c r="I10" i="146"/>
  <c r="J9" i="146"/>
  <c r="I9" i="146"/>
  <c r="J8" i="146"/>
  <c r="I8" i="146"/>
  <c r="C8" i="146"/>
  <c r="C16" i="146" s="1"/>
  <c r="J7" i="146"/>
  <c r="I7" i="146"/>
  <c r="I16" i="146" s="1"/>
  <c r="J6" i="146"/>
  <c r="J16" i="146" s="1"/>
  <c r="I6" i="146"/>
  <c r="D6" i="146"/>
  <c r="D16" i="146" s="1"/>
  <c r="C6" i="146"/>
  <c r="B6" i="146"/>
  <c r="J38" i="151" l="1"/>
  <c r="J42" i="151" s="1"/>
  <c r="I38" i="151"/>
  <c r="I42" i="151" s="1"/>
  <c r="T38" i="148"/>
  <c r="T42" i="148" s="1"/>
  <c r="S38" i="148"/>
  <c r="S42" i="148" s="1"/>
  <c r="C38" i="148"/>
  <c r="C42" i="148" s="1"/>
  <c r="T38" i="147"/>
  <c r="T42" i="147" s="1"/>
  <c r="S36" i="147"/>
  <c r="S38" i="147" s="1"/>
  <c r="S42" i="147" s="1"/>
  <c r="J38" i="147"/>
  <c r="J42" i="147" s="1"/>
  <c r="E38" i="147"/>
  <c r="E42" i="147" s="1"/>
  <c r="E38" i="146"/>
  <c r="E42" i="146" s="1"/>
  <c r="D38" i="146"/>
  <c r="D42" i="146" s="1"/>
  <c r="I38" i="146"/>
  <c r="I42" i="146" s="1"/>
  <c r="S19" i="145" l="1"/>
  <c r="S7" i="145"/>
  <c r="S35" i="145"/>
  <c r="S22" i="145"/>
  <c r="U36" i="145"/>
  <c r="T36" i="145"/>
  <c r="L36" i="145"/>
  <c r="L38" i="145" s="1"/>
  <c r="L42" i="145" s="1"/>
  <c r="K36" i="145"/>
  <c r="K38" i="145" s="1"/>
  <c r="K42" i="145" s="1"/>
  <c r="H36" i="145"/>
  <c r="H38" i="145" s="1"/>
  <c r="H42" i="145" s="1"/>
  <c r="F36" i="145"/>
  <c r="F38" i="145" s="1"/>
  <c r="F42" i="145" s="1"/>
  <c r="R35" i="145"/>
  <c r="R36" i="145" s="1"/>
  <c r="R38" i="145" s="1"/>
  <c r="R42" i="145" s="1"/>
  <c r="Q35" i="145"/>
  <c r="Q36" i="145" s="1"/>
  <c r="Q38" i="145" s="1"/>
  <c r="Q42" i="145" s="1"/>
  <c r="O35" i="145"/>
  <c r="O36" i="145" s="1"/>
  <c r="O38" i="145" s="1"/>
  <c r="O42" i="145" s="1"/>
  <c r="N35" i="145"/>
  <c r="N36" i="145" s="1"/>
  <c r="N38" i="145" s="1"/>
  <c r="N42" i="145" s="1"/>
  <c r="M35" i="145"/>
  <c r="M36" i="145" s="1"/>
  <c r="M38" i="145" s="1"/>
  <c r="M42" i="145" s="1"/>
  <c r="L35" i="145"/>
  <c r="J35" i="145"/>
  <c r="I35" i="145"/>
  <c r="G35" i="145"/>
  <c r="G36" i="145" s="1"/>
  <c r="G38" i="145" s="1"/>
  <c r="G42" i="145" s="1"/>
  <c r="E35" i="145"/>
  <c r="E36" i="145" s="1"/>
  <c r="D35" i="145"/>
  <c r="C35" i="145"/>
  <c r="B35" i="145"/>
  <c r="J34" i="145"/>
  <c r="J33" i="145"/>
  <c r="I33" i="145"/>
  <c r="D33" i="145"/>
  <c r="C33" i="145"/>
  <c r="J32" i="145"/>
  <c r="I32" i="145"/>
  <c r="D32" i="145"/>
  <c r="C32" i="145"/>
  <c r="J31" i="145"/>
  <c r="I31" i="145"/>
  <c r="D31" i="145"/>
  <c r="D36" i="145" s="1"/>
  <c r="D38" i="145" s="1"/>
  <c r="D42" i="145" s="1"/>
  <c r="C31" i="145"/>
  <c r="B31" i="145"/>
  <c r="P30" i="145"/>
  <c r="J30" i="145"/>
  <c r="P29" i="145"/>
  <c r="P36" i="145" s="1"/>
  <c r="P38" i="145" s="1"/>
  <c r="P42" i="145" s="1"/>
  <c r="J29" i="145"/>
  <c r="I29" i="145"/>
  <c r="J28" i="145"/>
  <c r="I28" i="145"/>
  <c r="J27" i="145"/>
  <c r="I27" i="145"/>
  <c r="C27" i="145"/>
  <c r="J26" i="145"/>
  <c r="I26" i="145"/>
  <c r="J25" i="145"/>
  <c r="I25" i="145"/>
  <c r="J24" i="145"/>
  <c r="I24" i="145"/>
  <c r="J23" i="145"/>
  <c r="I23" i="145"/>
  <c r="J22" i="145"/>
  <c r="I22" i="145"/>
  <c r="J21" i="145"/>
  <c r="I21" i="145"/>
  <c r="J20" i="145"/>
  <c r="I20" i="145"/>
  <c r="J19" i="145"/>
  <c r="J36" i="145" s="1"/>
  <c r="I19" i="145"/>
  <c r="I36" i="145" s="1"/>
  <c r="C19" i="145"/>
  <c r="C36" i="145" s="1"/>
  <c r="B19" i="145"/>
  <c r="B36" i="145" s="1"/>
  <c r="U16" i="145"/>
  <c r="T16" i="145"/>
  <c r="S16" i="145"/>
  <c r="R16" i="145"/>
  <c r="Q16" i="145"/>
  <c r="P16" i="145"/>
  <c r="O16" i="145"/>
  <c r="N16" i="145"/>
  <c r="M16" i="145"/>
  <c r="L16" i="145"/>
  <c r="K16" i="145"/>
  <c r="H16" i="145"/>
  <c r="G16" i="145"/>
  <c r="F16" i="145"/>
  <c r="D16" i="145"/>
  <c r="J15" i="145"/>
  <c r="I15" i="145"/>
  <c r="F15" i="145"/>
  <c r="E15" i="145"/>
  <c r="E16" i="145" s="1"/>
  <c r="C15" i="145"/>
  <c r="B15" i="145"/>
  <c r="J13" i="145"/>
  <c r="J12" i="145"/>
  <c r="I12" i="145"/>
  <c r="J11" i="145"/>
  <c r="I11" i="145"/>
  <c r="J10" i="145"/>
  <c r="I10" i="145"/>
  <c r="J9" i="145"/>
  <c r="I9" i="145"/>
  <c r="J8" i="145"/>
  <c r="J16" i="145" s="1"/>
  <c r="I8" i="145"/>
  <c r="C8" i="145"/>
  <c r="J7" i="145"/>
  <c r="I7" i="145"/>
  <c r="J6" i="145"/>
  <c r="I6" i="145"/>
  <c r="I16" i="145" s="1"/>
  <c r="D6" i="145"/>
  <c r="C6" i="145"/>
  <c r="C16" i="145" s="1"/>
  <c r="B6" i="145"/>
  <c r="B16" i="145" s="1"/>
  <c r="U36" i="144"/>
  <c r="T36" i="144"/>
  <c r="Q36" i="144"/>
  <c r="Q38" i="144" s="1"/>
  <c r="Q42" i="144" s="1"/>
  <c r="P36" i="144"/>
  <c r="P38" i="144" s="1"/>
  <c r="P42" i="144" s="1"/>
  <c r="K36" i="144"/>
  <c r="K38" i="144" s="1"/>
  <c r="K42" i="144" s="1"/>
  <c r="H36" i="144"/>
  <c r="H38" i="144" s="1"/>
  <c r="H42" i="144" s="1"/>
  <c r="F36" i="144"/>
  <c r="S35" i="144"/>
  <c r="S36" i="144" s="1"/>
  <c r="S38" i="144" s="1"/>
  <c r="S42" i="144" s="1"/>
  <c r="R35" i="144"/>
  <c r="R36" i="144" s="1"/>
  <c r="R38" i="144" s="1"/>
  <c r="R42" i="144" s="1"/>
  <c r="Q35" i="144"/>
  <c r="O35" i="144"/>
  <c r="O36" i="144" s="1"/>
  <c r="O38" i="144" s="1"/>
  <c r="O42" i="144" s="1"/>
  <c r="N35" i="144"/>
  <c r="N36" i="144" s="1"/>
  <c r="N38" i="144" s="1"/>
  <c r="N42" i="144" s="1"/>
  <c r="M35" i="144"/>
  <c r="M36" i="144" s="1"/>
  <c r="M38" i="144" s="1"/>
  <c r="M42" i="144" s="1"/>
  <c r="L35" i="144"/>
  <c r="L36" i="144" s="1"/>
  <c r="L38" i="144" s="1"/>
  <c r="L42" i="144" s="1"/>
  <c r="J35" i="144"/>
  <c r="I35" i="144"/>
  <c r="G35" i="144"/>
  <c r="G36" i="144" s="1"/>
  <c r="G38" i="144" s="1"/>
  <c r="G42" i="144" s="1"/>
  <c r="E35" i="144"/>
  <c r="E36" i="144" s="1"/>
  <c r="E38" i="144" s="1"/>
  <c r="E42" i="144" s="1"/>
  <c r="D35" i="144"/>
  <c r="C35" i="144"/>
  <c r="B35" i="144"/>
  <c r="J34" i="144"/>
  <c r="J33" i="144"/>
  <c r="I33" i="144"/>
  <c r="D33" i="144"/>
  <c r="C33" i="144"/>
  <c r="J32" i="144"/>
  <c r="I32" i="144"/>
  <c r="D32" i="144"/>
  <c r="C32" i="144"/>
  <c r="J31" i="144"/>
  <c r="I31" i="144"/>
  <c r="D31" i="144"/>
  <c r="D36" i="144" s="1"/>
  <c r="D38" i="144" s="1"/>
  <c r="D42" i="144" s="1"/>
  <c r="C31" i="144"/>
  <c r="B31" i="144"/>
  <c r="P30" i="144"/>
  <c r="J30" i="144"/>
  <c r="P29" i="144"/>
  <c r="J29" i="144"/>
  <c r="I29" i="144"/>
  <c r="J28" i="144"/>
  <c r="I28" i="144"/>
  <c r="J27" i="144"/>
  <c r="I27" i="144"/>
  <c r="C27" i="144"/>
  <c r="J26" i="144"/>
  <c r="I26" i="144"/>
  <c r="J25" i="144"/>
  <c r="I25" i="144"/>
  <c r="J24" i="144"/>
  <c r="I24" i="144"/>
  <c r="J23" i="144"/>
  <c r="I23" i="144"/>
  <c r="J22" i="144"/>
  <c r="I22" i="144"/>
  <c r="J21" i="144"/>
  <c r="I21" i="144"/>
  <c r="I36" i="144" s="1"/>
  <c r="J20" i="144"/>
  <c r="I20" i="144"/>
  <c r="J19" i="144"/>
  <c r="J36" i="144" s="1"/>
  <c r="I19" i="144"/>
  <c r="C19" i="144"/>
  <c r="C36" i="144" s="1"/>
  <c r="B19" i="144"/>
  <c r="B36" i="144" s="1"/>
  <c r="U16" i="144"/>
  <c r="U38" i="144" s="1"/>
  <c r="U42" i="144" s="1"/>
  <c r="T16" i="144"/>
  <c r="T38" i="144" s="1"/>
  <c r="T42" i="144" s="1"/>
  <c r="S16" i="144"/>
  <c r="R16" i="144"/>
  <c r="Q16" i="144"/>
  <c r="P16" i="144"/>
  <c r="O16" i="144"/>
  <c r="N16" i="144"/>
  <c r="M16" i="144"/>
  <c r="L16" i="144"/>
  <c r="K16" i="144"/>
  <c r="H16" i="144"/>
  <c r="G16" i="144"/>
  <c r="F16" i="144"/>
  <c r="F38" i="144" s="1"/>
  <c r="F42" i="144" s="1"/>
  <c r="E16" i="144"/>
  <c r="D16" i="144"/>
  <c r="J15" i="144"/>
  <c r="I15" i="144"/>
  <c r="F15" i="144"/>
  <c r="E15" i="144"/>
  <c r="C15" i="144"/>
  <c r="B15" i="144"/>
  <c r="J13" i="144"/>
  <c r="J12" i="144"/>
  <c r="I12" i="144"/>
  <c r="J11" i="144"/>
  <c r="I11" i="144"/>
  <c r="J10" i="144"/>
  <c r="I10" i="144"/>
  <c r="J9" i="144"/>
  <c r="I9" i="144"/>
  <c r="J8" i="144"/>
  <c r="I8" i="144"/>
  <c r="C8" i="144"/>
  <c r="J7" i="144"/>
  <c r="I7" i="144"/>
  <c r="J6" i="144"/>
  <c r="J16" i="144" s="1"/>
  <c r="I6" i="144"/>
  <c r="I16" i="144" s="1"/>
  <c r="D6" i="144"/>
  <c r="C6" i="144"/>
  <c r="C16" i="144" s="1"/>
  <c r="B6" i="144"/>
  <c r="B16" i="144" s="1"/>
  <c r="R35" i="143"/>
  <c r="S35" i="143"/>
  <c r="S36" i="143" s="1"/>
  <c r="J32" i="143"/>
  <c r="I32" i="143"/>
  <c r="D32" i="143"/>
  <c r="C32" i="143"/>
  <c r="J11" i="143"/>
  <c r="I11" i="143"/>
  <c r="R36" i="143"/>
  <c r="R16" i="143"/>
  <c r="U36" i="143"/>
  <c r="U16" i="143"/>
  <c r="T36" i="143"/>
  <c r="K36" i="143"/>
  <c r="H36" i="143"/>
  <c r="F36" i="143"/>
  <c r="Q35" i="143"/>
  <c r="Q36" i="143" s="1"/>
  <c r="O35" i="143"/>
  <c r="O36" i="143" s="1"/>
  <c r="N35" i="143"/>
  <c r="N36" i="143" s="1"/>
  <c r="M35" i="143"/>
  <c r="M36" i="143" s="1"/>
  <c r="L35" i="143"/>
  <c r="L36" i="143" s="1"/>
  <c r="J35" i="143"/>
  <c r="I35" i="143"/>
  <c r="G35" i="143"/>
  <c r="G36" i="143" s="1"/>
  <c r="E35" i="143"/>
  <c r="E36" i="143" s="1"/>
  <c r="D35" i="143"/>
  <c r="C35" i="143"/>
  <c r="B35" i="143"/>
  <c r="J34" i="143"/>
  <c r="J33" i="143"/>
  <c r="I33" i="143"/>
  <c r="D33" i="143"/>
  <c r="C33" i="143"/>
  <c r="J31" i="143"/>
  <c r="I31" i="143"/>
  <c r="D31" i="143"/>
  <c r="C31" i="143"/>
  <c r="B31" i="143"/>
  <c r="P30" i="143"/>
  <c r="J30" i="143"/>
  <c r="P29" i="143"/>
  <c r="J29" i="143"/>
  <c r="I29" i="143"/>
  <c r="J28" i="143"/>
  <c r="I28" i="143"/>
  <c r="J27" i="143"/>
  <c r="I27" i="143"/>
  <c r="C27" i="143"/>
  <c r="J26" i="143"/>
  <c r="I26" i="143"/>
  <c r="J25" i="143"/>
  <c r="I25" i="143"/>
  <c r="J24" i="143"/>
  <c r="I24" i="143"/>
  <c r="J23" i="143"/>
  <c r="I23" i="143"/>
  <c r="J22" i="143"/>
  <c r="I22" i="143"/>
  <c r="J21" i="143"/>
  <c r="I21" i="143"/>
  <c r="J20" i="143"/>
  <c r="I20" i="143"/>
  <c r="J19" i="143"/>
  <c r="I19" i="143"/>
  <c r="C19" i="143"/>
  <c r="B19" i="143"/>
  <c r="T16" i="143"/>
  <c r="S16" i="143"/>
  <c r="Q16" i="143"/>
  <c r="P16" i="143"/>
  <c r="O16" i="143"/>
  <c r="N16" i="143"/>
  <c r="M16" i="143"/>
  <c r="L16" i="143"/>
  <c r="K16" i="143"/>
  <c r="H16" i="143"/>
  <c r="G16" i="143"/>
  <c r="J15" i="143"/>
  <c r="I15" i="143"/>
  <c r="F15" i="143"/>
  <c r="F16" i="143" s="1"/>
  <c r="E15" i="143"/>
  <c r="E16" i="143" s="1"/>
  <c r="C15" i="143"/>
  <c r="B15" i="143"/>
  <c r="J13" i="143"/>
  <c r="J12" i="143"/>
  <c r="I12" i="143"/>
  <c r="J10" i="143"/>
  <c r="I10" i="143"/>
  <c r="J9" i="143"/>
  <c r="I9" i="143"/>
  <c r="J8" i="143"/>
  <c r="I8" i="143"/>
  <c r="C8" i="143"/>
  <c r="J7" i="143"/>
  <c r="I7" i="143"/>
  <c r="J6" i="143"/>
  <c r="I6" i="143"/>
  <c r="D6" i="143"/>
  <c r="D16" i="143" s="1"/>
  <c r="C6" i="143"/>
  <c r="B6" i="143"/>
  <c r="U49" i="139"/>
  <c r="J32" i="140"/>
  <c r="I32" i="140"/>
  <c r="D32" i="140"/>
  <c r="C32" i="140"/>
  <c r="J11" i="140"/>
  <c r="I11" i="140"/>
  <c r="U38" i="145" l="1"/>
  <c r="U42" i="145" s="1"/>
  <c r="T38" i="145"/>
  <c r="T42" i="145" s="1"/>
  <c r="S36" i="145"/>
  <c r="S38" i="145" s="1"/>
  <c r="S42" i="145" s="1"/>
  <c r="C38" i="145"/>
  <c r="C42" i="145" s="1"/>
  <c r="B38" i="145"/>
  <c r="B42" i="145" s="1"/>
  <c r="I38" i="145"/>
  <c r="I42" i="145" s="1"/>
  <c r="J38" i="145"/>
  <c r="J42" i="145" s="1"/>
  <c r="E38" i="145"/>
  <c r="E42" i="145" s="1"/>
  <c r="B38" i="144"/>
  <c r="B42" i="144" s="1"/>
  <c r="C38" i="144"/>
  <c r="C42" i="144" s="1"/>
  <c r="J38" i="144"/>
  <c r="J42" i="144" s="1"/>
  <c r="I38" i="144"/>
  <c r="I42" i="144" s="1"/>
  <c r="C16" i="143"/>
  <c r="T38" i="143"/>
  <c r="T42" i="143" s="1"/>
  <c r="R38" i="143"/>
  <c r="R42" i="143" s="1"/>
  <c r="J36" i="143"/>
  <c r="B16" i="143"/>
  <c r="D36" i="143"/>
  <c r="D38" i="143" s="1"/>
  <c r="D42" i="143" s="1"/>
  <c r="U38" i="143"/>
  <c r="U42" i="143" s="1"/>
  <c r="C36" i="143"/>
  <c r="G38" i="143"/>
  <c r="G42" i="143" s="1"/>
  <c r="L38" i="143"/>
  <c r="L42" i="143" s="1"/>
  <c r="H38" i="143"/>
  <c r="H42" i="143" s="1"/>
  <c r="M38" i="143"/>
  <c r="M42" i="143" s="1"/>
  <c r="K38" i="143"/>
  <c r="K42" i="143" s="1"/>
  <c r="F38" i="143"/>
  <c r="F42" i="143" s="1"/>
  <c r="I16" i="143"/>
  <c r="J16" i="143"/>
  <c r="N38" i="143"/>
  <c r="N42" i="143" s="1"/>
  <c r="B36" i="143"/>
  <c r="O38" i="143"/>
  <c r="O42" i="143" s="1"/>
  <c r="P36" i="143"/>
  <c r="P38" i="143" s="1"/>
  <c r="P42" i="143" s="1"/>
  <c r="E38" i="143"/>
  <c r="E42" i="143" s="1"/>
  <c r="Q38" i="143"/>
  <c r="Q42" i="143" s="1"/>
  <c r="I36" i="143"/>
  <c r="S38" i="143"/>
  <c r="S42" i="143" s="1"/>
  <c r="R35" i="140"/>
  <c r="R36" i="140" s="1"/>
  <c r="R16" i="140"/>
  <c r="S34" i="142"/>
  <c r="K34" i="142"/>
  <c r="H34" i="142"/>
  <c r="F34" i="142"/>
  <c r="R33" i="142"/>
  <c r="R34" i="142" s="1"/>
  <c r="Q33" i="142"/>
  <c r="Q34" i="142" s="1"/>
  <c r="Q36" i="142" s="1"/>
  <c r="Q40" i="142" s="1"/>
  <c r="O33" i="142"/>
  <c r="O34" i="142" s="1"/>
  <c r="N33" i="142"/>
  <c r="N34" i="142" s="1"/>
  <c r="M33" i="142"/>
  <c r="M34" i="142" s="1"/>
  <c r="L33" i="142"/>
  <c r="L34" i="142" s="1"/>
  <c r="J33" i="142"/>
  <c r="I33" i="142"/>
  <c r="G33" i="142"/>
  <c r="G34" i="142" s="1"/>
  <c r="G36" i="142" s="1"/>
  <c r="G40" i="142" s="1"/>
  <c r="E33" i="142"/>
  <c r="E34" i="142" s="1"/>
  <c r="D33" i="142"/>
  <c r="C33" i="142"/>
  <c r="B33" i="142"/>
  <c r="J32" i="142"/>
  <c r="J31" i="142"/>
  <c r="I31" i="142"/>
  <c r="D31" i="142"/>
  <c r="C31" i="142"/>
  <c r="J30" i="142"/>
  <c r="I30" i="142"/>
  <c r="D30" i="142"/>
  <c r="C30" i="142"/>
  <c r="B30" i="142"/>
  <c r="P29" i="142"/>
  <c r="J29" i="142"/>
  <c r="P28" i="142"/>
  <c r="J28" i="142"/>
  <c r="I28" i="142"/>
  <c r="J27" i="142"/>
  <c r="I27" i="142"/>
  <c r="J26" i="142"/>
  <c r="I26" i="142"/>
  <c r="C26" i="142"/>
  <c r="J25" i="142"/>
  <c r="I25" i="142"/>
  <c r="J24" i="142"/>
  <c r="I24" i="142"/>
  <c r="J23" i="142"/>
  <c r="I23" i="142"/>
  <c r="J22" i="142"/>
  <c r="I22" i="142"/>
  <c r="J21" i="142"/>
  <c r="I21" i="142"/>
  <c r="J20" i="142"/>
  <c r="I20" i="142"/>
  <c r="J19" i="142"/>
  <c r="I19" i="142"/>
  <c r="J18" i="142"/>
  <c r="I18" i="142"/>
  <c r="C18" i="142"/>
  <c r="B18" i="142"/>
  <c r="S15" i="142"/>
  <c r="R15" i="142"/>
  <c r="Q15" i="142"/>
  <c r="P15" i="142"/>
  <c r="O15" i="142"/>
  <c r="N15" i="142"/>
  <c r="M15" i="142"/>
  <c r="L15" i="142"/>
  <c r="K15" i="142"/>
  <c r="H15" i="142"/>
  <c r="G15" i="142"/>
  <c r="D15" i="142"/>
  <c r="J14" i="142"/>
  <c r="I14" i="142"/>
  <c r="F14" i="142"/>
  <c r="F15" i="142" s="1"/>
  <c r="E14" i="142"/>
  <c r="E15" i="142" s="1"/>
  <c r="C14" i="142"/>
  <c r="B14" i="142"/>
  <c r="J12" i="142"/>
  <c r="J11" i="142"/>
  <c r="I11" i="142"/>
  <c r="J10" i="142"/>
  <c r="I10" i="142"/>
  <c r="J9" i="142"/>
  <c r="I9" i="142"/>
  <c r="J8" i="142"/>
  <c r="I8" i="142"/>
  <c r="C8" i="142"/>
  <c r="C15" i="142" s="1"/>
  <c r="J7" i="142"/>
  <c r="I7" i="142"/>
  <c r="J6" i="142"/>
  <c r="I6" i="142"/>
  <c r="D6" i="142"/>
  <c r="C6" i="142"/>
  <c r="B6" i="142"/>
  <c r="B15" i="142" s="1"/>
  <c r="R46" i="139"/>
  <c r="U51" i="139"/>
  <c r="U55" i="139"/>
  <c r="U52" i="139"/>
  <c r="U50" i="139"/>
  <c r="U48" i="139"/>
  <c r="U46" i="139"/>
  <c r="C38" i="143" l="1"/>
  <c r="C42" i="143" s="1"/>
  <c r="I38" i="143"/>
  <c r="I42" i="143" s="1"/>
  <c r="B38" i="143"/>
  <c r="B42" i="143" s="1"/>
  <c r="J38" i="143"/>
  <c r="J42" i="143" s="1"/>
  <c r="U56" i="139"/>
  <c r="R38" i="140"/>
  <c r="R42" i="140" s="1"/>
  <c r="K36" i="142"/>
  <c r="K40" i="142" s="1"/>
  <c r="E36" i="142"/>
  <c r="E40" i="142" s="1"/>
  <c r="R36" i="142"/>
  <c r="R40" i="142" s="1"/>
  <c r="I34" i="142"/>
  <c r="D34" i="142"/>
  <c r="D36" i="142" s="1"/>
  <c r="D40" i="142" s="1"/>
  <c r="J34" i="142"/>
  <c r="L36" i="142"/>
  <c r="L40" i="142" s="1"/>
  <c r="I15" i="142"/>
  <c r="F36" i="142"/>
  <c r="F40" i="142" s="1"/>
  <c r="N36" i="142"/>
  <c r="N40" i="142" s="1"/>
  <c r="H36" i="142"/>
  <c r="H40" i="142" s="1"/>
  <c r="M36" i="142"/>
  <c r="M40" i="142" s="1"/>
  <c r="S36" i="142"/>
  <c r="S40" i="142" s="1"/>
  <c r="B34" i="142"/>
  <c r="B36" i="142" s="1"/>
  <c r="B40" i="142" s="1"/>
  <c r="O36" i="142"/>
  <c r="O40" i="142" s="1"/>
  <c r="J15" i="142"/>
  <c r="C34" i="142"/>
  <c r="C36" i="142" s="1"/>
  <c r="C40" i="142" s="1"/>
  <c r="P34" i="142"/>
  <c r="P36" i="142" s="1"/>
  <c r="P40" i="142" s="1"/>
  <c r="R33" i="139"/>
  <c r="I36" i="142" l="1"/>
  <c r="I40" i="142" s="1"/>
  <c r="J36" i="142"/>
  <c r="J40" i="142" s="1"/>
  <c r="E30" i="141"/>
  <c r="C30" i="141"/>
  <c r="D29" i="141"/>
  <c r="D30" i="141" s="1"/>
  <c r="E26" i="141"/>
  <c r="C26" i="141"/>
  <c r="D25" i="141"/>
  <c r="D26" i="141" s="1"/>
  <c r="E17" i="141"/>
  <c r="C17" i="141"/>
  <c r="D16" i="141"/>
  <c r="D17" i="141" s="1"/>
  <c r="E13" i="141"/>
  <c r="C13" i="141"/>
  <c r="D12" i="141"/>
  <c r="D11" i="141"/>
  <c r="E8" i="141"/>
  <c r="D8" i="141"/>
  <c r="C8" i="141"/>
  <c r="S36" i="140"/>
  <c r="P36" i="140"/>
  <c r="K36" i="140"/>
  <c r="H36" i="140"/>
  <c r="F36" i="140"/>
  <c r="Q35" i="140"/>
  <c r="Q36" i="140" s="1"/>
  <c r="O35" i="140"/>
  <c r="O36" i="140" s="1"/>
  <c r="N35" i="140"/>
  <c r="N36" i="140" s="1"/>
  <c r="L35" i="140"/>
  <c r="L36" i="140" s="1"/>
  <c r="J35" i="140"/>
  <c r="I35" i="140"/>
  <c r="G35" i="140"/>
  <c r="G36" i="140" s="1"/>
  <c r="E35" i="140"/>
  <c r="E36" i="140" s="1"/>
  <c r="D35" i="140"/>
  <c r="C35" i="140"/>
  <c r="B35" i="140"/>
  <c r="J34" i="140"/>
  <c r="J31" i="140"/>
  <c r="I31" i="140"/>
  <c r="D31" i="140"/>
  <c r="C31" i="140"/>
  <c r="B31" i="140"/>
  <c r="J30" i="140"/>
  <c r="J29" i="140"/>
  <c r="I29" i="140"/>
  <c r="J28" i="140"/>
  <c r="I28" i="140"/>
  <c r="J27" i="140"/>
  <c r="I27" i="140"/>
  <c r="C27" i="140"/>
  <c r="J26" i="140"/>
  <c r="I26" i="140"/>
  <c r="J25" i="140"/>
  <c r="I25" i="140"/>
  <c r="J24" i="140"/>
  <c r="I24" i="140"/>
  <c r="J23" i="140"/>
  <c r="I23" i="140"/>
  <c r="J22" i="140"/>
  <c r="I22" i="140"/>
  <c r="J21" i="140"/>
  <c r="I21" i="140"/>
  <c r="J20" i="140"/>
  <c r="I20" i="140"/>
  <c r="C20" i="140"/>
  <c r="B20" i="140"/>
  <c r="B36" i="140" s="1"/>
  <c r="J19" i="140"/>
  <c r="I19" i="140"/>
  <c r="S16" i="140"/>
  <c r="Q16" i="140"/>
  <c r="P16" i="140"/>
  <c r="O16" i="140"/>
  <c r="N16" i="140"/>
  <c r="L16" i="140"/>
  <c r="K16" i="140"/>
  <c r="H16" i="140"/>
  <c r="G16" i="140"/>
  <c r="J15" i="140"/>
  <c r="I15" i="140"/>
  <c r="F15" i="140"/>
  <c r="F16" i="140" s="1"/>
  <c r="E15" i="140"/>
  <c r="E16" i="140" s="1"/>
  <c r="C15" i="140"/>
  <c r="B15" i="140"/>
  <c r="B16" i="140" s="1"/>
  <c r="J13" i="140"/>
  <c r="J10" i="140"/>
  <c r="I10" i="140"/>
  <c r="J9" i="140"/>
  <c r="I9" i="140"/>
  <c r="J8" i="140"/>
  <c r="I8" i="140"/>
  <c r="C8" i="140"/>
  <c r="J7" i="140"/>
  <c r="I7" i="140"/>
  <c r="J6" i="140"/>
  <c r="I6" i="140"/>
  <c r="D6" i="140"/>
  <c r="D16" i="140" s="1"/>
  <c r="C6" i="140"/>
  <c r="B6" i="140"/>
  <c r="T34" i="139"/>
  <c r="S34" i="139"/>
  <c r="K34" i="139"/>
  <c r="H34" i="139"/>
  <c r="F34" i="139"/>
  <c r="R34" i="139"/>
  <c r="Q33" i="139"/>
  <c r="Q34" i="139" s="1"/>
  <c r="Q36" i="139" s="1"/>
  <c r="Q40" i="139" s="1"/>
  <c r="O33" i="139"/>
  <c r="O34" i="139" s="1"/>
  <c r="N33" i="139"/>
  <c r="N34" i="139" s="1"/>
  <c r="M33" i="139"/>
  <c r="M34" i="139" s="1"/>
  <c r="L33" i="139"/>
  <c r="L34" i="139" s="1"/>
  <c r="J33" i="139"/>
  <c r="I33" i="139"/>
  <c r="G33" i="139"/>
  <c r="G34" i="139" s="1"/>
  <c r="G36" i="139" s="1"/>
  <c r="G40" i="139" s="1"/>
  <c r="E33" i="139"/>
  <c r="E34" i="139" s="1"/>
  <c r="E36" i="139" s="1"/>
  <c r="E40" i="139" s="1"/>
  <c r="D33" i="139"/>
  <c r="C33" i="139"/>
  <c r="B33" i="139"/>
  <c r="J32" i="139"/>
  <c r="J31" i="139"/>
  <c r="I31" i="139"/>
  <c r="D31" i="139"/>
  <c r="C31" i="139"/>
  <c r="J30" i="139"/>
  <c r="I30" i="139"/>
  <c r="D30" i="139"/>
  <c r="C30" i="139"/>
  <c r="B30" i="139"/>
  <c r="P29" i="139"/>
  <c r="J29" i="139"/>
  <c r="P28" i="139"/>
  <c r="P34" i="139" s="1"/>
  <c r="P36" i="139" s="1"/>
  <c r="P40" i="139" s="1"/>
  <c r="J28" i="139"/>
  <c r="I28" i="139"/>
  <c r="J27" i="139"/>
  <c r="I27" i="139"/>
  <c r="J26" i="139"/>
  <c r="I26" i="139"/>
  <c r="C26" i="139"/>
  <c r="J25" i="139"/>
  <c r="I25" i="139"/>
  <c r="J24" i="139"/>
  <c r="I24" i="139"/>
  <c r="J23" i="139"/>
  <c r="I23" i="139"/>
  <c r="J22" i="139"/>
  <c r="I22" i="139"/>
  <c r="J21" i="139"/>
  <c r="I21" i="139"/>
  <c r="J20" i="139"/>
  <c r="I20" i="139"/>
  <c r="J19" i="139"/>
  <c r="I19" i="139"/>
  <c r="J18" i="139"/>
  <c r="I18" i="139"/>
  <c r="C18" i="139"/>
  <c r="C34" i="139" s="1"/>
  <c r="B18" i="139"/>
  <c r="T15" i="139"/>
  <c r="S15" i="139"/>
  <c r="R15" i="139"/>
  <c r="Q15" i="139"/>
  <c r="P15" i="139"/>
  <c r="O15" i="139"/>
  <c r="N15" i="139"/>
  <c r="M15" i="139"/>
  <c r="L15" i="139"/>
  <c r="K15" i="139"/>
  <c r="H15" i="139"/>
  <c r="G15" i="139"/>
  <c r="F15" i="139"/>
  <c r="B15" i="139"/>
  <c r="J14" i="139"/>
  <c r="I14" i="139"/>
  <c r="F14" i="139"/>
  <c r="E14" i="139"/>
  <c r="E15" i="139" s="1"/>
  <c r="C14" i="139"/>
  <c r="B14" i="139"/>
  <c r="J12" i="139"/>
  <c r="J11" i="139"/>
  <c r="I11" i="139"/>
  <c r="J10" i="139"/>
  <c r="I10" i="139"/>
  <c r="J9" i="139"/>
  <c r="I9" i="139"/>
  <c r="J8" i="139"/>
  <c r="I8" i="139"/>
  <c r="C8" i="139"/>
  <c r="C15" i="139" s="1"/>
  <c r="J7" i="139"/>
  <c r="I7" i="139"/>
  <c r="J6" i="139"/>
  <c r="I6" i="139"/>
  <c r="D6" i="139"/>
  <c r="D15" i="139" s="1"/>
  <c r="C6" i="139"/>
  <c r="B6" i="139"/>
  <c r="R46" i="138"/>
  <c r="L36" i="139" l="1"/>
  <c r="L40" i="139" s="1"/>
  <c r="D34" i="139"/>
  <c r="I34" i="139"/>
  <c r="C36" i="140"/>
  <c r="I36" i="140"/>
  <c r="G38" i="140"/>
  <c r="G42" i="140" s="1"/>
  <c r="B38" i="140"/>
  <c r="B42" i="140" s="1"/>
  <c r="P38" i="140"/>
  <c r="P42" i="140" s="1"/>
  <c r="L38" i="140"/>
  <c r="L42" i="140" s="1"/>
  <c r="I16" i="140"/>
  <c r="I38" i="140" s="1"/>
  <c r="I42" i="140" s="1"/>
  <c r="H38" i="140"/>
  <c r="H42" i="140" s="1"/>
  <c r="D36" i="140"/>
  <c r="D38" i="140" s="1"/>
  <c r="D42" i="140" s="1"/>
  <c r="J16" i="140"/>
  <c r="O38" i="140"/>
  <c r="O42" i="140" s="1"/>
  <c r="S38" i="140"/>
  <c r="S42" i="140" s="1"/>
  <c r="F38" i="140"/>
  <c r="F42" i="140" s="1"/>
  <c r="Q38" i="140"/>
  <c r="Q42" i="140" s="1"/>
  <c r="J36" i="140"/>
  <c r="K38" i="140"/>
  <c r="K42" i="140" s="1"/>
  <c r="N38" i="140"/>
  <c r="N42" i="140" s="1"/>
  <c r="C16" i="140"/>
  <c r="C38" i="140" s="1"/>
  <c r="C42" i="140" s="1"/>
  <c r="E38" i="140"/>
  <c r="E42" i="140" s="1"/>
  <c r="C36" i="139"/>
  <c r="C40" i="139" s="1"/>
  <c r="J34" i="139"/>
  <c r="I15" i="139"/>
  <c r="I36" i="139" s="1"/>
  <c r="I40" i="139" s="1"/>
  <c r="J15" i="139"/>
  <c r="B34" i="139"/>
  <c r="B36" i="139" s="1"/>
  <c r="B40" i="139" s="1"/>
  <c r="M36" i="139"/>
  <c r="M40" i="139" s="1"/>
  <c r="H36" i="139"/>
  <c r="H40" i="139" s="1"/>
  <c r="K36" i="139"/>
  <c r="K40" i="139" s="1"/>
  <c r="N36" i="139"/>
  <c r="N40" i="139" s="1"/>
  <c r="O36" i="139"/>
  <c r="O40" i="139" s="1"/>
  <c r="T36" i="139"/>
  <c r="T40" i="139" s="1"/>
  <c r="F36" i="139"/>
  <c r="F40" i="139" s="1"/>
  <c r="C32" i="141"/>
  <c r="D32" i="141"/>
  <c r="E32" i="141"/>
  <c r="D13" i="141"/>
  <c r="E19" i="141"/>
  <c r="C19" i="141"/>
  <c r="S36" i="139"/>
  <c r="S40" i="139" s="1"/>
  <c r="R36" i="139"/>
  <c r="R40" i="139" s="1"/>
  <c r="D36" i="139"/>
  <c r="D40" i="139" s="1"/>
  <c r="R33" i="138"/>
  <c r="T34" i="138"/>
  <c r="S34" i="138"/>
  <c r="K34" i="138"/>
  <c r="K36" i="138" s="1"/>
  <c r="K40" i="138" s="1"/>
  <c r="H34" i="138"/>
  <c r="F34" i="138"/>
  <c r="R34" i="138"/>
  <c r="Q33" i="138"/>
  <c r="Q34" i="138" s="1"/>
  <c r="O33" i="138"/>
  <c r="O34" i="138" s="1"/>
  <c r="N33" i="138"/>
  <c r="N34" i="138" s="1"/>
  <c r="M33" i="138"/>
  <c r="M34" i="138" s="1"/>
  <c r="L33" i="138"/>
  <c r="L34" i="138" s="1"/>
  <c r="J33" i="138"/>
  <c r="I33" i="138"/>
  <c r="G33" i="138"/>
  <c r="G34" i="138" s="1"/>
  <c r="G36" i="138" s="1"/>
  <c r="G40" i="138" s="1"/>
  <c r="E33" i="138"/>
  <c r="E34" i="138" s="1"/>
  <c r="D33" i="138"/>
  <c r="C33" i="138"/>
  <c r="B33" i="138"/>
  <c r="J32" i="138"/>
  <c r="J31" i="138"/>
  <c r="I31" i="138"/>
  <c r="D31" i="138"/>
  <c r="C31" i="138"/>
  <c r="J30" i="138"/>
  <c r="I30" i="138"/>
  <c r="D30" i="138"/>
  <c r="C30" i="138"/>
  <c r="B30" i="138"/>
  <c r="P29" i="138"/>
  <c r="J29" i="138"/>
  <c r="P28" i="138"/>
  <c r="P34" i="138" s="1"/>
  <c r="J28" i="138"/>
  <c r="I28" i="138"/>
  <c r="J27" i="138"/>
  <c r="I27" i="138"/>
  <c r="J26" i="138"/>
  <c r="I26" i="138"/>
  <c r="C26" i="138"/>
  <c r="J25" i="138"/>
  <c r="I25" i="138"/>
  <c r="J24" i="138"/>
  <c r="I24" i="138"/>
  <c r="J23" i="138"/>
  <c r="I23" i="138"/>
  <c r="J22" i="138"/>
  <c r="I22" i="138"/>
  <c r="J21" i="138"/>
  <c r="I21" i="138"/>
  <c r="J20" i="138"/>
  <c r="I20" i="138"/>
  <c r="J19" i="138"/>
  <c r="I19" i="138"/>
  <c r="J18" i="138"/>
  <c r="I18" i="138"/>
  <c r="C18" i="138"/>
  <c r="B18" i="138"/>
  <c r="B34" i="138" s="1"/>
  <c r="T15" i="138"/>
  <c r="T36" i="138" s="1"/>
  <c r="T40" i="138" s="1"/>
  <c r="S15" i="138"/>
  <c r="R15" i="138"/>
  <c r="Q15" i="138"/>
  <c r="P15" i="138"/>
  <c r="O15" i="138"/>
  <c r="N15" i="138"/>
  <c r="M15" i="138"/>
  <c r="L15" i="138"/>
  <c r="K15" i="138"/>
  <c r="H15" i="138"/>
  <c r="G15" i="138"/>
  <c r="E15" i="138"/>
  <c r="J14" i="138"/>
  <c r="I14" i="138"/>
  <c r="F14" i="138"/>
  <c r="F15" i="138" s="1"/>
  <c r="F36" i="138" s="1"/>
  <c r="F40" i="138" s="1"/>
  <c r="E14" i="138"/>
  <c r="C14" i="138"/>
  <c r="B14" i="138"/>
  <c r="B15" i="138" s="1"/>
  <c r="J12" i="138"/>
  <c r="J11" i="138"/>
  <c r="I11" i="138"/>
  <c r="J10" i="138"/>
  <c r="I10" i="138"/>
  <c r="J9" i="138"/>
  <c r="I9" i="138"/>
  <c r="J8" i="138"/>
  <c r="I8" i="138"/>
  <c r="C8" i="138"/>
  <c r="J7" i="138"/>
  <c r="I7" i="138"/>
  <c r="J6" i="138"/>
  <c r="J15" i="138" s="1"/>
  <c r="I6" i="138"/>
  <c r="D6" i="138"/>
  <c r="D15" i="138" s="1"/>
  <c r="C6" i="138"/>
  <c r="B6" i="138"/>
  <c r="T34" i="137"/>
  <c r="S34" i="137"/>
  <c r="Q34" i="137"/>
  <c r="Q36" i="137" s="1"/>
  <c r="Q40" i="137" s="1"/>
  <c r="K34" i="137"/>
  <c r="H34" i="137"/>
  <c r="H36" i="137" s="1"/>
  <c r="H40" i="137" s="1"/>
  <c r="F34" i="137"/>
  <c r="E34" i="137"/>
  <c r="E36" i="137" s="1"/>
  <c r="E40" i="137" s="1"/>
  <c r="R33" i="137"/>
  <c r="R34" i="137" s="1"/>
  <c r="Q33" i="137"/>
  <c r="O33" i="137"/>
  <c r="O34" i="137" s="1"/>
  <c r="O36" i="137" s="1"/>
  <c r="O40" i="137" s="1"/>
  <c r="N33" i="137"/>
  <c r="N34" i="137" s="1"/>
  <c r="N36" i="137" s="1"/>
  <c r="N40" i="137" s="1"/>
  <c r="M33" i="137"/>
  <c r="M34" i="137" s="1"/>
  <c r="M36" i="137" s="1"/>
  <c r="M40" i="137" s="1"/>
  <c r="L33" i="137"/>
  <c r="L34" i="137" s="1"/>
  <c r="L36" i="137" s="1"/>
  <c r="L40" i="137" s="1"/>
  <c r="J33" i="137"/>
  <c r="I33" i="137"/>
  <c r="G33" i="137"/>
  <c r="G34" i="137" s="1"/>
  <c r="G36" i="137" s="1"/>
  <c r="G40" i="137" s="1"/>
  <c r="E33" i="137"/>
  <c r="D33" i="137"/>
  <c r="C33" i="137"/>
  <c r="B33" i="137"/>
  <c r="B34" i="137" s="1"/>
  <c r="B36" i="137" s="1"/>
  <c r="B40" i="137" s="1"/>
  <c r="J32" i="137"/>
  <c r="J31" i="137"/>
  <c r="I31" i="137"/>
  <c r="D31" i="137"/>
  <c r="C31" i="137"/>
  <c r="J30" i="137"/>
  <c r="I30" i="137"/>
  <c r="D30" i="137"/>
  <c r="D34" i="137" s="1"/>
  <c r="D36" i="137" s="1"/>
  <c r="D40" i="137" s="1"/>
  <c r="C30" i="137"/>
  <c r="B30" i="137"/>
  <c r="P29" i="137"/>
  <c r="J29" i="137"/>
  <c r="P28" i="137"/>
  <c r="P34" i="137" s="1"/>
  <c r="P36" i="137" s="1"/>
  <c r="P40" i="137" s="1"/>
  <c r="J28" i="137"/>
  <c r="I28" i="137"/>
  <c r="J27" i="137"/>
  <c r="I27" i="137"/>
  <c r="J26" i="137"/>
  <c r="I26" i="137"/>
  <c r="C26" i="137"/>
  <c r="J25" i="137"/>
  <c r="I25" i="137"/>
  <c r="J24" i="137"/>
  <c r="I24" i="137"/>
  <c r="J23" i="137"/>
  <c r="I23" i="137"/>
  <c r="J22" i="137"/>
  <c r="I22" i="137"/>
  <c r="J21" i="137"/>
  <c r="I21" i="137"/>
  <c r="J20" i="137"/>
  <c r="I20" i="137"/>
  <c r="J19" i="137"/>
  <c r="I19" i="137"/>
  <c r="J18" i="137"/>
  <c r="J34" i="137" s="1"/>
  <c r="J36" i="137" s="1"/>
  <c r="J40" i="137" s="1"/>
  <c r="I18" i="137"/>
  <c r="I34" i="137" s="1"/>
  <c r="I36" i="137" s="1"/>
  <c r="I40" i="137" s="1"/>
  <c r="C18" i="137"/>
  <c r="C34" i="137" s="1"/>
  <c r="C36" i="137" s="1"/>
  <c r="C40" i="137" s="1"/>
  <c r="B18" i="137"/>
  <c r="T15" i="137"/>
  <c r="T36" i="137" s="1"/>
  <c r="T40" i="137" s="1"/>
  <c r="S15" i="137"/>
  <c r="R15" i="137"/>
  <c r="Q15" i="137"/>
  <c r="P15" i="137"/>
  <c r="O15" i="137"/>
  <c r="N15" i="137"/>
  <c r="M15" i="137"/>
  <c r="L15" i="137"/>
  <c r="K15" i="137"/>
  <c r="K36" i="137" s="1"/>
  <c r="K40" i="137" s="1"/>
  <c r="H15" i="137"/>
  <c r="G15" i="137"/>
  <c r="E15" i="137"/>
  <c r="C15" i="137"/>
  <c r="J14" i="137"/>
  <c r="I14" i="137"/>
  <c r="F14" i="137"/>
  <c r="F15" i="137" s="1"/>
  <c r="F36" i="137" s="1"/>
  <c r="F40" i="137" s="1"/>
  <c r="E14" i="137"/>
  <c r="C14" i="137"/>
  <c r="B14" i="137"/>
  <c r="J12" i="137"/>
  <c r="J11" i="137"/>
  <c r="I11" i="137"/>
  <c r="J10" i="137"/>
  <c r="I10" i="137"/>
  <c r="J9" i="137"/>
  <c r="I9" i="137"/>
  <c r="J8" i="137"/>
  <c r="I8" i="137"/>
  <c r="C8" i="137"/>
  <c r="J7" i="137"/>
  <c r="I7" i="137"/>
  <c r="I15" i="137" s="1"/>
  <c r="J6" i="137"/>
  <c r="J15" i="137" s="1"/>
  <c r="I6" i="137"/>
  <c r="D6" i="137"/>
  <c r="D15" i="137" s="1"/>
  <c r="C6" i="137"/>
  <c r="B6" i="137"/>
  <c r="B15" i="137" s="1"/>
  <c r="T34" i="136"/>
  <c r="S34" i="136"/>
  <c r="K34" i="136"/>
  <c r="K36" i="136" s="1"/>
  <c r="K40" i="136" s="1"/>
  <c r="H34" i="136"/>
  <c r="H36" i="136" s="1"/>
  <c r="H40" i="136" s="1"/>
  <c r="F34" i="136"/>
  <c r="F36" i="136" s="1"/>
  <c r="F40" i="136" s="1"/>
  <c r="C34" i="136"/>
  <c r="C36" i="136" s="1"/>
  <c r="C40" i="136" s="1"/>
  <c r="R33" i="136"/>
  <c r="R34" i="136" s="1"/>
  <c r="R36" i="136" s="1"/>
  <c r="R40" i="136" s="1"/>
  <c r="Q33" i="136"/>
  <c r="Q34" i="136" s="1"/>
  <c r="Q36" i="136" s="1"/>
  <c r="Q40" i="136" s="1"/>
  <c r="O33" i="136"/>
  <c r="O34" i="136" s="1"/>
  <c r="O36" i="136" s="1"/>
  <c r="O40" i="136" s="1"/>
  <c r="N33" i="136"/>
  <c r="N34" i="136" s="1"/>
  <c r="N36" i="136" s="1"/>
  <c r="N40" i="136" s="1"/>
  <c r="M33" i="136"/>
  <c r="M34" i="136" s="1"/>
  <c r="M36" i="136" s="1"/>
  <c r="M40" i="136" s="1"/>
  <c r="L33" i="136"/>
  <c r="L34" i="136" s="1"/>
  <c r="L36" i="136" s="1"/>
  <c r="L40" i="136" s="1"/>
  <c r="J33" i="136"/>
  <c r="I33" i="136"/>
  <c r="G33" i="136"/>
  <c r="G34" i="136" s="1"/>
  <c r="G36" i="136" s="1"/>
  <c r="G40" i="136" s="1"/>
  <c r="E33" i="136"/>
  <c r="E34" i="136" s="1"/>
  <c r="D33" i="136"/>
  <c r="C33" i="136"/>
  <c r="B33" i="136"/>
  <c r="J32" i="136"/>
  <c r="J31" i="136"/>
  <c r="I31" i="136"/>
  <c r="D31" i="136"/>
  <c r="C31" i="136"/>
  <c r="J30" i="136"/>
  <c r="I30" i="136"/>
  <c r="D30" i="136"/>
  <c r="D34" i="136" s="1"/>
  <c r="C30" i="136"/>
  <c r="B30" i="136"/>
  <c r="P29" i="136"/>
  <c r="J29" i="136"/>
  <c r="P28" i="136"/>
  <c r="P34" i="136" s="1"/>
  <c r="P36" i="136" s="1"/>
  <c r="P40" i="136" s="1"/>
  <c r="J28" i="136"/>
  <c r="I28" i="136"/>
  <c r="J27" i="136"/>
  <c r="I27" i="136"/>
  <c r="J26" i="136"/>
  <c r="I26" i="136"/>
  <c r="C26" i="136"/>
  <c r="J25" i="136"/>
  <c r="I25" i="136"/>
  <c r="J24" i="136"/>
  <c r="I24" i="136"/>
  <c r="J23" i="136"/>
  <c r="I23" i="136"/>
  <c r="J22" i="136"/>
  <c r="I22" i="136"/>
  <c r="J21" i="136"/>
  <c r="I21" i="136"/>
  <c r="J20" i="136"/>
  <c r="I20" i="136"/>
  <c r="J19" i="136"/>
  <c r="I19" i="136"/>
  <c r="J18" i="136"/>
  <c r="J34" i="136" s="1"/>
  <c r="J36" i="136" s="1"/>
  <c r="J40" i="136" s="1"/>
  <c r="I18" i="136"/>
  <c r="I34" i="136" s="1"/>
  <c r="C18" i="136"/>
  <c r="B18" i="136"/>
  <c r="B34" i="136" s="1"/>
  <c r="B36" i="136" s="1"/>
  <c r="B40" i="136" s="1"/>
  <c r="T15" i="136"/>
  <c r="T36" i="136" s="1"/>
  <c r="T40" i="136" s="1"/>
  <c r="S15" i="136"/>
  <c r="R15" i="136"/>
  <c r="Q15" i="136"/>
  <c r="P15" i="136"/>
  <c r="O15" i="136"/>
  <c r="N15" i="136"/>
  <c r="M15" i="136"/>
  <c r="L15" i="136"/>
  <c r="K15" i="136"/>
  <c r="H15" i="136"/>
  <c r="G15" i="136"/>
  <c r="B15" i="136"/>
  <c r="J14" i="136"/>
  <c r="I14" i="136"/>
  <c r="F14" i="136"/>
  <c r="F15" i="136" s="1"/>
  <c r="E14" i="136"/>
  <c r="E15" i="136" s="1"/>
  <c r="C14" i="136"/>
  <c r="B14" i="136"/>
  <c r="J12" i="136"/>
  <c r="J11" i="136"/>
  <c r="I11" i="136"/>
  <c r="I15" i="136" s="1"/>
  <c r="J10" i="136"/>
  <c r="I10" i="136"/>
  <c r="J9" i="136"/>
  <c r="I9" i="136"/>
  <c r="J8" i="136"/>
  <c r="I8" i="136"/>
  <c r="C8" i="136"/>
  <c r="C15" i="136" s="1"/>
  <c r="J7" i="136"/>
  <c r="J15" i="136" s="1"/>
  <c r="I7" i="136"/>
  <c r="J6" i="136"/>
  <c r="I6" i="136"/>
  <c r="D6" i="136"/>
  <c r="D15" i="136" s="1"/>
  <c r="C6" i="136"/>
  <c r="B6" i="136"/>
  <c r="T34" i="135"/>
  <c r="S34" i="135"/>
  <c r="K34" i="135"/>
  <c r="K36" i="135" s="1"/>
  <c r="K40" i="135" s="1"/>
  <c r="H34" i="135"/>
  <c r="H36" i="135" s="1"/>
  <c r="H40" i="135" s="1"/>
  <c r="F34" i="135"/>
  <c r="F36" i="135" s="1"/>
  <c r="F40" i="135" s="1"/>
  <c r="R33" i="135"/>
  <c r="R34" i="135" s="1"/>
  <c r="Q33" i="135"/>
  <c r="Q34" i="135" s="1"/>
  <c r="Q36" i="135" s="1"/>
  <c r="Q40" i="135" s="1"/>
  <c r="O33" i="135"/>
  <c r="O34" i="135" s="1"/>
  <c r="O36" i="135" s="1"/>
  <c r="O40" i="135" s="1"/>
  <c r="N33" i="135"/>
  <c r="N34" i="135" s="1"/>
  <c r="N36" i="135" s="1"/>
  <c r="N40" i="135" s="1"/>
  <c r="M33" i="135"/>
  <c r="M34" i="135" s="1"/>
  <c r="M36" i="135" s="1"/>
  <c r="M40" i="135" s="1"/>
  <c r="L33" i="135"/>
  <c r="L34" i="135" s="1"/>
  <c r="L36" i="135" s="1"/>
  <c r="L40" i="135" s="1"/>
  <c r="J33" i="135"/>
  <c r="I33" i="135"/>
  <c r="G33" i="135"/>
  <c r="G34" i="135" s="1"/>
  <c r="G36" i="135" s="1"/>
  <c r="G40" i="135" s="1"/>
  <c r="E33" i="135"/>
  <c r="E34" i="135" s="1"/>
  <c r="E36" i="135" s="1"/>
  <c r="E40" i="135" s="1"/>
  <c r="D33" i="135"/>
  <c r="C33" i="135"/>
  <c r="B33" i="135"/>
  <c r="J32" i="135"/>
  <c r="J31" i="135"/>
  <c r="I31" i="135"/>
  <c r="D31" i="135"/>
  <c r="C31" i="135"/>
  <c r="J30" i="135"/>
  <c r="I30" i="135"/>
  <c r="D30" i="135"/>
  <c r="D34" i="135" s="1"/>
  <c r="C30" i="135"/>
  <c r="B30" i="135"/>
  <c r="P29" i="135"/>
  <c r="J29" i="135"/>
  <c r="P28" i="135"/>
  <c r="P34" i="135" s="1"/>
  <c r="P36" i="135" s="1"/>
  <c r="P40" i="135" s="1"/>
  <c r="J28" i="135"/>
  <c r="I28" i="135"/>
  <c r="J27" i="135"/>
  <c r="I27" i="135"/>
  <c r="J26" i="135"/>
  <c r="I26" i="135"/>
  <c r="C26" i="135"/>
  <c r="J25" i="135"/>
  <c r="I25" i="135"/>
  <c r="J24" i="135"/>
  <c r="I24" i="135"/>
  <c r="J23" i="135"/>
  <c r="I23" i="135"/>
  <c r="J22" i="135"/>
  <c r="I22" i="135"/>
  <c r="J21" i="135"/>
  <c r="I21" i="135"/>
  <c r="J20" i="135"/>
  <c r="I20" i="135"/>
  <c r="J19" i="135"/>
  <c r="I19" i="135"/>
  <c r="J18" i="135"/>
  <c r="J34" i="135" s="1"/>
  <c r="J36" i="135" s="1"/>
  <c r="J40" i="135" s="1"/>
  <c r="I18" i="135"/>
  <c r="I34" i="135" s="1"/>
  <c r="I36" i="135" s="1"/>
  <c r="I40" i="135" s="1"/>
  <c r="C18" i="135"/>
  <c r="C34" i="135" s="1"/>
  <c r="C36" i="135" s="1"/>
  <c r="C40" i="135" s="1"/>
  <c r="B18" i="135"/>
  <c r="B34" i="135" s="1"/>
  <c r="B36" i="135" s="1"/>
  <c r="B40" i="135" s="1"/>
  <c r="T15" i="135"/>
  <c r="T36" i="135" s="1"/>
  <c r="T40" i="135" s="1"/>
  <c r="S15" i="135"/>
  <c r="R15" i="135"/>
  <c r="Q15" i="135"/>
  <c r="P15" i="135"/>
  <c r="O15" i="135"/>
  <c r="N15" i="135"/>
  <c r="M15" i="135"/>
  <c r="L15" i="135"/>
  <c r="K15" i="135"/>
  <c r="H15" i="135"/>
  <c r="G15" i="135"/>
  <c r="F15" i="135"/>
  <c r="E15" i="135"/>
  <c r="J14" i="135"/>
  <c r="I14" i="135"/>
  <c r="F14" i="135"/>
  <c r="E14" i="135"/>
  <c r="C14" i="135"/>
  <c r="B14" i="135"/>
  <c r="J12" i="135"/>
  <c r="J11" i="135"/>
  <c r="I11" i="135"/>
  <c r="J10" i="135"/>
  <c r="I10" i="135"/>
  <c r="J9" i="135"/>
  <c r="I9" i="135"/>
  <c r="J8" i="135"/>
  <c r="I8" i="135"/>
  <c r="C8" i="135"/>
  <c r="J7" i="135"/>
  <c r="I7" i="135"/>
  <c r="J6" i="135"/>
  <c r="J15" i="135" s="1"/>
  <c r="I6" i="135"/>
  <c r="I15" i="135" s="1"/>
  <c r="D6" i="135"/>
  <c r="D15" i="135" s="1"/>
  <c r="C6" i="135"/>
  <c r="C15" i="135" s="1"/>
  <c r="B6" i="135"/>
  <c r="B15" i="135" s="1"/>
  <c r="R33" i="134"/>
  <c r="R34" i="134"/>
  <c r="T34" i="134"/>
  <c r="S34" i="134"/>
  <c r="K34" i="134"/>
  <c r="K36" i="134" s="1"/>
  <c r="K40" i="134" s="1"/>
  <c r="H34" i="134"/>
  <c r="H36" i="134" s="1"/>
  <c r="H40" i="134" s="1"/>
  <c r="F34" i="134"/>
  <c r="E34" i="134"/>
  <c r="E36" i="134" s="1"/>
  <c r="E40" i="134" s="1"/>
  <c r="C34" i="134"/>
  <c r="C36" i="134" s="1"/>
  <c r="C40" i="134" s="1"/>
  <c r="Q33" i="134"/>
  <c r="Q34" i="134" s="1"/>
  <c r="Q36" i="134" s="1"/>
  <c r="Q40" i="134" s="1"/>
  <c r="O33" i="134"/>
  <c r="O34" i="134" s="1"/>
  <c r="O36" i="134" s="1"/>
  <c r="O40" i="134" s="1"/>
  <c r="N33" i="134"/>
  <c r="N34" i="134" s="1"/>
  <c r="N36" i="134" s="1"/>
  <c r="N40" i="134" s="1"/>
  <c r="M33" i="134"/>
  <c r="M34" i="134" s="1"/>
  <c r="M36" i="134" s="1"/>
  <c r="M40" i="134" s="1"/>
  <c r="L33" i="134"/>
  <c r="L34" i="134" s="1"/>
  <c r="L36" i="134" s="1"/>
  <c r="L40" i="134" s="1"/>
  <c r="J33" i="134"/>
  <c r="I33" i="134"/>
  <c r="G33" i="134"/>
  <c r="G34" i="134" s="1"/>
  <c r="G36" i="134" s="1"/>
  <c r="G40" i="134" s="1"/>
  <c r="E33" i="134"/>
  <c r="D33" i="134"/>
  <c r="C33" i="134"/>
  <c r="B33" i="134"/>
  <c r="J32" i="134"/>
  <c r="J31" i="134"/>
  <c r="I31" i="134"/>
  <c r="D31" i="134"/>
  <c r="C31" i="134"/>
  <c r="J30" i="134"/>
  <c r="I30" i="134"/>
  <c r="D30" i="134"/>
  <c r="D34" i="134" s="1"/>
  <c r="C30" i="134"/>
  <c r="B30" i="134"/>
  <c r="P29" i="134"/>
  <c r="J29" i="134"/>
  <c r="P28" i="134"/>
  <c r="P34" i="134" s="1"/>
  <c r="P36" i="134" s="1"/>
  <c r="P40" i="134" s="1"/>
  <c r="J28" i="134"/>
  <c r="I28" i="134"/>
  <c r="J27" i="134"/>
  <c r="I27" i="134"/>
  <c r="J26" i="134"/>
  <c r="I26" i="134"/>
  <c r="C26" i="134"/>
  <c r="J25" i="134"/>
  <c r="I25" i="134"/>
  <c r="J24" i="134"/>
  <c r="I24" i="134"/>
  <c r="J23" i="134"/>
  <c r="I23" i="134"/>
  <c r="J22" i="134"/>
  <c r="I22" i="134"/>
  <c r="J21" i="134"/>
  <c r="I21" i="134"/>
  <c r="J20" i="134"/>
  <c r="I20" i="134"/>
  <c r="J19" i="134"/>
  <c r="I19" i="134"/>
  <c r="J18" i="134"/>
  <c r="J34" i="134" s="1"/>
  <c r="J36" i="134" s="1"/>
  <c r="J40" i="134" s="1"/>
  <c r="I18" i="134"/>
  <c r="I34" i="134" s="1"/>
  <c r="I36" i="134" s="1"/>
  <c r="I40" i="134" s="1"/>
  <c r="C18" i="134"/>
  <c r="B18" i="134"/>
  <c r="B34" i="134" s="1"/>
  <c r="T15" i="134"/>
  <c r="T36" i="134" s="1"/>
  <c r="T40" i="134" s="1"/>
  <c r="S15" i="134"/>
  <c r="R15" i="134"/>
  <c r="Q15" i="134"/>
  <c r="P15" i="134"/>
  <c r="O15" i="134"/>
  <c r="N15" i="134"/>
  <c r="M15" i="134"/>
  <c r="L15" i="134"/>
  <c r="K15" i="134"/>
  <c r="H15" i="134"/>
  <c r="G15" i="134"/>
  <c r="C15" i="134"/>
  <c r="J14" i="134"/>
  <c r="I14" i="134"/>
  <c r="F14" i="134"/>
  <c r="F15" i="134" s="1"/>
  <c r="E14" i="134"/>
  <c r="E15" i="134" s="1"/>
  <c r="C14" i="134"/>
  <c r="B14" i="134"/>
  <c r="J12" i="134"/>
  <c r="J11" i="134"/>
  <c r="I11" i="134"/>
  <c r="I15" i="134" s="1"/>
  <c r="J10" i="134"/>
  <c r="I10" i="134"/>
  <c r="J9" i="134"/>
  <c r="I9" i="134"/>
  <c r="J8" i="134"/>
  <c r="I8" i="134"/>
  <c r="C8" i="134"/>
  <c r="J7" i="134"/>
  <c r="I7" i="134"/>
  <c r="J6" i="134"/>
  <c r="J15" i="134" s="1"/>
  <c r="I6" i="134"/>
  <c r="D6" i="134"/>
  <c r="D15" i="134" s="1"/>
  <c r="C6" i="134"/>
  <c r="B6" i="134"/>
  <c r="B15" i="134" s="1"/>
  <c r="R33" i="133"/>
  <c r="T36" i="133"/>
  <c r="T40" i="133" s="1"/>
  <c r="T34" i="133"/>
  <c r="S34" i="133"/>
  <c r="K34" i="133"/>
  <c r="K36" i="133" s="1"/>
  <c r="K40" i="133" s="1"/>
  <c r="H34" i="133"/>
  <c r="H36" i="133" s="1"/>
  <c r="H40" i="133" s="1"/>
  <c r="G34" i="133"/>
  <c r="G36" i="133" s="1"/>
  <c r="G40" i="133" s="1"/>
  <c r="F34" i="133"/>
  <c r="R34" i="133"/>
  <c r="Q33" i="133"/>
  <c r="Q34" i="133" s="1"/>
  <c r="Q36" i="133" s="1"/>
  <c r="Q40" i="133" s="1"/>
  <c r="O33" i="133"/>
  <c r="O34" i="133" s="1"/>
  <c r="O36" i="133" s="1"/>
  <c r="O40" i="133" s="1"/>
  <c r="N33" i="133"/>
  <c r="N34" i="133" s="1"/>
  <c r="N36" i="133" s="1"/>
  <c r="N40" i="133" s="1"/>
  <c r="M33" i="133"/>
  <c r="M34" i="133" s="1"/>
  <c r="M36" i="133" s="1"/>
  <c r="M40" i="133" s="1"/>
  <c r="L33" i="133"/>
  <c r="L34" i="133" s="1"/>
  <c r="L36" i="133" s="1"/>
  <c r="L40" i="133" s="1"/>
  <c r="J33" i="133"/>
  <c r="I33" i="133"/>
  <c r="G33" i="133"/>
  <c r="E33" i="133"/>
  <c r="E34" i="133" s="1"/>
  <c r="E36" i="133" s="1"/>
  <c r="E40" i="133" s="1"/>
  <c r="D33" i="133"/>
  <c r="C33" i="133"/>
  <c r="B33" i="133"/>
  <c r="J32" i="133"/>
  <c r="J31" i="133"/>
  <c r="I31" i="133"/>
  <c r="D31" i="133"/>
  <c r="D34" i="133" s="1"/>
  <c r="D36" i="133" s="1"/>
  <c r="D40" i="133" s="1"/>
  <c r="C31" i="133"/>
  <c r="J30" i="133"/>
  <c r="I30" i="133"/>
  <c r="D30" i="133"/>
  <c r="C30" i="133"/>
  <c r="B30" i="133"/>
  <c r="P29" i="133"/>
  <c r="J29" i="133"/>
  <c r="P28" i="133"/>
  <c r="P34" i="133" s="1"/>
  <c r="P36" i="133" s="1"/>
  <c r="P40" i="133" s="1"/>
  <c r="J28" i="133"/>
  <c r="I28" i="133"/>
  <c r="J27" i="133"/>
  <c r="I27" i="133"/>
  <c r="J26" i="133"/>
  <c r="I26" i="133"/>
  <c r="C26" i="133"/>
  <c r="J25" i="133"/>
  <c r="I25" i="133"/>
  <c r="J24" i="133"/>
  <c r="I24" i="133"/>
  <c r="J23" i="133"/>
  <c r="I23" i="133"/>
  <c r="J22" i="133"/>
  <c r="I22" i="133"/>
  <c r="J21" i="133"/>
  <c r="I21" i="133"/>
  <c r="J20" i="133"/>
  <c r="I20" i="133"/>
  <c r="J19" i="133"/>
  <c r="I19" i="133"/>
  <c r="J18" i="133"/>
  <c r="J34" i="133" s="1"/>
  <c r="I18" i="133"/>
  <c r="I34" i="133" s="1"/>
  <c r="I36" i="133" s="1"/>
  <c r="I40" i="133" s="1"/>
  <c r="C18" i="133"/>
  <c r="C34" i="133" s="1"/>
  <c r="B18" i="133"/>
  <c r="B34" i="133" s="1"/>
  <c r="B36" i="133" s="1"/>
  <c r="B40" i="133" s="1"/>
  <c r="T15" i="133"/>
  <c r="S15" i="133"/>
  <c r="R15" i="133"/>
  <c r="Q15" i="133"/>
  <c r="P15" i="133"/>
  <c r="O15" i="133"/>
  <c r="N15" i="133"/>
  <c r="M15" i="133"/>
  <c r="L15" i="133"/>
  <c r="K15" i="133"/>
  <c r="H15" i="133"/>
  <c r="G15" i="133"/>
  <c r="F15" i="133"/>
  <c r="F36" i="133" s="1"/>
  <c r="F40" i="133" s="1"/>
  <c r="E15" i="133"/>
  <c r="B15" i="133"/>
  <c r="J14" i="133"/>
  <c r="I14" i="133"/>
  <c r="F14" i="133"/>
  <c r="E14" i="133"/>
  <c r="C14" i="133"/>
  <c r="B14" i="133"/>
  <c r="J12" i="133"/>
  <c r="J11" i="133"/>
  <c r="I11" i="133"/>
  <c r="J10" i="133"/>
  <c r="I10" i="133"/>
  <c r="J9" i="133"/>
  <c r="I9" i="133"/>
  <c r="J8" i="133"/>
  <c r="I8" i="133"/>
  <c r="C8" i="133"/>
  <c r="C15" i="133" s="1"/>
  <c r="J7" i="133"/>
  <c r="I7" i="133"/>
  <c r="J6" i="133"/>
  <c r="J15" i="133" s="1"/>
  <c r="I6" i="133"/>
  <c r="I15" i="133" s="1"/>
  <c r="D6" i="133"/>
  <c r="D15" i="133" s="1"/>
  <c r="C6" i="133"/>
  <c r="B6" i="133"/>
  <c r="T34" i="132"/>
  <c r="S34" i="132"/>
  <c r="K34" i="132"/>
  <c r="K36" i="132" s="1"/>
  <c r="K40" i="132" s="1"/>
  <c r="H34" i="132"/>
  <c r="H36" i="132" s="1"/>
  <c r="H40" i="132" s="1"/>
  <c r="F34" i="132"/>
  <c r="B34" i="132"/>
  <c r="B36" i="132" s="1"/>
  <c r="B40" i="132" s="1"/>
  <c r="R33" i="132"/>
  <c r="R34" i="132" s="1"/>
  <c r="Q33" i="132"/>
  <c r="Q34" i="132" s="1"/>
  <c r="Q36" i="132" s="1"/>
  <c r="Q40" i="132" s="1"/>
  <c r="O33" i="132"/>
  <c r="O34" i="132" s="1"/>
  <c r="O36" i="132" s="1"/>
  <c r="O40" i="132" s="1"/>
  <c r="N33" i="132"/>
  <c r="N34" i="132" s="1"/>
  <c r="N36" i="132" s="1"/>
  <c r="N40" i="132" s="1"/>
  <c r="M33" i="132"/>
  <c r="M34" i="132" s="1"/>
  <c r="M36" i="132" s="1"/>
  <c r="M40" i="132" s="1"/>
  <c r="L33" i="132"/>
  <c r="L34" i="132" s="1"/>
  <c r="L36" i="132" s="1"/>
  <c r="L40" i="132" s="1"/>
  <c r="J33" i="132"/>
  <c r="I33" i="132"/>
  <c r="G33" i="132"/>
  <c r="G34" i="132" s="1"/>
  <c r="G36" i="132" s="1"/>
  <c r="G40" i="132" s="1"/>
  <c r="E33" i="132"/>
  <c r="E34" i="132" s="1"/>
  <c r="E36" i="132" s="1"/>
  <c r="E40" i="132" s="1"/>
  <c r="D33" i="132"/>
  <c r="C33" i="132"/>
  <c r="B33" i="132"/>
  <c r="J32" i="132"/>
  <c r="J31" i="132"/>
  <c r="I31" i="132"/>
  <c r="D31" i="132"/>
  <c r="D34" i="132" s="1"/>
  <c r="D36" i="132" s="1"/>
  <c r="D40" i="132" s="1"/>
  <c r="C31" i="132"/>
  <c r="J30" i="132"/>
  <c r="I30" i="132"/>
  <c r="D30" i="132"/>
  <c r="C30" i="132"/>
  <c r="B30" i="132"/>
  <c r="P29" i="132"/>
  <c r="J29" i="132"/>
  <c r="P28" i="132"/>
  <c r="P34" i="132" s="1"/>
  <c r="P36" i="132" s="1"/>
  <c r="P40" i="132" s="1"/>
  <c r="J28" i="132"/>
  <c r="I28" i="132"/>
  <c r="J27" i="132"/>
  <c r="I27" i="132"/>
  <c r="J26" i="132"/>
  <c r="I26" i="132"/>
  <c r="C26" i="132"/>
  <c r="J25" i="132"/>
  <c r="I25" i="132"/>
  <c r="J24" i="132"/>
  <c r="I24" i="132"/>
  <c r="J23" i="132"/>
  <c r="I23" i="132"/>
  <c r="J22" i="132"/>
  <c r="I22" i="132"/>
  <c r="J21" i="132"/>
  <c r="I21" i="132"/>
  <c r="J20" i="132"/>
  <c r="I20" i="132"/>
  <c r="J19" i="132"/>
  <c r="I19" i="132"/>
  <c r="J18" i="132"/>
  <c r="J34" i="132" s="1"/>
  <c r="J36" i="132" s="1"/>
  <c r="J40" i="132" s="1"/>
  <c r="I18" i="132"/>
  <c r="I34" i="132" s="1"/>
  <c r="I36" i="132" s="1"/>
  <c r="I40" i="132" s="1"/>
  <c r="C18" i="132"/>
  <c r="C34" i="132" s="1"/>
  <c r="B18" i="132"/>
  <c r="T15" i="132"/>
  <c r="T36" i="132" s="1"/>
  <c r="T40" i="132" s="1"/>
  <c r="S15" i="132"/>
  <c r="R15" i="132"/>
  <c r="Q15" i="132"/>
  <c r="P15" i="132"/>
  <c r="O15" i="132"/>
  <c r="N15" i="132"/>
  <c r="M15" i="132"/>
  <c r="L15" i="132"/>
  <c r="K15" i="132"/>
  <c r="H15" i="132"/>
  <c r="G15" i="132"/>
  <c r="F15" i="132"/>
  <c r="F36" i="132" s="1"/>
  <c r="F40" i="132" s="1"/>
  <c r="D15" i="132"/>
  <c r="B15" i="132"/>
  <c r="J14" i="132"/>
  <c r="I14" i="132"/>
  <c r="F14" i="132"/>
  <c r="E14" i="132"/>
  <c r="E15" i="132" s="1"/>
  <c r="C14" i="132"/>
  <c r="B14" i="132"/>
  <c r="J12" i="132"/>
  <c r="J11" i="132"/>
  <c r="I11" i="132"/>
  <c r="J10" i="132"/>
  <c r="I10" i="132"/>
  <c r="J9" i="132"/>
  <c r="I9" i="132"/>
  <c r="J8" i="132"/>
  <c r="I8" i="132"/>
  <c r="C8" i="132"/>
  <c r="C15" i="132" s="1"/>
  <c r="J7" i="132"/>
  <c r="I7" i="132"/>
  <c r="J6" i="132"/>
  <c r="J15" i="132" s="1"/>
  <c r="I6" i="132"/>
  <c r="I15" i="132" s="1"/>
  <c r="D6" i="132"/>
  <c r="C6" i="132"/>
  <c r="B6" i="132"/>
  <c r="R33" i="131"/>
  <c r="R34" i="131"/>
  <c r="Q34" i="131"/>
  <c r="Q33" i="131"/>
  <c r="Q15" i="131"/>
  <c r="T34" i="131"/>
  <c r="S34" i="131"/>
  <c r="K34" i="131"/>
  <c r="K36" i="131" s="1"/>
  <c r="K40" i="131" s="1"/>
  <c r="H34" i="131"/>
  <c r="H36" i="131" s="1"/>
  <c r="H40" i="131" s="1"/>
  <c r="F34" i="131"/>
  <c r="O33" i="131"/>
  <c r="O34" i="131" s="1"/>
  <c r="N33" i="131"/>
  <c r="N34" i="131" s="1"/>
  <c r="M33" i="131"/>
  <c r="M34" i="131" s="1"/>
  <c r="L33" i="131"/>
  <c r="L34" i="131" s="1"/>
  <c r="L36" i="131" s="1"/>
  <c r="L40" i="131" s="1"/>
  <c r="J33" i="131"/>
  <c r="I33" i="131"/>
  <c r="G33" i="131"/>
  <c r="G34" i="131" s="1"/>
  <c r="E33" i="131"/>
  <c r="E34" i="131" s="1"/>
  <c r="D33" i="131"/>
  <c r="C33" i="131"/>
  <c r="B33" i="131"/>
  <c r="J32" i="131"/>
  <c r="J31" i="131"/>
  <c r="I31" i="131"/>
  <c r="D31" i="131"/>
  <c r="C31" i="131"/>
  <c r="J30" i="131"/>
  <c r="I30" i="131"/>
  <c r="D30" i="131"/>
  <c r="C30" i="131"/>
  <c r="B30" i="131"/>
  <c r="P29" i="131"/>
  <c r="J29" i="131"/>
  <c r="P28" i="131"/>
  <c r="P34" i="131" s="1"/>
  <c r="J28" i="131"/>
  <c r="I28" i="131"/>
  <c r="J27" i="131"/>
  <c r="I27" i="131"/>
  <c r="J26" i="131"/>
  <c r="I26" i="131"/>
  <c r="C26" i="131"/>
  <c r="J25" i="131"/>
  <c r="I25" i="131"/>
  <c r="J24" i="131"/>
  <c r="I24" i="131"/>
  <c r="J23" i="131"/>
  <c r="I23" i="131"/>
  <c r="J22" i="131"/>
  <c r="I22" i="131"/>
  <c r="J21" i="131"/>
  <c r="I21" i="131"/>
  <c r="J20" i="131"/>
  <c r="I20" i="131"/>
  <c r="J19" i="131"/>
  <c r="I19" i="131"/>
  <c r="J18" i="131"/>
  <c r="I18" i="131"/>
  <c r="C18" i="131"/>
  <c r="B18" i="131"/>
  <c r="T15" i="131"/>
  <c r="T36" i="131" s="1"/>
  <c r="T40" i="131" s="1"/>
  <c r="S15" i="131"/>
  <c r="R15" i="131"/>
  <c r="P15" i="131"/>
  <c r="O15" i="131"/>
  <c r="N15" i="131"/>
  <c r="M15" i="131"/>
  <c r="L15" i="131"/>
  <c r="K15" i="131"/>
  <c r="H15" i="131"/>
  <c r="G15" i="131"/>
  <c r="F15" i="131"/>
  <c r="D15" i="131"/>
  <c r="J14" i="131"/>
  <c r="I14" i="131"/>
  <c r="F14" i="131"/>
  <c r="E14" i="131"/>
  <c r="E15" i="131" s="1"/>
  <c r="C14" i="131"/>
  <c r="B14" i="131"/>
  <c r="J12" i="131"/>
  <c r="J11" i="131"/>
  <c r="I11" i="131"/>
  <c r="J10" i="131"/>
  <c r="I10" i="131"/>
  <c r="J9" i="131"/>
  <c r="I9" i="131"/>
  <c r="J8" i="131"/>
  <c r="I8" i="131"/>
  <c r="C8" i="131"/>
  <c r="J7" i="131"/>
  <c r="I7" i="131"/>
  <c r="J6" i="131"/>
  <c r="I6" i="131"/>
  <c r="D6" i="131"/>
  <c r="C6" i="131"/>
  <c r="C15" i="131" s="1"/>
  <c r="B6" i="131"/>
  <c r="B15" i="131" s="1"/>
  <c r="Q34" i="130"/>
  <c r="Q33" i="130"/>
  <c r="Q15" i="130"/>
  <c r="H36" i="130"/>
  <c r="H40" i="130" s="1"/>
  <c r="R34" i="130"/>
  <c r="P34" i="130"/>
  <c r="K34" i="130"/>
  <c r="H34" i="130"/>
  <c r="F34" i="130"/>
  <c r="E34" i="130"/>
  <c r="O33" i="130"/>
  <c r="O34" i="130" s="1"/>
  <c r="N33" i="130"/>
  <c r="N34" i="130" s="1"/>
  <c r="N36" i="130" s="1"/>
  <c r="N40" i="130" s="1"/>
  <c r="L33" i="130"/>
  <c r="L34" i="130" s="1"/>
  <c r="J33" i="130"/>
  <c r="I33" i="130"/>
  <c r="G33" i="130"/>
  <c r="G34" i="130" s="1"/>
  <c r="G36" i="130" s="1"/>
  <c r="G40" i="130" s="1"/>
  <c r="E33" i="130"/>
  <c r="D33" i="130"/>
  <c r="C33" i="130"/>
  <c r="B33" i="130"/>
  <c r="J32" i="130"/>
  <c r="J31" i="130"/>
  <c r="I31" i="130"/>
  <c r="D31" i="130"/>
  <c r="C31" i="130"/>
  <c r="J30" i="130"/>
  <c r="I30" i="130"/>
  <c r="D30" i="130"/>
  <c r="D34" i="130" s="1"/>
  <c r="D36" i="130" s="1"/>
  <c r="D40" i="130" s="1"/>
  <c r="C30" i="130"/>
  <c r="B30" i="130"/>
  <c r="J29" i="130"/>
  <c r="J28" i="130"/>
  <c r="I28" i="130"/>
  <c r="J27" i="130"/>
  <c r="I27" i="130"/>
  <c r="J26" i="130"/>
  <c r="I26" i="130"/>
  <c r="C26" i="130"/>
  <c r="J25" i="130"/>
  <c r="I25" i="130"/>
  <c r="J24" i="130"/>
  <c r="I24" i="130"/>
  <c r="J23" i="130"/>
  <c r="I23" i="130"/>
  <c r="J22" i="130"/>
  <c r="I22" i="130"/>
  <c r="J21" i="130"/>
  <c r="I21" i="130"/>
  <c r="J20" i="130"/>
  <c r="I20" i="130"/>
  <c r="J19" i="130"/>
  <c r="I19" i="130"/>
  <c r="C19" i="130"/>
  <c r="B19" i="130"/>
  <c r="J18" i="130"/>
  <c r="I18" i="130"/>
  <c r="R15" i="130"/>
  <c r="P15" i="130"/>
  <c r="O15" i="130"/>
  <c r="N15" i="130"/>
  <c r="L15" i="130"/>
  <c r="K15" i="130"/>
  <c r="H15" i="130"/>
  <c r="G15" i="130"/>
  <c r="D15" i="130"/>
  <c r="J14" i="130"/>
  <c r="I14" i="130"/>
  <c r="F14" i="130"/>
  <c r="F15" i="130" s="1"/>
  <c r="E14" i="130"/>
  <c r="E15" i="130" s="1"/>
  <c r="C14" i="130"/>
  <c r="B14" i="130"/>
  <c r="J12" i="130"/>
  <c r="J11" i="130"/>
  <c r="I11" i="130"/>
  <c r="J10" i="130"/>
  <c r="I10" i="130"/>
  <c r="J9" i="130"/>
  <c r="I9" i="130"/>
  <c r="J8" i="130"/>
  <c r="I8" i="130"/>
  <c r="C8" i="130"/>
  <c r="J7" i="130"/>
  <c r="I7" i="130"/>
  <c r="J6" i="130"/>
  <c r="I6" i="130"/>
  <c r="D6" i="130"/>
  <c r="C6" i="130"/>
  <c r="B6" i="130"/>
  <c r="D29" i="129"/>
  <c r="D30" i="129" s="1"/>
  <c r="D32" i="129" s="1"/>
  <c r="D11" i="129"/>
  <c r="E30" i="129"/>
  <c r="C30" i="129"/>
  <c r="C32" i="129" s="1"/>
  <c r="E26" i="129"/>
  <c r="E32" i="129" s="1"/>
  <c r="D26" i="129"/>
  <c r="C26" i="129"/>
  <c r="D25" i="129"/>
  <c r="E17" i="129"/>
  <c r="C17" i="129"/>
  <c r="D16" i="129"/>
  <c r="D17" i="129" s="1"/>
  <c r="E13" i="129"/>
  <c r="C13" i="129"/>
  <c r="D12" i="129"/>
  <c r="D13" i="129" s="1"/>
  <c r="E8" i="129"/>
  <c r="D8" i="129"/>
  <c r="C8" i="129"/>
  <c r="R34" i="128"/>
  <c r="K34" i="128"/>
  <c r="H34" i="128"/>
  <c r="F34" i="128"/>
  <c r="Q33" i="128"/>
  <c r="Q34" i="128" s="1"/>
  <c r="Q36" i="128" s="1"/>
  <c r="Q40" i="128" s="1"/>
  <c r="O33" i="128"/>
  <c r="O34" i="128" s="1"/>
  <c r="N33" i="128"/>
  <c r="N34" i="128" s="1"/>
  <c r="M33" i="128"/>
  <c r="M34" i="128" s="1"/>
  <c r="L33" i="128"/>
  <c r="L34" i="128" s="1"/>
  <c r="J33" i="128"/>
  <c r="I33" i="128"/>
  <c r="G33" i="128"/>
  <c r="G34" i="128" s="1"/>
  <c r="G36" i="128" s="1"/>
  <c r="G40" i="128" s="1"/>
  <c r="E33" i="128"/>
  <c r="E34" i="128" s="1"/>
  <c r="D33" i="128"/>
  <c r="C33" i="128"/>
  <c r="B33" i="128"/>
  <c r="J32" i="128"/>
  <c r="J31" i="128"/>
  <c r="I31" i="128"/>
  <c r="D31" i="128"/>
  <c r="C31" i="128"/>
  <c r="J30" i="128"/>
  <c r="I30" i="128"/>
  <c r="D30" i="128"/>
  <c r="C30" i="128"/>
  <c r="B30" i="128"/>
  <c r="P29" i="128"/>
  <c r="J29" i="128"/>
  <c r="P28" i="128"/>
  <c r="P34" i="128" s="1"/>
  <c r="P36" i="128" s="1"/>
  <c r="P40" i="128" s="1"/>
  <c r="J28" i="128"/>
  <c r="I28" i="128"/>
  <c r="J27" i="128"/>
  <c r="I27" i="128"/>
  <c r="J26" i="128"/>
  <c r="I26" i="128"/>
  <c r="C26" i="128"/>
  <c r="J25" i="128"/>
  <c r="I25" i="128"/>
  <c r="J24" i="128"/>
  <c r="I24" i="128"/>
  <c r="J23" i="128"/>
  <c r="I23" i="128"/>
  <c r="J22" i="128"/>
  <c r="I22" i="128"/>
  <c r="J21" i="128"/>
  <c r="I21" i="128"/>
  <c r="J20" i="128"/>
  <c r="I20" i="128"/>
  <c r="J19" i="128"/>
  <c r="I19" i="128"/>
  <c r="J18" i="128"/>
  <c r="I18" i="128"/>
  <c r="C18" i="128"/>
  <c r="B18" i="128"/>
  <c r="R15" i="128"/>
  <c r="R36" i="128" s="1"/>
  <c r="R40" i="128" s="1"/>
  <c r="Q15" i="128"/>
  <c r="P15" i="128"/>
  <c r="O15" i="128"/>
  <c r="N15" i="128"/>
  <c r="M15" i="128"/>
  <c r="L15" i="128"/>
  <c r="K15" i="128"/>
  <c r="H15" i="128"/>
  <c r="G15" i="128"/>
  <c r="J14" i="128"/>
  <c r="I14" i="128"/>
  <c r="F14" i="128"/>
  <c r="F15" i="128" s="1"/>
  <c r="E14" i="128"/>
  <c r="E15" i="128" s="1"/>
  <c r="C14" i="128"/>
  <c r="B14" i="128"/>
  <c r="J12" i="128"/>
  <c r="J11" i="128"/>
  <c r="I11" i="128"/>
  <c r="J10" i="128"/>
  <c r="I10" i="128"/>
  <c r="J9" i="128"/>
  <c r="I9" i="128"/>
  <c r="J8" i="128"/>
  <c r="I8" i="128"/>
  <c r="C8" i="128"/>
  <c r="J7" i="128"/>
  <c r="I7" i="128"/>
  <c r="J6" i="128"/>
  <c r="I6" i="128"/>
  <c r="D6" i="128"/>
  <c r="D15" i="128" s="1"/>
  <c r="C6" i="128"/>
  <c r="B6" i="128"/>
  <c r="B15" i="128" s="1"/>
  <c r="Q33" i="127"/>
  <c r="Q34" i="127"/>
  <c r="S34" i="127"/>
  <c r="S36" i="127" s="1"/>
  <c r="S40" i="127" s="1"/>
  <c r="R34" i="127"/>
  <c r="N34" i="127"/>
  <c r="N36" i="127" s="1"/>
  <c r="N40" i="127" s="1"/>
  <c r="M34" i="127"/>
  <c r="M36" i="127" s="1"/>
  <c r="M40" i="127" s="1"/>
  <c r="L34" i="127"/>
  <c r="L36" i="127" s="1"/>
  <c r="L40" i="127" s="1"/>
  <c r="K34" i="127"/>
  <c r="K36" i="127" s="1"/>
  <c r="K40" i="127" s="1"/>
  <c r="I34" i="127"/>
  <c r="I36" i="127" s="1"/>
  <c r="I40" i="127" s="1"/>
  <c r="H34" i="127"/>
  <c r="F34" i="127"/>
  <c r="F36" i="127" s="1"/>
  <c r="F40" i="127" s="1"/>
  <c r="B34" i="127"/>
  <c r="B36" i="127" s="1"/>
  <c r="B40" i="127" s="1"/>
  <c r="O33" i="127"/>
  <c r="O34" i="127" s="1"/>
  <c r="O36" i="127" s="1"/>
  <c r="O40" i="127" s="1"/>
  <c r="N33" i="127"/>
  <c r="M33" i="127"/>
  <c r="L33" i="127"/>
  <c r="J33" i="127"/>
  <c r="I33" i="127"/>
  <c r="G33" i="127"/>
  <c r="G34" i="127" s="1"/>
  <c r="G36" i="127" s="1"/>
  <c r="G40" i="127" s="1"/>
  <c r="E33" i="127"/>
  <c r="E34" i="127" s="1"/>
  <c r="E36" i="127" s="1"/>
  <c r="E40" i="127" s="1"/>
  <c r="D33" i="127"/>
  <c r="C33" i="127"/>
  <c r="B33" i="127"/>
  <c r="J32" i="127"/>
  <c r="J31" i="127"/>
  <c r="I31" i="127"/>
  <c r="D31" i="127"/>
  <c r="D34" i="127" s="1"/>
  <c r="C31" i="127"/>
  <c r="J30" i="127"/>
  <c r="I30" i="127"/>
  <c r="D30" i="127"/>
  <c r="C30" i="127"/>
  <c r="B30" i="127"/>
  <c r="P29" i="127"/>
  <c r="J29" i="127"/>
  <c r="P28" i="127"/>
  <c r="P34" i="127" s="1"/>
  <c r="P36" i="127" s="1"/>
  <c r="P40" i="127" s="1"/>
  <c r="J28" i="127"/>
  <c r="I28" i="127"/>
  <c r="J27" i="127"/>
  <c r="I27" i="127"/>
  <c r="J26" i="127"/>
  <c r="I26" i="127"/>
  <c r="C26" i="127"/>
  <c r="J25" i="127"/>
  <c r="I25" i="127"/>
  <c r="J24" i="127"/>
  <c r="I24" i="127"/>
  <c r="J23" i="127"/>
  <c r="I23" i="127"/>
  <c r="J22" i="127"/>
  <c r="I22" i="127"/>
  <c r="J21" i="127"/>
  <c r="I21" i="127"/>
  <c r="J20" i="127"/>
  <c r="I20" i="127"/>
  <c r="J19" i="127"/>
  <c r="I19" i="127"/>
  <c r="J18" i="127"/>
  <c r="J34" i="127" s="1"/>
  <c r="I18" i="127"/>
  <c r="C18" i="127"/>
  <c r="C34" i="127" s="1"/>
  <c r="C36" i="127" s="1"/>
  <c r="C40" i="127" s="1"/>
  <c r="B18" i="127"/>
  <c r="S15" i="127"/>
  <c r="R15" i="127"/>
  <c r="Q15" i="127"/>
  <c r="P15" i="127"/>
  <c r="O15" i="127"/>
  <c r="N15" i="127"/>
  <c r="M15" i="127"/>
  <c r="L15" i="127"/>
  <c r="K15" i="127"/>
  <c r="H15" i="127"/>
  <c r="H36" i="127" s="1"/>
  <c r="H40" i="127" s="1"/>
  <c r="G15" i="127"/>
  <c r="F15" i="127"/>
  <c r="E15" i="127"/>
  <c r="B15" i="127"/>
  <c r="J14" i="127"/>
  <c r="I14" i="127"/>
  <c r="F14" i="127"/>
  <c r="E14" i="127"/>
  <c r="C14" i="127"/>
  <c r="B14" i="127"/>
  <c r="J12" i="127"/>
  <c r="J11" i="127"/>
  <c r="I11" i="127"/>
  <c r="J10" i="127"/>
  <c r="I10" i="127"/>
  <c r="J9" i="127"/>
  <c r="I9" i="127"/>
  <c r="J8" i="127"/>
  <c r="I8" i="127"/>
  <c r="C8" i="127"/>
  <c r="J7" i="127"/>
  <c r="I7" i="127"/>
  <c r="J6" i="127"/>
  <c r="J15" i="127" s="1"/>
  <c r="I6" i="127"/>
  <c r="I15" i="127" s="1"/>
  <c r="D6" i="127"/>
  <c r="D15" i="127" s="1"/>
  <c r="C6" i="127"/>
  <c r="C15" i="127" s="1"/>
  <c r="B6" i="127"/>
  <c r="Q33" i="126"/>
  <c r="S34" i="126"/>
  <c r="R34" i="126"/>
  <c r="L34" i="126"/>
  <c r="L36" i="126" s="1"/>
  <c r="L40" i="126" s="1"/>
  <c r="K34" i="126"/>
  <c r="K36" i="126" s="1"/>
  <c r="K40" i="126" s="1"/>
  <c r="H34" i="126"/>
  <c r="H36" i="126" s="1"/>
  <c r="H40" i="126" s="1"/>
  <c r="F34" i="126"/>
  <c r="F36" i="126" s="1"/>
  <c r="F40" i="126" s="1"/>
  <c r="Q34" i="126"/>
  <c r="O33" i="126"/>
  <c r="O34" i="126" s="1"/>
  <c r="O36" i="126" s="1"/>
  <c r="O40" i="126" s="1"/>
  <c r="N33" i="126"/>
  <c r="N34" i="126" s="1"/>
  <c r="N36" i="126" s="1"/>
  <c r="N40" i="126" s="1"/>
  <c r="M33" i="126"/>
  <c r="M34" i="126" s="1"/>
  <c r="M36" i="126" s="1"/>
  <c r="M40" i="126" s="1"/>
  <c r="L33" i="126"/>
  <c r="J33" i="126"/>
  <c r="I33" i="126"/>
  <c r="G33" i="126"/>
  <c r="G34" i="126" s="1"/>
  <c r="G36" i="126" s="1"/>
  <c r="G40" i="126" s="1"/>
  <c r="E33" i="126"/>
  <c r="E34" i="126" s="1"/>
  <c r="D33" i="126"/>
  <c r="C33" i="126"/>
  <c r="B33" i="126"/>
  <c r="J32" i="126"/>
  <c r="J31" i="126"/>
  <c r="I31" i="126"/>
  <c r="D31" i="126"/>
  <c r="D34" i="126" s="1"/>
  <c r="D36" i="126" s="1"/>
  <c r="D40" i="126" s="1"/>
  <c r="C31" i="126"/>
  <c r="J30" i="126"/>
  <c r="I30" i="126"/>
  <c r="D30" i="126"/>
  <c r="C30" i="126"/>
  <c r="B30" i="126"/>
  <c r="B34" i="126" s="1"/>
  <c r="P29" i="126"/>
  <c r="J29" i="126"/>
  <c r="P28" i="126"/>
  <c r="P34" i="126" s="1"/>
  <c r="P36" i="126" s="1"/>
  <c r="P40" i="126" s="1"/>
  <c r="J28" i="126"/>
  <c r="I28" i="126"/>
  <c r="J27" i="126"/>
  <c r="I27" i="126"/>
  <c r="J26" i="126"/>
  <c r="I26" i="126"/>
  <c r="C26" i="126"/>
  <c r="J25" i="126"/>
  <c r="I25" i="126"/>
  <c r="J24" i="126"/>
  <c r="I24" i="126"/>
  <c r="J23" i="126"/>
  <c r="I23" i="126"/>
  <c r="J22" i="126"/>
  <c r="I22" i="126"/>
  <c r="J21" i="126"/>
  <c r="I21" i="126"/>
  <c r="J20" i="126"/>
  <c r="I20" i="126"/>
  <c r="J19" i="126"/>
  <c r="I19" i="126"/>
  <c r="J18" i="126"/>
  <c r="J34" i="126" s="1"/>
  <c r="I18" i="126"/>
  <c r="I34" i="126" s="1"/>
  <c r="C18" i="126"/>
  <c r="C34" i="126" s="1"/>
  <c r="C36" i="126" s="1"/>
  <c r="C40" i="126" s="1"/>
  <c r="B18" i="126"/>
  <c r="S15" i="126"/>
  <c r="S36" i="126" s="1"/>
  <c r="S40" i="126" s="1"/>
  <c r="R15" i="126"/>
  <c r="Q15" i="126"/>
  <c r="P15" i="126"/>
  <c r="O15" i="126"/>
  <c r="N15" i="126"/>
  <c r="M15" i="126"/>
  <c r="L15" i="126"/>
  <c r="K15" i="126"/>
  <c r="H15" i="126"/>
  <c r="G15" i="126"/>
  <c r="F15" i="126"/>
  <c r="J14" i="126"/>
  <c r="I14" i="126"/>
  <c r="F14" i="126"/>
  <c r="E14" i="126"/>
  <c r="E15" i="126" s="1"/>
  <c r="C14" i="126"/>
  <c r="B14" i="126"/>
  <c r="J12" i="126"/>
  <c r="J11" i="126"/>
  <c r="I11" i="126"/>
  <c r="J10" i="126"/>
  <c r="I10" i="126"/>
  <c r="J9" i="126"/>
  <c r="I9" i="126"/>
  <c r="J8" i="126"/>
  <c r="I8" i="126"/>
  <c r="C8" i="126"/>
  <c r="J7" i="126"/>
  <c r="I7" i="126"/>
  <c r="J6" i="126"/>
  <c r="J15" i="126" s="1"/>
  <c r="I6" i="126"/>
  <c r="I15" i="126" s="1"/>
  <c r="D6" i="126"/>
  <c r="D15" i="126" s="1"/>
  <c r="C6" i="126"/>
  <c r="C15" i="126" s="1"/>
  <c r="B6" i="126"/>
  <c r="B15" i="126" s="1"/>
  <c r="S36" i="125"/>
  <c r="S40" i="125" s="1"/>
  <c r="K36" i="125"/>
  <c r="K40" i="125" s="1"/>
  <c r="S34" i="125"/>
  <c r="R34" i="125"/>
  <c r="O34" i="125"/>
  <c r="O36" i="125" s="1"/>
  <c r="O40" i="125" s="1"/>
  <c r="N34" i="125"/>
  <c r="N36" i="125" s="1"/>
  <c r="N40" i="125" s="1"/>
  <c r="M34" i="125"/>
  <c r="M36" i="125" s="1"/>
  <c r="M40" i="125" s="1"/>
  <c r="K34" i="125"/>
  <c r="H34" i="125"/>
  <c r="H36" i="125" s="1"/>
  <c r="H40" i="125" s="1"/>
  <c r="G34" i="125"/>
  <c r="G36" i="125" s="1"/>
  <c r="G40" i="125" s="1"/>
  <c r="F34" i="125"/>
  <c r="F36" i="125" s="1"/>
  <c r="F40" i="125" s="1"/>
  <c r="E34" i="125"/>
  <c r="E36" i="125" s="1"/>
  <c r="E40" i="125" s="1"/>
  <c r="Q33" i="125"/>
  <c r="Q34" i="125" s="1"/>
  <c r="O33" i="125"/>
  <c r="N33" i="125"/>
  <c r="M33" i="125"/>
  <c r="L33" i="125"/>
  <c r="L34" i="125" s="1"/>
  <c r="L36" i="125" s="1"/>
  <c r="L40" i="125" s="1"/>
  <c r="J33" i="125"/>
  <c r="I33" i="125"/>
  <c r="G33" i="125"/>
  <c r="E33" i="125"/>
  <c r="D33" i="125"/>
  <c r="C33" i="125"/>
  <c r="B33" i="125"/>
  <c r="J32" i="125"/>
  <c r="J31" i="125"/>
  <c r="I31" i="125"/>
  <c r="D31" i="125"/>
  <c r="C31" i="125"/>
  <c r="J30" i="125"/>
  <c r="I30" i="125"/>
  <c r="D30" i="125"/>
  <c r="D34" i="125" s="1"/>
  <c r="D36" i="125" s="1"/>
  <c r="D40" i="125" s="1"/>
  <c r="C30" i="125"/>
  <c r="B30" i="125"/>
  <c r="P29" i="125"/>
  <c r="J29" i="125"/>
  <c r="P28" i="125"/>
  <c r="P34" i="125" s="1"/>
  <c r="P36" i="125" s="1"/>
  <c r="P40" i="125" s="1"/>
  <c r="J28" i="125"/>
  <c r="I28" i="125"/>
  <c r="J27" i="125"/>
  <c r="I27" i="125"/>
  <c r="J26" i="125"/>
  <c r="I26" i="125"/>
  <c r="C26" i="125"/>
  <c r="J25" i="125"/>
  <c r="I25" i="125"/>
  <c r="J24" i="125"/>
  <c r="I24" i="125"/>
  <c r="J23" i="125"/>
  <c r="I23" i="125"/>
  <c r="J22" i="125"/>
  <c r="I22" i="125"/>
  <c r="J21" i="125"/>
  <c r="I21" i="125"/>
  <c r="J20" i="125"/>
  <c r="I20" i="125"/>
  <c r="I34" i="125" s="1"/>
  <c r="I36" i="125" s="1"/>
  <c r="I40" i="125" s="1"/>
  <c r="J19" i="125"/>
  <c r="J34" i="125" s="1"/>
  <c r="I19" i="125"/>
  <c r="J18" i="125"/>
  <c r="I18" i="125"/>
  <c r="C18" i="125"/>
  <c r="C34" i="125" s="1"/>
  <c r="C36" i="125" s="1"/>
  <c r="C40" i="125" s="1"/>
  <c r="B18" i="125"/>
  <c r="B34" i="125" s="1"/>
  <c r="B36" i="125" s="1"/>
  <c r="B40" i="125" s="1"/>
  <c r="S15" i="125"/>
  <c r="R15" i="125"/>
  <c r="Q15" i="125"/>
  <c r="P15" i="125"/>
  <c r="O15" i="125"/>
  <c r="N15" i="125"/>
  <c r="M15" i="125"/>
  <c r="L15" i="125"/>
  <c r="K15" i="125"/>
  <c r="I15" i="125"/>
  <c r="H15" i="125"/>
  <c r="G15" i="125"/>
  <c r="F15" i="125"/>
  <c r="E15" i="125"/>
  <c r="D15" i="125"/>
  <c r="B15" i="125"/>
  <c r="J14" i="125"/>
  <c r="I14" i="125"/>
  <c r="F14" i="125"/>
  <c r="E14" i="125"/>
  <c r="C14" i="125"/>
  <c r="B14" i="125"/>
  <c r="J12" i="125"/>
  <c r="J11" i="125"/>
  <c r="I11" i="125"/>
  <c r="J10" i="125"/>
  <c r="I10" i="125"/>
  <c r="J9" i="125"/>
  <c r="I9" i="125"/>
  <c r="J8" i="125"/>
  <c r="I8" i="125"/>
  <c r="C8" i="125"/>
  <c r="C15" i="125" s="1"/>
  <c r="J7" i="125"/>
  <c r="J15" i="125" s="1"/>
  <c r="I7" i="125"/>
  <c r="J6" i="125"/>
  <c r="I6" i="125"/>
  <c r="D6" i="125"/>
  <c r="C6" i="125"/>
  <c r="B6" i="125"/>
  <c r="Q33" i="124"/>
  <c r="J36" i="139" l="1"/>
  <c r="J40" i="139" s="1"/>
  <c r="J38" i="140"/>
  <c r="J42" i="140" s="1"/>
  <c r="D19" i="141"/>
  <c r="I15" i="138"/>
  <c r="D34" i="138"/>
  <c r="M36" i="138"/>
  <c r="M40" i="138" s="1"/>
  <c r="N36" i="138"/>
  <c r="N40" i="138" s="1"/>
  <c r="O36" i="138"/>
  <c r="O40" i="138" s="1"/>
  <c r="C34" i="138"/>
  <c r="C36" i="138" s="1"/>
  <c r="C40" i="138" s="1"/>
  <c r="P36" i="138"/>
  <c r="P40" i="138" s="1"/>
  <c r="E36" i="138"/>
  <c r="E40" i="138" s="1"/>
  <c r="Q36" i="138"/>
  <c r="Q40" i="138" s="1"/>
  <c r="J34" i="138"/>
  <c r="I34" i="138"/>
  <c r="C15" i="138"/>
  <c r="L36" i="138"/>
  <c r="L40" i="138" s="1"/>
  <c r="H36" i="138"/>
  <c r="H40" i="138" s="1"/>
  <c r="S36" i="138"/>
  <c r="S40" i="138" s="1"/>
  <c r="R36" i="138"/>
  <c r="R40" i="138" s="1"/>
  <c r="B36" i="138"/>
  <c r="B40" i="138" s="1"/>
  <c r="I36" i="138"/>
  <c r="I40" i="138" s="1"/>
  <c r="D36" i="138"/>
  <c r="D40" i="138" s="1"/>
  <c r="J36" i="138"/>
  <c r="J40" i="138" s="1"/>
  <c r="S36" i="137"/>
  <c r="S40" i="137" s="1"/>
  <c r="R36" i="137"/>
  <c r="R40" i="137" s="1"/>
  <c r="S36" i="136"/>
  <c r="S40" i="136" s="1"/>
  <c r="E36" i="136"/>
  <c r="E40" i="136" s="1"/>
  <c r="I36" i="136"/>
  <c r="I40" i="136" s="1"/>
  <c r="D36" i="136"/>
  <c r="D40" i="136" s="1"/>
  <c r="S36" i="135"/>
  <c r="S40" i="135" s="1"/>
  <c r="R36" i="135"/>
  <c r="R40" i="135" s="1"/>
  <c r="D36" i="135"/>
  <c r="D40" i="135" s="1"/>
  <c r="S36" i="134"/>
  <c r="S40" i="134" s="1"/>
  <c r="R36" i="134"/>
  <c r="R40" i="134" s="1"/>
  <c r="F36" i="134"/>
  <c r="F40" i="134" s="1"/>
  <c r="D36" i="134"/>
  <c r="D40" i="134" s="1"/>
  <c r="B36" i="134"/>
  <c r="B40" i="134" s="1"/>
  <c r="S36" i="133"/>
  <c r="S40" i="133" s="1"/>
  <c r="R36" i="133"/>
  <c r="R40" i="133" s="1"/>
  <c r="J36" i="133"/>
  <c r="J40" i="133" s="1"/>
  <c r="C36" i="133"/>
  <c r="C40" i="133" s="1"/>
  <c r="S36" i="132"/>
  <c r="S40" i="132" s="1"/>
  <c r="R36" i="132"/>
  <c r="R40" i="132" s="1"/>
  <c r="C36" i="132"/>
  <c r="C40" i="132" s="1"/>
  <c r="Q36" i="131"/>
  <c r="Q40" i="131" s="1"/>
  <c r="S36" i="131"/>
  <c r="S40" i="131" s="1"/>
  <c r="D34" i="131"/>
  <c r="D36" i="131" s="1"/>
  <c r="D40" i="131" s="1"/>
  <c r="M36" i="131"/>
  <c r="M40" i="131" s="1"/>
  <c r="I15" i="131"/>
  <c r="N36" i="131"/>
  <c r="N40" i="131" s="1"/>
  <c r="J15" i="131"/>
  <c r="B34" i="131"/>
  <c r="B36" i="131" s="1"/>
  <c r="B40" i="131" s="1"/>
  <c r="J34" i="131"/>
  <c r="J36" i="131" s="1"/>
  <c r="J40" i="131" s="1"/>
  <c r="O36" i="131"/>
  <c r="O40" i="131" s="1"/>
  <c r="C34" i="131"/>
  <c r="C36" i="131" s="1"/>
  <c r="C40" i="131" s="1"/>
  <c r="P36" i="131"/>
  <c r="P40" i="131" s="1"/>
  <c r="R36" i="131"/>
  <c r="R40" i="131" s="1"/>
  <c r="I34" i="131"/>
  <c r="I36" i="131" s="1"/>
  <c r="I40" i="131" s="1"/>
  <c r="G36" i="131"/>
  <c r="G40" i="131" s="1"/>
  <c r="F36" i="131"/>
  <c r="F40" i="131" s="1"/>
  <c r="E36" i="131"/>
  <c r="E40" i="131" s="1"/>
  <c r="R36" i="130"/>
  <c r="R40" i="130" s="1"/>
  <c r="Q36" i="130"/>
  <c r="Q40" i="130" s="1"/>
  <c r="B15" i="130"/>
  <c r="F36" i="130"/>
  <c r="F40" i="130" s="1"/>
  <c r="J34" i="130"/>
  <c r="C15" i="130"/>
  <c r="I15" i="130"/>
  <c r="B34" i="130"/>
  <c r="K36" i="130"/>
  <c r="K40" i="130" s="1"/>
  <c r="O36" i="130"/>
  <c r="O40" i="130" s="1"/>
  <c r="I34" i="130"/>
  <c r="J15" i="130"/>
  <c r="C34" i="130"/>
  <c r="C36" i="130" s="1"/>
  <c r="C40" i="130" s="1"/>
  <c r="L36" i="130"/>
  <c r="L40" i="130" s="1"/>
  <c r="P36" i="130"/>
  <c r="P40" i="130" s="1"/>
  <c r="I36" i="130"/>
  <c r="I40" i="130" s="1"/>
  <c r="J36" i="130"/>
  <c r="J40" i="130" s="1"/>
  <c r="B36" i="130"/>
  <c r="B40" i="130" s="1"/>
  <c r="E36" i="130"/>
  <c r="E40" i="130" s="1"/>
  <c r="E19" i="129"/>
  <c r="C19" i="129"/>
  <c r="H36" i="128"/>
  <c r="H40" i="128" s="1"/>
  <c r="L36" i="128"/>
  <c r="L40" i="128" s="1"/>
  <c r="K36" i="128"/>
  <c r="K40" i="128" s="1"/>
  <c r="N36" i="128"/>
  <c r="N40" i="128" s="1"/>
  <c r="I15" i="128"/>
  <c r="I34" i="128"/>
  <c r="I36" i="128" s="1"/>
  <c r="I40" i="128" s="1"/>
  <c r="D34" i="128"/>
  <c r="D36" i="128" s="1"/>
  <c r="D40" i="128" s="1"/>
  <c r="M36" i="128"/>
  <c r="M40" i="128" s="1"/>
  <c r="O36" i="128"/>
  <c r="O40" i="128" s="1"/>
  <c r="B34" i="128"/>
  <c r="B36" i="128" s="1"/>
  <c r="B40" i="128" s="1"/>
  <c r="C34" i="128"/>
  <c r="C36" i="128" s="1"/>
  <c r="C40" i="128" s="1"/>
  <c r="E36" i="128"/>
  <c r="E40" i="128" s="1"/>
  <c r="J34" i="128"/>
  <c r="J36" i="128" s="1"/>
  <c r="J40" i="128" s="1"/>
  <c r="C15" i="128"/>
  <c r="J15" i="128"/>
  <c r="F36" i="128"/>
  <c r="F40" i="128" s="1"/>
  <c r="R36" i="127"/>
  <c r="R40" i="127" s="1"/>
  <c r="Q36" i="127"/>
  <c r="Q40" i="127" s="1"/>
  <c r="D36" i="127"/>
  <c r="D40" i="127" s="1"/>
  <c r="J36" i="127"/>
  <c r="J40" i="127" s="1"/>
  <c r="R36" i="126"/>
  <c r="R40" i="126" s="1"/>
  <c r="Q36" i="126"/>
  <c r="Q40" i="126" s="1"/>
  <c r="I36" i="126"/>
  <c r="I40" i="126" s="1"/>
  <c r="J36" i="126"/>
  <c r="J40" i="126" s="1"/>
  <c r="B36" i="126"/>
  <c r="B40" i="126" s="1"/>
  <c r="E36" i="126"/>
  <c r="E40" i="126" s="1"/>
  <c r="R36" i="125"/>
  <c r="R40" i="125" s="1"/>
  <c r="Q36" i="125"/>
  <c r="Q40" i="125" s="1"/>
  <c r="J36" i="125"/>
  <c r="J40" i="125" s="1"/>
  <c r="S34" i="124"/>
  <c r="R34" i="124"/>
  <c r="O34" i="124"/>
  <c r="O36" i="124" s="1"/>
  <c r="O40" i="124" s="1"/>
  <c r="L34" i="124"/>
  <c r="L36" i="124" s="1"/>
  <c r="L40" i="124" s="1"/>
  <c r="K34" i="124"/>
  <c r="K36" i="124" s="1"/>
  <c r="K40" i="124" s="1"/>
  <c r="H34" i="124"/>
  <c r="H36" i="124" s="1"/>
  <c r="H40" i="124" s="1"/>
  <c r="F34" i="124"/>
  <c r="F36" i="124" s="1"/>
  <c r="F40" i="124" s="1"/>
  <c r="B34" i="124"/>
  <c r="B36" i="124" s="1"/>
  <c r="B40" i="124" s="1"/>
  <c r="Q34" i="124"/>
  <c r="O33" i="124"/>
  <c r="N33" i="124"/>
  <c r="N34" i="124" s="1"/>
  <c r="N36" i="124" s="1"/>
  <c r="N40" i="124" s="1"/>
  <c r="M33" i="124"/>
  <c r="M34" i="124" s="1"/>
  <c r="M36" i="124" s="1"/>
  <c r="M40" i="124" s="1"/>
  <c r="L33" i="124"/>
  <c r="J33" i="124"/>
  <c r="I33" i="124"/>
  <c r="G33" i="124"/>
  <c r="G34" i="124" s="1"/>
  <c r="G36" i="124" s="1"/>
  <c r="G40" i="124" s="1"/>
  <c r="E33" i="124"/>
  <c r="E34" i="124" s="1"/>
  <c r="D33" i="124"/>
  <c r="C33" i="124"/>
  <c r="B33" i="124"/>
  <c r="J32" i="124"/>
  <c r="J31" i="124"/>
  <c r="I31" i="124"/>
  <c r="D31" i="124"/>
  <c r="D34" i="124" s="1"/>
  <c r="D36" i="124" s="1"/>
  <c r="D40" i="124" s="1"/>
  <c r="C31" i="124"/>
  <c r="J30" i="124"/>
  <c r="I30" i="124"/>
  <c r="D30" i="124"/>
  <c r="C30" i="124"/>
  <c r="B30" i="124"/>
  <c r="P29" i="124"/>
  <c r="J29" i="124"/>
  <c r="P28" i="124"/>
  <c r="P34" i="124" s="1"/>
  <c r="P36" i="124" s="1"/>
  <c r="P40" i="124" s="1"/>
  <c r="J28" i="124"/>
  <c r="I28" i="124"/>
  <c r="J27" i="124"/>
  <c r="I27" i="124"/>
  <c r="J26" i="124"/>
  <c r="I26" i="124"/>
  <c r="C26" i="124"/>
  <c r="C34" i="124" s="1"/>
  <c r="C36" i="124" s="1"/>
  <c r="C40" i="124" s="1"/>
  <c r="J25" i="124"/>
  <c r="I25" i="124"/>
  <c r="J24" i="124"/>
  <c r="I24" i="124"/>
  <c r="J23" i="124"/>
  <c r="I23" i="124"/>
  <c r="J22" i="124"/>
  <c r="I22" i="124"/>
  <c r="J21" i="124"/>
  <c r="I21" i="124"/>
  <c r="J20" i="124"/>
  <c r="I20" i="124"/>
  <c r="J19" i="124"/>
  <c r="I19" i="124"/>
  <c r="J18" i="124"/>
  <c r="J34" i="124" s="1"/>
  <c r="J36" i="124" s="1"/>
  <c r="J40" i="124" s="1"/>
  <c r="I18" i="124"/>
  <c r="I34" i="124" s="1"/>
  <c r="I36" i="124" s="1"/>
  <c r="I40" i="124" s="1"/>
  <c r="C18" i="124"/>
  <c r="B18" i="124"/>
  <c r="S15" i="124"/>
  <c r="S36" i="124" s="1"/>
  <c r="S40" i="124" s="1"/>
  <c r="R15" i="124"/>
  <c r="Q15" i="124"/>
  <c r="P15" i="124"/>
  <c r="O15" i="124"/>
  <c r="N15" i="124"/>
  <c r="M15" i="124"/>
  <c r="L15" i="124"/>
  <c r="K15" i="124"/>
  <c r="H15" i="124"/>
  <c r="G15" i="124"/>
  <c r="F15" i="124"/>
  <c r="C15" i="124"/>
  <c r="J14" i="124"/>
  <c r="I14" i="124"/>
  <c r="F14" i="124"/>
  <c r="E14" i="124"/>
  <c r="E15" i="124" s="1"/>
  <c r="C14" i="124"/>
  <c r="B14" i="124"/>
  <c r="J12" i="124"/>
  <c r="J11" i="124"/>
  <c r="I11" i="124"/>
  <c r="J10" i="124"/>
  <c r="I10" i="124"/>
  <c r="J9" i="124"/>
  <c r="I9" i="124"/>
  <c r="J8" i="124"/>
  <c r="I8" i="124"/>
  <c r="C8" i="124"/>
  <c r="J7" i="124"/>
  <c r="I7" i="124"/>
  <c r="J6" i="124"/>
  <c r="J15" i="124" s="1"/>
  <c r="I6" i="124"/>
  <c r="I15" i="124" s="1"/>
  <c r="D6" i="124"/>
  <c r="D15" i="124" s="1"/>
  <c r="C6" i="124"/>
  <c r="B6" i="124"/>
  <c r="B15" i="124" s="1"/>
  <c r="Q33" i="123"/>
  <c r="Q34" i="123"/>
  <c r="S34" i="123"/>
  <c r="R34" i="123"/>
  <c r="N34" i="123"/>
  <c r="N36" i="123" s="1"/>
  <c r="N40" i="123" s="1"/>
  <c r="K34" i="123"/>
  <c r="K36" i="123" s="1"/>
  <c r="K40" i="123" s="1"/>
  <c r="H34" i="123"/>
  <c r="H36" i="123" s="1"/>
  <c r="H40" i="123" s="1"/>
  <c r="G34" i="123"/>
  <c r="G36" i="123" s="1"/>
  <c r="G40" i="123" s="1"/>
  <c r="F34" i="123"/>
  <c r="F36" i="123" s="1"/>
  <c r="F40" i="123" s="1"/>
  <c r="O33" i="123"/>
  <c r="O34" i="123" s="1"/>
  <c r="O36" i="123" s="1"/>
  <c r="O40" i="123" s="1"/>
  <c r="N33" i="123"/>
  <c r="M33" i="123"/>
  <c r="M34" i="123" s="1"/>
  <c r="M36" i="123" s="1"/>
  <c r="M40" i="123" s="1"/>
  <c r="L33" i="123"/>
  <c r="L34" i="123" s="1"/>
  <c r="L36" i="123" s="1"/>
  <c r="L40" i="123" s="1"/>
  <c r="J33" i="123"/>
  <c r="I33" i="123"/>
  <c r="G33" i="123"/>
  <c r="E33" i="123"/>
  <c r="E34" i="123" s="1"/>
  <c r="E36" i="123" s="1"/>
  <c r="E40" i="123" s="1"/>
  <c r="D33" i="123"/>
  <c r="C33" i="123"/>
  <c r="B33" i="123"/>
  <c r="J32" i="123"/>
  <c r="J31" i="123"/>
  <c r="I31" i="123"/>
  <c r="D31" i="123"/>
  <c r="C31" i="123"/>
  <c r="J30" i="123"/>
  <c r="I30" i="123"/>
  <c r="D30" i="123"/>
  <c r="D34" i="123" s="1"/>
  <c r="C30" i="123"/>
  <c r="B30" i="123"/>
  <c r="P29" i="123"/>
  <c r="J29" i="123"/>
  <c r="P28" i="123"/>
  <c r="P34" i="123" s="1"/>
  <c r="P36" i="123" s="1"/>
  <c r="P40" i="123" s="1"/>
  <c r="J28" i="123"/>
  <c r="I28" i="123"/>
  <c r="J27" i="123"/>
  <c r="I27" i="123"/>
  <c r="J26" i="123"/>
  <c r="I26" i="123"/>
  <c r="C26" i="123"/>
  <c r="J25" i="123"/>
  <c r="I25" i="123"/>
  <c r="J24" i="123"/>
  <c r="I24" i="123"/>
  <c r="J23" i="123"/>
  <c r="I23" i="123"/>
  <c r="J22" i="123"/>
  <c r="I22" i="123"/>
  <c r="J21" i="123"/>
  <c r="I21" i="123"/>
  <c r="J20" i="123"/>
  <c r="I20" i="123"/>
  <c r="J19" i="123"/>
  <c r="I19" i="123"/>
  <c r="J18" i="123"/>
  <c r="J34" i="123" s="1"/>
  <c r="J36" i="123" s="1"/>
  <c r="J40" i="123" s="1"/>
  <c r="I18" i="123"/>
  <c r="I34" i="123" s="1"/>
  <c r="C18" i="123"/>
  <c r="C34" i="123" s="1"/>
  <c r="C36" i="123" s="1"/>
  <c r="C40" i="123" s="1"/>
  <c r="B18" i="123"/>
  <c r="B34" i="123" s="1"/>
  <c r="B36" i="123" s="1"/>
  <c r="B40" i="123" s="1"/>
  <c r="S15" i="123"/>
  <c r="S36" i="123" s="1"/>
  <c r="S40" i="123" s="1"/>
  <c r="R15" i="123"/>
  <c r="Q15" i="123"/>
  <c r="P15" i="123"/>
  <c r="O15" i="123"/>
  <c r="N15" i="123"/>
  <c r="M15" i="123"/>
  <c r="L15" i="123"/>
  <c r="K15" i="123"/>
  <c r="J15" i="123"/>
  <c r="H15" i="123"/>
  <c r="G15" i="123"/>
  <c r="B15" i="123"/>
  <c r="J14" i="123"/>
  <c r="I14" i="123"/>
  <c r="F14" i="123"/>
  <c r="F15" i="123" s="1"/>
  <c r="E14" i="123"/>
  <c r="E15" i="123" s="1"/>
  <c r="C14" i="123"/>
  <c r="B14" i="123"/>
  <c r="J12" i="123"/>
  <c r="J11" i="123"/>
  <c r="I11" i="123"/>
  <c r="J10" i="123"/>
  <c r="I10" i="123"/>
  <c r="J9" i="123"/>
  <c r="I9" i="123"/>
  <c r="J8" i="123"/>
  <c r="I8" i="123"/>
  <c r="C8" i="123"/>
  <c r="J7" i="123"/>
  <c r="I7" i="123"/>
  <c r="I15" i="123" s="1"/>
  <c r="J6" i="123"/>
  <c r="I6" i="123"/>
  <c r="D6" i="123"/>
  <c r="D15" i="123" s="1"/>
  <c r="C6" i="123"/>
  <c r="C15" i="123" s="1"/>
  <c r="B6" i="123"/>
  <c r="Q33" i="122"/>
  <c r="Q34" i="122" s="1"/>
  <c r="S34" i="122"/>
  <c r="R34" i="122"/>
  <c r="K34" i="122"/>
  <c r="K36" i="122" s="1"/>
  <c r="K40" i="122" s="1"/>
  <c r="H34" i="122"/>
  <c r="H36" i="122" s="1"/>
  <c r="H40" i="122" s="1"/>
  <c r="F34" i="122"/>
  <c r="O33" i="122"/>
  <c r="O34" i="122" s="1"/>
  <c r="O36" i="122" s="1"/>
  <c r="O40" i="122" s="1"/>
  <c r="N33" i="122"/>
  <c r="N34" i="122" s="1"/>
  <c r="N36" i="122" s="1"/>
  <c r="N40" i="122" s="1"/>
  <c r="M33" i="122"/>
  <c r="M34" i="122" s="1"/>
  <c r="M36" i="122" s="1"/>
  <c r="M40" i="122" s="1"/>
  <c r="L33" i="122"/>
  <c r="L34" i="122" s="1"/>
  <c r="L36" i="122" s="1"/>
  <c r="L40" i="122" s="1"/>
  <c r="J33" i="122"/>
  <c r="I33" i="122"/>
  <c r="G33" i="122"/>
  <c r="G34" i="122" s="1"/>
  <c r="G36" i="122" s="1"/>
  <c r="G40" i="122" s="1"/>
  <c r="E33" i="122"/>
  <c r="E34" i="122" s="1"/>
  <c r="D33" i="122"/>
  <c r="C33" i="122"/>
  <c r="B33" i="122"/>
  <c r="J32" i="122"/>
  <c r="J31" i="122"/>
  <c r="I31" i="122"/>
  <c r="D31" i="122"/>
  <c r="C31" i="122"/>
  <c r="J30" i="122"/>
  <c r="I30" i="122"/>
  <c r="D30" i="122"/>
  <c r="D34" i="122" s="1"/>
  <c r="C30" i="122"/>
  <c r="B30" i="122"/>
  <c r="P29" i="122"/>
  <c r="J29" i="122"/>
  <c r="P28" i="122"/>
  <c r="P34" i="122" s="1"/>
  <c r="P36" i="122" s="1"/>
  <c r="P40" i="122" s="1"/>
  <c r="J28" i="122"/>
  <c r="I28" i="122"/>
  <c r="J27" i="122"/>
  <c r="I27" i="122"/>
  <c r="J26" i="122"/>
  <c r="I26" i="122"/>
  <c r="C26" i="122"/>
  <c r="J25" i="122"/>
  <c r="I25" i="122"/>
  <c r="J24" i="122"/>
  <c r="I24" i="122"/>
  <c r="J23" i="122"/>
  <c r="I23" i="122"/>
  <c r="J22" i="122"/>
  <c r="I22" i="122"/>
  <c r="J21" i="122"/>
  <c r="I21" i="122"/>
  <c r="J20" i="122"/>
  <c r="I20" i="122"/>
  <c r="J19" i="122"/>
  <c r="I19" i="122"/>
  <c r="J18" i="122"/>
  <c r="J34" i="122" s="1"/>
  <c r="I18" i="122"/>
  <c r="I34" i="122" s="1"/>
  <c r="C18" i="122"/>
  <c r="C34" i="122" s="1"/>
  <c r="C36" i="122" s="1"/>
  <c r="C40" i="122" s="1"/>
  <c r="B18" i="122"/>
  <c r="B34" i="122" s="1"/>
  <c r="B36" i="122" s="1"/>
  <c r="B40" i="122" s="1"/>
  <c r="S15" i="122"/>
  <c r="S36" i="122" s="1"/>
  <c r="S40" i="122" s="1"/>
  <c r="R15" i="122"/>
  <c r="Q15" i="122"/>
  <c r="P15" i="122"/>
  <c r="O15" i="122"/>
  <c r="N15" i="122"/>
  <c r="M15" i="122"/>
  <c r="L15" i="122"/>
  <c r="K15" i="122"/>
  <c r="H15" i="122"/>
  <c r="G15" i="122"/>
  <c r="C15" i="122"/>
  <c r="J14" i="122"/>
  <c r="I14" i="122"/>
  <c r="F14" i="122"/>
  <c r="F15" i="122" s="1"/>
  <c r="E14" i="122"/>
  <c r="E15" i="122" s="1"/>
  <c r="C14" i="122"/>
  <c r="B14" i="122"/>
  <c r="J12" i="122"/>
  <c r="J11" i="122"/>
  <c r="I11" i="122"/>
  <c r="J10" i="122"/>
  <c r="I10" i="122"/>
  <c r="J9" i="122"/>
  <c r="I9" i="122"/>
  <c r="J8" i="122"/>
  <c r="I8" i="122"/>
  <c r="C8" i="122"/>
  <c r="J7" i="122"/>
  <c r="I7" i="122"/>
  <c r="J6" i="122"/>
  <c r="J15" i="122" s="1"/>
  <c r="I6" i="122"/>
  <c r="I15" i="122" s="1"/>
  <c r="D6" i="122"/>
  <c r="D15" i="122" s="1"/>
  <c r="C6" i="122"/>
  <c r="B6" i="122"/>
  <c r="B15" i="122" s="1"/>
  <c r="Q33" i="121"/>
  <c r="S34" i="121"/>
  <c r="R34" i="121"/>
  <c r="K34" i="121"/>
  <c r="K36" i="121" s="1"/>
  <c r="K40" i="121" s="1"/>
  <c r="H34" i="121"/>
  <c r="H36" i="121" s="1"/>
  <c r="H40" i="121" s="1"/>
  <c r="F34" i="121"/>
  <c r="F36" i="121" s="1"/>
  <c r="F40" i="121" s="1"/>
  <c r="Q34" i="121"/>
  <c r="O33" i="121"/>
  <c r="O34" i="121" s="1"/>
  <c r="O36" i="121" s="1"/>
  <c r="O40" i="121" s="1"/>
  <c r="N33" i="121"/>
  <c r="N34" i="121" s="1"/>
  <c r="N36" i="121" s="1"/>
  <c r="N40" i="121" s="1"/>
  <c r="M33" i="121"/>
  <c r="M34" i="121" s="1"/>
  <c r="M36" i="121" s="1"/>
  <c r="M40" i="121" s="1"/>
  <c r="L33" i="121"/>
  <c r="L34" i="121" s="1"/>
  <c r="L36" i="121" s="1"/>
  <c r="L40" i="121" s="1"/>
  <c r="J33" i="121"/>
  <c r="I33" i="121"/>
  <c r="G33" i="121"/>
  <c r="G34" i="121" s="1"/>
  <c r="G36" i="121" s="1"/>
  <c r="G40" i="121" s="1"/>
  <c r="E33" i="121"/>
  <c r="E34" i="121" s="1"/>
  <c r="E36" i="121" s="1"/>
  <c r="E40" i="121" s="1"/>
  <c r="D33" i="121"/>
  <c r="D34" i="121" s="1"/>
  <c r="D36" i="121" s="1"/>
  <c r="D40" i="121" s="1"/>
  <c r="C33" i="121"/>
  <c r="B33" i="121"/>
  <c r="J32" i="121"/>
  <c r="J31" i="121"/>
  <c r="I31" i="121"/>
  <c r="D31" i="121"/>
  <c r="C31" i="121"/>
  <c r="J30" i="121"/>
  <c r="I30" i="121"/>
  <c r="D30" i="121"/>
  <c r="C30" i="121"/>
  <c r="B30" i="121"/>
  <c r="P29" i="121"/>
  <c r="J29" i="121"/>
  <c r="P28" i="121"/>
  <c r="P34" i="121" s="1"/>
  <c r="P36" i="121" s="1"/>
  <c r="P40" i="121" s="1"/>
  <c r="J28" i="121"/>
  <c r="I28" i="121"/>
  <c r="J27" i="121"/>
  <c r="I27" i="121"/>
  <c r="J26" i="121"/>
  <c r="I26" i="121"/>
  <c r="C26" i="121"/>
  <c r="J25" i="121"/>
  <c r="I25" i="121"/>
  <c r="J24" i="121"/>
  <c r="I24" i="121"/>
  <c r="J23" i="121"/>
  <c r="I23" i="121"/>
  <c r="J22" i="121"/>
  <c r="I22" i="121"/>
  <c r="J21" i="121"/>
  <c r="I21" i="121"/>
  <c r="J20" i="121"/>
  <c r="I20" i="121"/>
  <c r="J19" i="121"/>
  <c r="I19" i="121"/>
  <c r="I34" i="121" s="1"/>
  <c r="J18" i="121"/>
  <c r="J34" i="121" s="1"/>
  <c r="I18" i="121"/>
  <c r="C18" i="121"/>
  <c r="C34" i="121" s="1"/>
  <c r="C36" i="121" s="1"/>
  <c r="C40" i="121" s="1"/>
  <c r="B18" i="121"/>
  <c r="B34" i="121" s="1"/>
  <c r="B36" i="121" s="1"/>
  <c r="B40" i="121" s="1"/>
  <c r="S15" i="121"/>
  <c r="S36" i="121" s="1"/>
  <c r="S40" i="121" s="1"/>
  <c r="R15" i="121"/>
  <c r="Q15" i="121"/>
  <c r="P15" i="121"/>
  <c r="O15" i="121"/>
  <c r="N15" i="121"/>
  <c r="M15" i="121"/>
  <c r="L15" i="121"/>
  <c r="K15" i="121"/>
  <c r="H15" i="121"/>
  <c r="G15" i="121"/>
  <c r="F15" i="121"/>
  <c r="E15" i="121"/>
  <c r="D15" i="121"/>
  <c r="J14" i="121"/>
  <c r="I14" i="121"/>
  <c r="F14" i="121"/>
  <c r="E14" i="121"/>
  <c r="C14" i="121"/>
  <c r="B14" i="121"/>
  <c r="B15" i="121" s="1"/>
  <c r="J12" i="121"/>
  <c r="J11" i="121"/>
  <c r="I11" i="121"/>
  <c r="J10" i="121"/>
  <c r="I10" i="121"/>
  <c r="J9" i="121"/>
  <c r="I9" i="121"/>
  <c r="J8" i="121"/>
  <c r="I8" i="121"/>
  <c r="C8" i="121"/>
  <c r="J7" i="121"/>
  <c r="J15" i="121" s="1"/>
  <c r="I7" i="121"/>
  <c r="I15" i="121" s="1"/>
  <c r="J6" i="121"/>
  <c r="I6" i="121"/>
  <c r="D6" i="121"/>
  <c r="C6" i="121"/>
  <c r="C15" i="121" s="1"/>
  <c r="B6" i="121"/>
  <c r="Q33" i="120"/>
  <c r="Q34" i="120" s="1"/>
  <c r="Q15" i="120"/>
  <c r="S34" i="120"/>
  <c r="S15" i="120"/>
  <c r="R34" i="120"/>
  <c r="K34" i="120"/>
  <c r="H34" i="120"/>
  <c r="F34" i="120"/>
  <c r="O33" i="120"/>
  <c r="O34" i="120" s="1"/>
  <c r="N33" i="120"/>
  <c r="N34" i="120" s="1"/>
  <c r="M33" i="120"/>
  <c r="M34" i="120" s="1"/>
  <c r="L33" i="120"/>
  <c r="L34" i="120" s="1"/>
  <c r="J33" i="120"/>
  <c r="I33" i="120"/>
  <c r="G33" i="120"/>
  <c r="G34" i="120" s="1"/>
  <c r="E33" i="120"/>
  <c r="E34" i="120" s="1"/>
  <c r="D33" i="120"/>
  <c r="C33" i="120"/>
  <c r="B33" i="120"/>
  <c r="J32" i="120"/>
  <c r="J31" i="120"/>
  <c r="I31" i="120"/>
  <c r="D31" i="120"/>
  <c r="C31" i="120"/>
  <c r="J30" i="120"/>
  <c r="I30" i="120"/>
  <c r="D30" i="120"/>
  <c r="C30" i="120"/>
  <c r="B30" i="120"/>
  <c r="P29" i="120"/>
  <c r="J29" i="120"/>
  <c r="P28" i="120"/>
  <c r="J28" i="120"/>
  <c r="I28" i="120"/>
  <c r="J27" i="120"/>
  <c r="I27" i="120"/>
  <c r="J26" i="120"/>
  <c r="I26" i="120"/>
  <c r="C26" i="120"/>
  <c r="J25" i="120"/>
  <c r="I25" i="120"/>
  <c r="J24" i="120"/>
  <c r="I24" i="120"/>
  <c r="J23" i="120"/>
  <c r="I23" i="120"/>
  <c r="J22" i="120"/>
  <c r="I22" i="120"/>
  <c r="J21" i="120"/>
  <c r="I21" i="120"/>
  <c r="J20" i="120"/>
  <c r="I20" i="120"/>
  <c r="J19" i="120"/>
  <c r="I19" i="120"/>
  <c r="J18" i="120"/>
  <c r="I18" i="120"/>
  <c r="C18" i="120"/>
  <c r="B18" i="120"/>
  <c r="R15" i="120"/>
  <c r="P15" i="120"/>
  <c r="O15" i="120"/>
  <c r="N15" i="120"/>
  <c r="M15" i="120"/>
  <c r="L15" i="120"/>
  <c r="K15" i="120"/>
  <c r="H15" i="120"/>
  <c r="G15" i="120"/>
  <c r="J14" i="120"/>
  <c r="I14" i="120"/>
  <c r="F14" i="120"/>
  <c r="F15" i="120" s="1"/>
  <c r="E14" i="120"/>
  <c r="E15" i="120" s="1"/>
  <c r="C14" i="120"/>
  <c r="B14" i="120"/>
  <c r="J12" i="120"/>
  <c r="J11" i="120"/>
  <c r="I11" i="120"/>
  <c r="J10" i="120"/>
  <c r="I10" i="120"/>
  <c r="J9" i="120"/>
  <c r="I9" i="120"/>
  <c r="J8" i="120"/>
  <c r="I8" i="120"/>
  <c r="C8" i="120"/>
  <c r="J7" i="120"/>
  <c r="I7" i="120"/>
  <c r="J6" i="120"/>
  <c r="I6" i="120"/>
  <c r="D6" i="120"/>
  <c r="D15" i="120" s="1"/>
  <c r="C6" i="120"/>
  <c r="B6" i="120"/>
  <c r="B15" i="120" s="1"/>
  <c r="Q34" i="119"/>
  <c r="K34" i="119"/>
  <c r="H34" i="119"/>
  <c r="F34" i="119"/>
  <c r="O33" i="119"/>
  <c r="O34" i="119" s="1"/>
  <c r="N33" i="119"/>
  <c r="N34" i="119" s="1"/>
  <c r="M33" i="119"/>
  <c r="M34" i="119" s="1"/>
  <c r="M36" i="119" s="1"/>
  <c r="M40" i="119" s="1"/>
  <c r="L33" i="119"/>
  <c r="L34" i="119" s="1"/>
  <c r="L36" i="119" s="1"/>
  <c r="L40" i="119" s="1"/>
  <c r="J33" i="119"/>
  <c r="I33" i="119"/>
  <c r="G33" i="119"/>
  <c r="G34" i="119" s="1"/>
  <c r="G36" i="119" s="1"/>
  <c r="G40" i="119" s="1"/>
  <c r="E33" i="119"/>
  <c r="E34" i="119" s="1"/>
  <c r="D33" i="119"/>
  <c r="C33" i="119"/>
  <c r="B33" i="119"/>
  <c r="J32" i="119"/>
  <c r="J31" i="119"/>
  <c r="I31" i="119"/>
  <c r="D31" i="119"/>
  <c r="C31" i="119"/>
  <c r="J30" i="119"/>
  <c r="I30" i="119"/>
  <c r="D30" i="119"/>
  <c r="C30" i="119"/>
  <c r="B30" i="119"/>
  <c r="P29" i="119"/>
  <c r="J29" i="119"/>
  <c r="P28" i="119"/>
  <c r="J28" i="119"/>
  <c r="I28" i="119"/>
  <c r="J27" i="119"/>
  <c r="I27" i="119"/>
  <c r="J26" i="119"/>
  <c r="I26" i="119"/>
  <c r="C26" i="119"/>
  <c r="J25" i="119"/>
  <c r="I25" i="119"/>
  <c r="J24" i="119"/>
  <c r="I24" i="119"/>
  <c r="J23" i="119"/>
  <c r="I23" i="119"/>
  <c r="J22" i="119"/>
  <c r="I22" i="119"/>
  <c r="J21" i="119"/>
  <c r="I21" i="119"/>
  <c r="J20" i="119"/>
  <c r="I20" i="119"/>
  <c r="J19" i="119"/>
  <c r="I19" i="119"/>
  <c r="J18" i="119"/>
  <c r="I18" i="119"/>
  <c r="C18" i="119"/>
  <c r="B18" i="119"/>
  <c r="Q15" i="119"/>
  <c r="Q36" i="119" s="1"/>
  <c r="Q40" i="119" s="1"/>
  <c r="P15" i="119"/>
  <c r="O15" i="119"/>
  <c r="N15" i="119"/>
  <c r="M15" i="119"/>
  <c r="L15" i="119"/>
  <c r="K15" i="119"/>
  <c r="H15" i="119"/>
  <c r="G15" i="119"/>
  <c r="E15" i="119"/>
  <c r="J14" i="119"/>
  <c r="I14" i="119"/>
  <c r="F14" i="119"/>
  <c r="F15" i="119" s="1"/>
  <c r="E14" i="119"/>
  <c r="C14" i="119"/>
  <c r="B14" i="119"/>
  <c r="J12" i="119"/>
  <c r="J11" i="119"/>
  <c r="I11" i="119"/>
  <c r="J10" i="119"/>
  <c r="I10" i="119"/>
  <c r="J9" i="119"/>
  <c r="I9" i="119"/>
  <c r="J8" i="119"/>
  <c r="I8" i="119"/>
  <c r="C8" i="119"/>
  <c r="J7" i="119"/>
  <c r="I7" i="119"/>
  <c r="J6" i="119"/>
  <c r="I6" i="119"/>
  <c r="D6" i="119"/>
  <c r="D15" i="119" s="1"/>
  <c r="C6" i="119"/>
  <c r="B6" i="119"/>
  <c r="B15" i="119" s="1"/>
  <c r="D19" i="129" l="1"/>
  <c r="R36" i="124"/>
  <c r="R40" i="124" s="1"/>
  <c r="Q36" i="124"/>
  <c r="Q40" i="124" s="1"/>
  <c r="E36" i="124"/>
  <c r="E40" i="124" s="1"/>
  <c r="R36" i="123"/>
  <c r="R40" i="123" s="1"/>
  <c r="Q36" i="123"/>
  <c r="Q40" i="123" s="1"/>
  <c r="I36" i="123"/>
  <c r="I40" i="123" s="1"/>
  <c r="D36" i="123"/>
  <c r="D40" i="123" s="1"/>
  <c r="R36" i="122"/>
  <c r="R40" i="122" s="1"/>
  <c r="Q36" i="122"/>
  <c r="Q40" i="122" s="1"/>
  <c r="E36" i="122"/>
  <c r="E40" i="122" s="1"/>
  <c r="I36" i="122"/>
  <c r="I40" i="122" s="1"/>
  <c r="F36" i="122"/>
  <c r="F40" i="122" s="1"/>
  <c r="J36" i="122"/>
  <c r="J40" i="122" s="1"/>
  <c r="D36" i="122"/>
  <c r="D40" i="122" s="1"/>
  <c r="R36" i="121"/>
  <c r="R40" i="121" s="1"/>
  <c r="Q36" i="121"/>
  <c r="Q40" i="121" s="1"/>
  <c r="J36" i="121"/>
  <c r="J40" i="121" s="1"/>
  <c r="I36" i="121"/>
  <c r="I40" i="121" s="1"/>
  <c r="S36" i="120"/>
  <c r="S40" i="120" s="1"/>
  <c r="Q36" i="120"/>
  <c r="Q40" i="120" s="1"/>
  <c r="R36" i="120"/>
  <c r="R40" i="120" s="1"/>
  <c r="B34" i="120"/>
  <c r="C15" i="120"/>
  <c r="I34" i="120"/>
  <c r="G36" i="120"/>
  <c r="G40" i="120" s="1"/>
  <c r="H36" i="120"/>
  <c r="H40" i="120" s="1"/>
  <c r="J34" i="120"/>
  <c r="K36" i="120"/>
  <c r="K40" i="120" s="1"/>
  <c r="L36" i="120"/>
  <c r="L40" i="120" s="1"/>
  <c r="D34" i="120"/>
  <c r="D36" i="120" s="1"/>
  <c r="D40" i="120" s="1"/>
  <c r="M36" i="120"/>
  <c r="M40" i="120" s="1"/>
  <c r="N36" i="120"/>
  <c r="N40" i="120" s="1"/>
  <c r="B36" i="120"/>
  <c r="B40" i="120" s="1"/>
  <c r="O36" i="120"/>
  <c r="O40" i="120" s="1"/>
  <c r="I15" i="120"/>
  <c r="I36" i="120" s="1"/>
  <c r="I40" i="120" s="1"/>
  <c r="J15" i="120"/>
  <c r="J36" i="120" s="1"/>
  <c r="J40" i="120" s="1"/>
  <c r="C34" i="120"/>
  <c r="C36" i="120" s="1"/>
  <c r="C40" i="120" s="1"/>
  <c r="P34" i="120"/>
  <c r="P36" i="120" s="1"/>
  <c r="P40" i="120" s="1"/>
  <c r="F36" i="120"/>
  <c r="F40" i="120" s="1"/>
  <c r="E36" i="120"/>
  <c r="E40" i="120" s="1"/>
  <c r="N36" i="119"/>
  <c r="N40" i="119" s="1"/>
  <c r="E36" i="119"/>
  <c r="E40" i="119" s="1"/>
  <c r="I34" i="119"/>
  <c r="C34" i="119"/>
  <c r="D34" i="119"/>
  <c r="D36" i="119" s="1"/>
  <c r="D40" i="119" s="1"/>
  <c r="J15" i="119"/>
  <c r="K36" i="119"/>
  <c r="K40" i="119" s="1"/>
  <c r="F36" i="119"/>
  <c r="F40" i="119" s="1"/>
  <c r="J34" i="119"/>
  <c r="C15" i="119"/>
  <c r="H36" i="119"/>
  <c r="H40" i="119" s="1"/>
  <c r="B34" i="119"/>
  <c r="B36" i="119" s="1"/>
  <c r="B40" i="119" s="1"/>
  <c r="O36" i="119"/>
  <c r="O40" i="119" s="1"/>
  <c r="I15" i="119"/>
  <c r="I36" i="119" s="1"/>
  <c r="I40" i="119" s="1"/>
  <c r="P34" i="119"/>
  <c r="P36" i="119" s="1"/>
  <c r="P40" i="119" s="1"/>
  <c r="J36" i="119"/>
  <c r="J40" i="119" s="1"/>
  <c r="C36" i="119" l="1"/>
  <c r="C40" i="119" s="1"/>
  <c r="P28" i="116" l="1"/>
  <c r="P29" i="116"/>
  <c r="O34" i="118" l="1"/>
  <c r="O36" i="118" s="1"/>
  <c r="O40" i="118" s="1"/>
  <c r="O33" i="118"/>
  <c r="O15" i="118"/>
  <c r="Q34" i="118"/>
  <c r="P34" i="118"/>
  <c r="K34" i="118"/>
  <c r="K36" i="118" s="1"/>
  <c r="K40" i="118" s="1"/>
  <c r="H34" i="118"/>
  <c r="F34" i="118"/>
  <c r="N33" i="118"/>
  <c r="N34" i="118" s="1"/>
  <c r="N36" i="118" s="1"/>
  <c r="N40" i="118" s="1"/>
  <c r="L33" i="118"/>
  <c r="L34" i="118" s="1"/>
  <c r="J33" i="118"/>
  <c r="I33" i="118"/>
  <c r="G33" i="118"/>
  <c r="G34" i="118" s="1"/>
  <c r="G36" i="118" s="1"/>
  <c r="G40" i="118" s="1"/>
  <c r="E33" i="118"/>
  <c r="E34" i="118" s="1"/>
  <c r="D33" i="118"/>
  <c r="C33" i="118"/>
  <c r="B33" i="118"/>
  <c r="J32" i="118"/>
  <c r="J31" i="118"/>
  <c r="I31" i="118"/>
  <c r="D31" i="118"/>
  <c r="C31" i="118"/>
  <c r="J30" i="118"/>
  <c r="I30" i="118"/>
  <c r="D30" i="118"/>
  <c r="D34" i="118" s="1"/>
  <c r="C30" i="118"/>
  <c r="B30" i="118"/>
  <c r="J29" i="118"/>
  <c r="J28" i="118"/>
  <c r="I28" i="118"/>
  <c r="J27" i="118"/>
  <c r="I27" i="118"/>
  <c r="J26" i="118"/>
  <c r="I26" i="118"/>
  <c r="C26" i="118"/>
  <c r="J25" i="118"/>
  <c r="I25" i="118"/>
  <c r="J24" i="118"/>
  <c r="I24" i="118"/>
  <c r="J23" i="118"/>
  <c r="I23" i="118"/>
  <c r="J22" i="118"/>
  <c r="I22" i="118"/>
  <c r="J21" i="118"/>
  <c r="I21" i="118"/>
  <c r="J20" i="118"/>
  <c r="I20" i="118"/>
  <c r="J19" i="118"/>
  <c r="I19" i="118"/>
  <c r="C19" i="118"/>
  <c r="B19" i="118"/>
  <c r="B34" i="118" s="1"/>
  <c r="J18" i="118"/>
  <c r="I18" i="118"/>
  <c r="Q15" i="118"/>
  <c r="P15" i="118"/>
  <c r="N15" i="118"/>
  <c r="L15" i="118"/>
  <c r="K15" i="118"/>
  <c r="H15" i="118"/>
  <c r="H36" i="118" s="1"/>
  <c r="H40" i="118" s="1"/>
  <c r="G15" i="118"/>
  <c r="E15" i="118"/>
  <c r="J14" i="118"/>
  <c r="I14" i="118"/>
  <c r="F14" i="118"/>
  <c r="F15" i="118" s="1"/>
  <c r="E14" i="118"/>
  <c r="C14" i="118"/>
  <c r="B14" i="118"/>
  <c r="J12" i="118"/>
  <c r="J11" i="118"/>
  <c r="I11" i="118"/>
  <c r="J10" i="118"/>
  <c r="I10" i="118"/>
  <c r="J9" i="118"/>
  <c r="I9" i="118"/>
  <c r="J8" i="118"/>
  <c r="I8" i="118"/>
  <c r="C8" i="118"/>
  <c r="J7" i="118"/>
  <c r="I7" i="118"/>
  <c r="J6" i="118"/>
  <c r="I6" i="118"/>
  <c r="D6" i="118"/>
  <c r="D15" i="118" s="1"/>
  <c r="C6" i="118"/>
  <c r="B6" i="118"/>
  <c r="B15" i="118" s="1"/>
  <c r="E30" i="117"/>
  <c r="E32" i="117" s="1"/>
  <c r="C30" i="117"/>
  <c r="C32" i="117" s="1"/>
  <c r="D29" i="117"/>
  <c r="D30" i="117" s="1"/>
  <c r="E26" i="117"/>
  <c r="C26" i="117"/>
  <c r="D25" i="117"/>
  <c r="D26" i="117" s="1"/>
  <c r="E17" i="117"/>
  <c r="D17" i="117"/>
  <c r="C17" i="117"/>
  <c r="D16" i="117"/>
  <c r="E13" i="117"/>
  <c r="C13" i="117"/>
  <c r="C19" i="117" s="1"/>
  <c r="D12" i="117"/>
  <c r="D11" i="117"/>
  <c r="D13" i="117" s="1"/>
  <c r="E8" i="117"/>
  <c r="D8" i="117"/>
  <c r="C8" i="117"/>
  <c r="P34" i="116"/>
  <c r="R34" i="116"/>
  <c r="Q34" i="116"/>
  <c r="O34" i="116"/>
  <c r="O36" i="116" s="1"/>
  <c r="O40" i="116" s="1"/>
  <c r="N34" i="116"/>
  <c r="N36" i="116" s="1"/>
  <c r="N40" i="116" s="1"/>
  <c r="K34" i="116"/>
  <c r="K36" i="116" s="1"/>
  <c r="K40" i="116" s="1"/>
  <c r="H34" i="116"/>
  <c r="H36" i="116" s="1"/>
  <c r="H40" i="116" s="1"/>
  <c r="G34" i="116"/>
  <c r="G36" i="116" s="1"/>
  <c r="G40" i="116" s="1"/>
  <c r="F34" i="116"/>
  <c r="F36" i="116" s="1"/>
  <c r="F40" i="116" s="1"/>
  <c r="O33" i="116"/>
  <c r="N33" i="116"/>
  <c r="M33" i="116"/>
  <c r="M34" i="116" s="1"/>
  <c r="M36" i="116" s="1"/>
  <c r="M40" i="116" s="1"/>
  <c r="L33" i="116"/>
  <c r="L34" i="116" s="1"/>
  <c r="L36" i="116" s="1"/>
  <c r="L40" i="116" s="1"/>
  <c r="J33" i="116"/>
  <c r="I33" i="116"/>
  <c r="G33" i="116"/>
  <c r="E33" i="116"/>
  <c r="E34" i="116" s="1"/>
  <c r="D33" i="116"/>
  <c r="C33" i="116"/>
  <c r="B33" i="116"/>
  <c r="J32" i="116"/>
  <c r="J31" i="116"/>
  <c r="I31" i="116"/>
  <c r="D31" i="116"/>
  <c r="C31" i="116"/>
  <c r="J30" i="116"/>
  <c r="I30" i="116"/>
  <c r="D30" i="116"/>
  <c r="D34" i="116" s="1"/>
  <c r="D36" i="116" s="1"/>
  <c r="D40" i="116" s="1"/>
  <c r="C30" i="116"/>
  <c r="B30" i="116"/>
  <c r="J29" i="116"/>
  <c r="J28" i="116"/>
  <c r="I28" i="116"/>
  <c r="J27" i="116"/>
  <c r="I27" i="116"/>
  <c r="J26" i="116"/>
  <c r="I26" i="116"/>
  <c r="C26" i="116"/>
  <c r="J25" i="116"/>
  <c r="I25" i="116"/>
  <c r="J24" i="116"/>
  <c r="I24" i="116"/>
  <c r="J23" i="116"/>
  <c r="I23" i="116"/>
  <c r="J22" i="116"/>
  <c r="I22" i="116"/>
  <c r="J21" i="116"/>
  <c r="I21" i="116"/>
  <c r="J20" i="116"/>
  <c r="I20" i="116"/>
  <c r="J19" i="116"/>
  <c r="I19" i="116"/>
  <c r="J18" i="116"/>
  <c r="J34" i="116" s="1"/>
  <c r="I18" i="116"/>
  <c r="I34" i="116" s="1"/>
  <c r="I36" i="116" s="1"/>
  <c r="I40" i="116" s="1"/>
  <c r="C18" i="116"/>
  <c r="C34" i="116" s="1"/>
  <c r="B18" i="116"/>
  <c r="B34" i="116" s="1"/>
  <c r="B36" i="116" s="1"/>
  <c r="B40" i="116" s="1"/>
  <c r="R15" i="116"/>
  <c r="R36" i="116" s="1"/>
  <c r="R40" i="116" s="1"/>
  <c r="Q15" i="116"/>
  <c r="P15" i="116"/>
  <c r="O15" i="116"/>
  <c r="N15" i="116"/>
  <c r="M15" i="116"/>
  <c r="L15" i="116"/>
  <c r="K15" i="116"/>
  <c r="H15" i="116"/>
  <c r="G15" i="116"/>
  <c r="F15" i="116"/>
  <c r="B15" i="116"/>
  <c r="J14" i="116"/>
  <c r="I14" i="116"/>
  <c r="F14" i="116"/>
  <c r="E14" i="116"/>
  <c r="E15" i="116" s="1"/>
  <c r="C14" i="116"/>
  <c r="B14" i="116"/>
  <c r="J12" i="116"/>
  <c r="J11" i="116"/>
  <c r="I11" i="116"/>
  <c r="I15" i="116" s="1"/>
  <c r="J10" i="116"/>
  <c r="I10" i="116"/>
  <c r="J9" i="116"/>
  <c r="I9" i="116"/>
  <c r="J8" i="116"/>
  <c r="I8" i="116"/>
  <c r="C8" i="116"/>
  <c r="J7" i="116"/>
  <c r="J15" i="116" s="1"/>
  <c r="I7" i="116"/>
  <c r="J6" i="116"/>
  <c r="I6" i="116"/>
  <c r="D6" i="116"/>
  <c r="D15" i="116" s="1"/>
  <c r="C6" i="116"/>
  <c r="C15" i="116" s="1"/>
  <c r="B6" i="116"/>
  <c r="P33" i="115"/>
  <c r="P29" i="115"/>
  <c r="P28" i="115"/>
  <c r="H36" i="115"/>
  <c r="H40" i="115" s="1"/>
  <c r="R34" i="115"/>
  <c r="R36" i="115" s="1"/>
  <c r="R40" i="115" s="1"/>
  <c r="Q34" i="115"/>
  <c r="O34" i="115"/>
  <c r="O36" i="115" s="1"/>
  <c r="O40" i="115" s="1"/>
  <c r="K34" i="115"/>
  <c r="K36" i="115" s="1"/>
  <c r="K40" i="115" s="1"/>
  <c r="H34" i="115"/>
  <c r="F34" i="115"/>
  <c r="F36" i="115" s="1"/>
  <c r="F40" i="115" s="1"/>
  <c r="O33" i="115"/>
  <c r="N33" i="115"/>
  <c r="N34" i="115" s="1"/>
  <c r="N36" i="115" s="1"/>
  <c r="N40" i="115" s="1"/>
  <c r="M33" i="115"/>
  <c r="M34" i="115" s="1"/>
  <c r="M36" i="115" s="1"/>
  <c r="M40" i="115" s="1"/>
  <c r="L33" i="115"/>
  <c r="L34" i="115" s="1"/>
  <c r="L36" i="115" s="1"/>
  <c r="L40" i="115" s="1"/>
  <c r="J33" i="115"/>
  <c r="I33" i="115"/>
  <c r="G33" i="115"/>
  <c r="G34" i="115" s="1"/>
  <c r="G36" i="115" s="1"/>
  <c r="G40" i="115" s="1"/>
  <c r="E33" i="115"/>
  <c r="E34" i="115" s="1"/>
  <c r="E36" i="115" s="1"/>
  <c r="E40" i="115" s="1"/>
  <c r="D33" i="115"/>
  <c r="C33" i="115"/>
  <c r="B33" i="115"/>
  <c r="J32" i="115"/>
  <c r="J31" i="115"/>
  <c r="I31" i="115"/>
  <c r="D31" i="115"/>
  <c r="C31" i="115"/>
  <c r="J30" i="115"/>
  <c r="I30" i="115"/>
  <c r="D30" i="115"/>
  <c r="D34" i="115" s="1"/>
  <c r="D36" i="115" s="1"/>
  <c r="D40" i="115" s="1"/>
  <c r="C30" i="115"/>
  <c r="B30" i="115"/>
  <c r="J29" i="115"/>
  <c r="J28" i="115"/>
  <c r="I28" i="115"/>
  <c r="J27" i="115"/>
  <c r="I27" i="115"/>
  <c r="J26" i="115"/>
  <c r="I26" i="115"/>
  <c r="C26" i="115"/>
  <c r="J25" i="115"/>
  <c r="I25" i="115"/>
  <c r="J24" i="115"/>
  <c r="I24" i="115"/>
  <c r="J23" i="115"/>
  <c r="I23" i="115"/>
  <c r="J22" i="115"/>
  <c r="I22" i="115"/>
  <c r="J21" i="115"/>
  <c r="J34" i="115" s="1"/>
  <c r="J36" i="115" s="1"/>
  <c r="J40" i="115" s="1"/>
  <c r="I21" i="115"/>
  <c r="I34" i="115" s="1"/>
  <c r="J20" i="115"/>
  <c r="I20" i="115"/>
  <c r="J19" i="115"/>
  <c r="I19" i="115"/>
  <c r="J18" i="115"/>
  <c r="I18" i="115"/>
  <c r="C18" i="115"/>
  <c r="C34" i="115" s="1"/>
  <c r="C36" i="115" s="1"/>
  <c r="C40" i="115" s="1"/>
  <c r="B18" i="115"/>
  <c r="B34" i="115" s="1"/>
  <c r="B36" i="115" s="1"/>
  <c r="B40" i="115" s="1"/>
  <c r="R15" i="115"/>
  <c r="Q15" i="115"/>
  <c r="P15" i="115"/>
  <c r="O15" i="115"/>
  <c r="N15" i="115"/>
  <c r="M15" i="115"/>
  <c r="L15" i="115"/>
  <c r="K15" i="115"/>
  <c r="H15" i="115"/>
  <c r="G15" i="115"/>
  <c r="F15" i="115"/>
  <c r="E15" i="115"/>
  <c r="D15" i="115"/>
  <c r="C15" i="115"/>
  <c r="J14" i="115"/>
  <c r="I14" i="115"/>
  <c r="F14" i="115"/>
  <c r="E14" i="115"/>
  <c r="C14" i="115"/>
  <c r="B14" i="115"/>
  <c r="J12" i="115"/>
  <c r="J11" i="115"/>
  <c r="I11" i="115"/>
  <c r="J10" i="115"/>
  <c r="I10" i="115"/>
  <c r="J9" i="115"/>
  <c r="I9" i="115"/>
  <c r="J8" i="115"/>
  <c r="I8" i="115"/>
  <c r="C8" i="115"/>
  <c r="J7" i="115"/>
  <c r="I7" i="115"/>
  <c r="I15" i="115" s="1"/>
  <c r="J6" i="115"/>
  <c r="J15" i="115" s="1"/>
  <c r="I6" i="115"/>
  <c r="D6" i="115"/>
  <c r="C6" i="115"/>
  <c r="B6" i="115"/>
  <c r="B15" i="115" s="1"/>
  <c r="P28" i="114"/>
  <c r="R34" i="114"/>
  <c r="Q34" i="114"/>
  <c r="K34" i="114"/>
  <c r="K36" i="114" s="1"/>
  <c r="K40" i="114" s="1"/>
  <c r="H34" i="114"/>
  <c r="H36" i="114" s="1"/>
  <c r="H40" i="114" s="1"/>
  <c r="F34" i="114"/>
  <c r="F36" i="114" s="1"/>
  <c r="F40" i="114" s="1"/>
  <c r="B34" i="114"/>
  <c r="B36" i="114" s="1"/>
  <c r="B40" i="114" s="1"/>
  <c r="P33" i="114"/>
  <c r="O33" i="114"/>
  <c r="O34" i="114" s="1"/>
  <c r="O36" i="114" s="1"/>
  <c r="O40" i="114" s="1"/>
  <c r="N33" i="114"/>
  <c r="N34" i="114" s="1"/>
  <c r="N36" i="114" s="1"/>
  <c r="N40" i="114" s="1"/>
  <c r="M33" i="114"/>
  <c r="M34" i="114" s="1"/>
  <c r="M36" i="114" s="1"/>
  <c r="M40" i="114" s="1"/>
  <c r="L33" i="114"/>
  <c r="L34" i="114" s="1"/>
  <c r="L36" i="114" s="1"/>
  <c r="L40" i="114" s="1"/>
  <c r="J33" i="114"/>
  <c r="I33" i="114"/>
  <c r="G33" i="114"/>
  <c r="G34" i="114" s="1"/>
  <c r="G36" i="114" s="1"/>
  <c r="G40" i="114" s="1"/>
  <c r="E33" i="114"/>
  <c r="E34" i="114" s="1"/>
  <c r="D33" i="114"/>
  <c r="C33" i="114"/>
  <c r="B33" i="114"/>
  <c r="J32" i="114"/>
  <c r="J31" i="114"/>
  <c r="I31" i="114"/>
  <c r="D31" i="114"/>
  <c r="C31" i="114"/>
  <c r="J30" i="114"/>
  <c r="I30" i="114"/>
  <c r="D30" i="114"/>
  <c r="D34" i="114" s="1"/>
  <c r="D36" i="114" s="1"/>
  <c r="D40" i="114" s="1"/>
  <c r="C30" i="114"/>
  <c r="B30" i="114"/>
  <c r="J29" i="114"/>
  <c r="P34" i="114"/>
  <c r="J28" i="114"/>
  <c r="I28" i="114"/>
  <c r="J27" i="114"/>
  <c r="I27" i="114"/>
  <c r="J26" i="114"/>
  <c r="I26" i="114"/>
  <c r="C26" i="114"/>
  <c r="J25" i="114"/>
  <c r="I25" i="114"/>
  <c r="J24" i="114"/>
  <c r="I24" i="114"/>
  <c r="J23" i="114"/>
  <c r="I23" i="114"/>
  <c r="J22" i="114"/>
  <c r="I22" i="114"/>
  <c r="J21" i="114"/>
  <c r="J34" i="114" s="1"/>
  <c r="I21" i="114"/>
  <c r="J20" i="114"/>
  <c r="I20" i="114"/>
  <c r="J19" i="114"/>
  <c r="I19" i="114"/>
  <c r="J18" i="114"/>
  <c r="I18" i="114"/>
  <c r="I34" i="114" s="1"/>
  <c r="C18" i="114"/>
  <c r="C34" i="114" s="1"/>
  <c r="C36" i="114" s="1"/>
  <c r="C40" i="114" s="1"/>
  <c r="B18" i="114"/>
  <c r="R15" i="114"/>
  <c r="R36" i="114" s="1"/>
  <c r="R40" i="114" s="1"/>
  <c r="Q15" i="114"/>
  <c r="P15" i="114"/>
  <c r="O15" i="114"/>
  <c r="N15" i="114"/>
  <c r="M15" i="114"/>
  <c r="L15" i="114"/>
  <c r="K15" i="114"/>
  <c r="H15" i="114"/>
  <c r="G15" i="114"/>
  <c r="F15" i="114"/>
  <c r="D15" i="114"/>
  <c r="J14" i="114"/>
  <c r="I14" i="114"/>
  <c r="F14" i="114"/>
  <c r="E14" i="114"/>
  <c r="E15" i="114" s="1"/>
  <c r="C14" i="114"/>
  <c r="B14" i="114"/>
  <c r="J12" i="114"/>
  <c r="J11" i="114"/>
  <c r="I11" i="114"/>
  <c r="J10" i="114"/>
  <c r="I10" i="114"/>
  <c r="J9" i="114"/>
  <c r="I9" i="114"/>
  <c r="J8" i="114"/>
  <c r="I8" i="114"/>
  <c r="C8" i="114"/>
  <c r="J7" i="114"/>
  <c r="I7" i="114"/>
  <c r="J6" i="114"/>
  <c r="J15" i="114" s="1"/>
  <c r="I6" i="114"/>
  <c r="I15" i="114" s="1"/>
  <c r="D6" i="114"/>
  <c r="C6" i="114"/>
  <c r="C15" i="114" s="1"/>
  <c r="B6" i="114"/>
  <c r="B15" i="114" s="1"/>
  <c r="P33" i="113"/>
  <c r="P28" i="113"/>
  <c r="E19" i="117" l="1"/>
  <c r="Q36" i="118"/>
  <c r="Q40" i="118" s="1"/>
  <c r="P36" i="118"/>
  <c r="P40" i="118" s="1"/>
  <c r="B36" i="118"/>
  <c r="B40" i="118" s="1"/>
  <c r="I15" i="118"/>
  <c r="C34" i="118"/>
  <c r="L36" i="118"/>
  <c r="L40" i="118" s="1"/>
  <c r="D36" i="118"/>
  <c r="D40" i="118" s="1"/>
  <c r="J15" i="118"/>
  <c r="J36" i="118" s="1"/>
  <c r="J40" i="118" s="1"/>
  <c r="E36" i="118"/>
  <c r="E40" i="118" s="1"/>
  <c r="I34" i="118"/>
  <c r="I36" i="118" s="1"/>
  <c r="I40" i="118" s="1"/>
  <c r="C15" i="118"/>
  <c r="J34" i="118"/>
  <c r="F36" i="118"/>
  <c r="F40" i="118" s="1"/>
  <c r="C36" i="118"/>
  <c r="C40" i="118" s="1"/>
  <c r="D19" i="117"/>
  <c r="D32" i="117"/>
  <c r="Q36" i="116"/>
  <c r="Q40" i="116" s="1"/>
  <c r="P36" i="116"/>
  <c r="P40" i="116" s="1"/>
  <c r="J36" i="116"/>
  <c r="J40" i="116" s="1"/>
  <c r="C36" i="116"/>
  <c r="C40" i="116" s="1"/>
  <c r="E36" i="116"/>
  <c r="E40" i="116" s="1"/>
  <c r="Q36" i="115"/>
  <c r="Q40" i="115" s="1"/>
  <c r="P34" i="115"/>
  <c r="P36" i="115" s="1"/>
  <c r="P40" i="115" s="1"/>
  <c r="I36" i="115"/>
  <c r="I40" i="115" s="1"/>
  <c r="Q36" i="114"/>
  <c r="Q40" i="114" s="1"/>
  <c r="P36" i="114"/>
  <c r="P40" i="114" s="1"/>
  <c r="E36" i="114"/>
  <c r="E40" i="114" s="1"/>
  <c r="J36" i="114"/>
  <c r="J40" i="114" s="1"/>
  <c r="I36" i="114"/>
  <c r="I40" i="114" s="1"/>
  <c r="R34" i="113"/>
  <c r="Q34" i="113"/>
  <c r="K34" i="113"/>
  <c r="H34" i="113"/>
  <c r="F34" i="113"/>
  <c r="P34" i="113"/>
  <c r="O33" i="113"/>
  <c r="O34" i="113" s="1"/>
  <c r="N33" i="113"/>
  <c r="N34" i="113" s="1"/>
  <c r="M33" i="113"/>
  <c r="M34" i="113" s="1"/>
  <c r="L33" i="113"/>
  <c r="L34" i="113" s="1"/>
  <c r="J33" i="113"/>
  <c r="I33" i="113"/>
  <c r="G33" i="113"/>
  <c r="G34" i="113" s="1"/>
  <c r="E33" i="113"/>
  <c r="E34" i="113" s="1"/>
  <c r="D33" i="113"/>
  <c r="C33" i="113"/>
  <c r="B33" i="113"/>
  <c r="J32" i="113"/>
  <c r="J31" i="113"/>
  <c r="I31" i="113"/>
  <c r="D31" i="113"/>
  <c r="C31" i="113"/>
  <c r="J30" i="113"/>
  <c r="I30" i="113"/>
  <c r="D30" i="113"/>
  <c r="D34" i="113" s="1"/>
  <c r="C30" i="113"/>
  <c r="B30" i="113"/>
  <c r="J29" i="113"/>
  <c r="J28" i="113"/>
  <c r="I28" i="113"/>
  <c r="J27" i="113"/>
  <c r="I27" i="113"/>
  <c r="J26" i="113"/>
  <c r="I26" i="113"/>
  <c r="C26" i="113"/>
  <c r="J25" i="113"/>
  <c r="I25" i="113"/>
  <c r="J24" i="113"/>
  <c r="I24" i="113"/>
  <c r="J23" i="113"/>
  <c r="I23" i="113"/>
  <c r="J22" i="113"/>
  <c r="I22" i="113"/>
  <c r="J21" i="113"/>
  <c r="I21" i="113"/>
  <c r="J20" i="113"/>
  <c r="I20" i="113"/>
  <c r="J19" i="113"/>
  <c r="I19" i="113"/>
  <c r="J18" i="113"/>
  <c r="J34" i="113" s="1"/>
  <c r="I18" i="113"/>
  <c r="I34" i="113" s="1"/>
  <c r="C18" i="113"/>
  <c r="C34" i="113" s="1"/>
  <c r="B18" i="113"/>
  <c r="B34" i="113" s="1"/>
  <c r="R15" i="113"/>
  <c r="R36" i="113" s="1"/>
  <c r="R40" i="113" s="1"/>
  <c r="Q15" i="113"/>
  <c r="P15" i="113"/>
  <c r="O15" i="113"/>
  <c r="N15" i="113"/>
  <c r="M15" i="113"/>
  <c r="L15" i="113"/>
  <c r="K15" i="113"/>
  <c r="H15" i="113"/>
  <c r="G15" i="113"/>
  <c r="D15" i="113"/>
  <c r="C15" i="113"/>
  <c r="J14" i="113"/>
  <c r="I14" i="113"/>
  <c r="F14" i="113"/>
  <c r="F15" i="113" s="1"/>
  <c r="E14" i="113"/>
  <c r="E15" i="113" s="1"/>
  <c r="C14" i="113"/>
  <c r="B14" i="113"/>
  <c r="J12" i="113"/>
  <c r="J11" i="113"/>
  <c r="I11" i="113"/>
  <c r="J10" i="113"/>
  <c r="I10" i="113"/>
  <c r="J9" i="113"/>
  <c r="I9" i="113"/>
  <c r="J8" i="113"/>
  <c r="I8" i="113"/>
  <c r="C8" i="113"/>
  <c r="J7" i="113"/>
  <c r="I7" i="113"/>
  <c r="J6" i="113"/>
  <c r="J15" i="113" s="1"/>
  <c r="I6" i="113"/>
  <c r="I15" i="113" s="1"/>
  <c r="D6" i="113"/>
  <c r="C6" i="113"/>
  <c r="B6" i="113"/>
  <c r="B15" i="113" s="1"/>
  <c r="R34" i="112"/>
  <c r="Q34" i="112"/>
  <c r="K34" i="112"/>
  <c r="K36" i="112" s="1"/>
  <c r="K40" i="112" s="1"/>
  <c r="H34" i="112"/>
  <c r="H36" i="112" s="1"/>
  <c r="H40" i="112" s="1"/>
  <c r="F34" i="112"/>
  <c r="D34" i="112"/>
  <c r="P33" i="112"/>
  <c r="P34" i="112" s="1"/>
  <c r="O33" i="112"/>
  <c r="O34" i="112" s="1"/>
  <c r="O36" i="112" s="1"/>
  <c r="O40" i="112" s="1"/>
  <c r="N33" i="112"/>
  <c r="N34" i="112" s="1"/>
  <c r="N36" i="112" s="1"/>
  <c r="N40" i="112" s="1"/>
  <c r="M33" i="112"/>
  <c r="M34" i="112" s="1"/>
  <c r="M36" i="112" s="1"/>
  <c r="M40" i="112" s="1"/>
  <c r="L33" i="112"/>
  <c r="L34" i="112" s="1"/>
  <c r="L36" i="112" s="1"/>
  <c r="L40" i="112" s="1"/>
  <c r="J33" i="112"/>
  <c r="I33" i="112"/>
  <c r="G33" i="112"/>
  <c r="G34" i="112" s="1"/>
  <c r="G36" i="112" s="1"/>
  <c r="G40" i="112" s="1"/>
  <c r="E33" i="112"/>
  <c r="E34" i="112" s="1"/>
  <c r="E36" i="112" s="1"/>
  <c r="E40" i="112" s="1"/>
  <c r="D33" i="112"/>
  <c r="C33" i="112"/>
  <c r="B33" i="112"/>
  <c r="J32" i="112"/>
  <c r="J31" i="112"/>
  <c r="I31" i="112"/>
  <c r="D31" i="112"/>
  <c r="C31" i="112"/>
  <c r="J30" i="112"/>
  <c r="I30" i="112"/>
  <c r="D30" i="112"/>
  <c r="C30" i="112"/>
  <c r="B30" i="112"/>
  <c r="J29" i="112"/>
  <c r="J28" i="112"/>
  <c r="I28" i="112"/>
  <c r="J27" i="112"/>
  <c r="I27" i="112"/>
  <c r="J26" i="112"/>
  <c r="I26" i="112"/>
  <c r="C26" i="112"/>
  <c r="J25" i="112"/>
  <c r="I25" i="112"/>
  <c r="J24" i="112"/>
  <c r="I24" i="112"/>
  <c r="J23" i="112"/>
  <c r="I23" i="112"/>
  <c r="J22" i="112"/>
  <c r="I22" i="112"/>
  <c r="J21" i="112"/>
  <c r="I21" i="112"/>
  <c r="J20" i="112"/>
  <c r="I20" i="112"/>
  <c r="J19" i="112"/>
  <c r="I19" i="112"/>
  <c r="J18" i="112"/>
  <c r="J34" i="112" s="1"/>
  <c r="J36" i="112" s="1"/>
  <c r="J40" i="112" s="1"/>
  <c r="I18" i="112"/>
  <c r="I34" i="112" s="1"/>
  <c r="C18" i="112"/>
  <c r="C34" i="112" s="1"/>
  <c r="B18" i="112"/>
  <c r="B34" i="112" s="1"/>
  <c r="R15" i="112"/>
  <c r="R36" i="112" s="1"/>
  <c r="R40" i="112" s="1"/>
  <c r="Q15" i="112"/>
  <c r="P15" i="112"/>
  <c r="O15" i="112"/>
  <c r="N15" i="112"/>
  <c r="M15" i="112"/>
  <c r="L15" i="112"/>
  <c r="K15" i="112"/>
  <c r="H15" i="112"/>
  <c r="G15" i="112"/>
  <c r="E15" i="112"/>
  <c r="J14" i="112"/>
  <c r="I14" i="112"/>
  <c r="F14" i="112"/>
  <c r="F15" i="112" s="1"/>
  <c r="E14" i="112"/>
  <c r="C14" i="112"/>
  <c r="B14" i="112"/>
  <c r="J12" i="112"/>
  <c r="J11" i="112"/>
  <c r="I11" i="112"/>
  <c r="J10" i="112"/>
  <c r="I10" i="112"/>
  <c r="J9" i="112"/>
  <c r="I9" i="112"/>
  <c r="J8" i="112"/>
  <c r="I8" i="112"/>
  <c r="C8" i="112"/>
  <c r="J7" i="112"/>
  <c r="I7" i="112"/>
  <c r="J6" i="112"/>
  <c r="J15" i="112" s="1"/>
  <c r="I6" i="112"/>
  <c r="I15" i="112" s="1"/>
  <c r="D6" i="112"/>
  <c r="D15" i="112" s="1"/>
  <c r="C6" i="112"/>
  <c r="C15" i="112" s="1"/>
  <c r="B6" i="112"/>
  <c r="B15" i="112" s="1"/>
  <c r="R34" i="111"/>
  <c r="Q34" i="111"/>
  <c r="P34" i="111"/>
  <c r="K34" i="111"/>
  <c r="K36" i="111" s="1"/>
  <c r="K40" i="111" s="1"/>
  <c r="H34" i="111"/>
  <c r="H36" i="111" s="1"/>
  <c r="H40" i="111" s="1"/>
  <c r="G34" i="111"/>
  <c r="G36" i="111" s="1"/>
  <c r="G40" i="111" s="1"/>
  <c r="F34" i="111"/>
  <c r="F36" i="111" s="1"/>
  <c r="F40" i="111" s="1"/>
  <c r="P33" i="111"/>
  <c r="O33" i="111"/>
  <c r="O34" i="111" s="1"/>
  <c r="O36" i="111" s="1"/>
  <c r="O40" i="111" s="1"/>
  <c r="N33" i="111"/>
  <c r="N34" i="111" s="1"/>
  <c r="N36" i="111" s="1"/>
  <c r="N40" i="111" s="1"/>
  <c r="M33" i="111"/>
  <c r="M34" i="111" s="1"/>
  <c r="M36" i="111" s="1"/>
  <c r="M40" i="111" s="1"/>
  <c r="L33" i="111"/>
  <c r="L34" i="111" s="1"/>
  <c r="L36" i="111" s="1"/>
  <c r="L40" i="111" s="1"/>
  <c r="J33" i="111"/>
  <c r="I33" i="111"/>
  <c r="G33" i="111"/>
  <c r="E33" i="111"/>
  <c r="E34" i="111" s="1"/>
  <c r="D33" i="111"/>
  <c r="C33" i="111"/>
  <c r="B33" i="111"/>
  <c r="J32" i="111"/>
  <c r="J31" i="111"/>
  <c r="I31" i="111"/>
  <c r="D31" i="111"/>
  <c r="C31" i="111"/>
  <c r="J30" i="111"/>
  <c r="I30" i="111"/>
  <c r="D30" i="111"/>
  <c r="D34" i="111" s="1"/>
  <c r="D36" i="111" s="1"/>
  <c r="D40" i="111" s="1"/>
  <c r="C30" i="111"/>
  <c r="B30" i="111"/>
  <c r="J29" i="111"/>
  <c r="J28" i="111"/>
  <c r="I28" i="111"/>
  <c r="J27" i="111"/>
  <c r="I27" i="111"/>
  <c r="J26" i="111"/>
  <c r="I26" i="111"/>
  <c r="C26" i="111"/>
  <c r="J25" i="111"/>
  <c r="I25" i="111"/>
  <c r="J24" i="111"/>
  <c r="I24" i="111"/>
  <c r="J23" i="111"/>
  <c r="I23" i="111"/>
  <c r="J22" i="111"/>
  <c r="I22" i="111"/>
  <c r="J21" i="111"/>
  <c r="I21" i="111"/>
  <c r="J20" i="111"/>
  <c r="I20" i="111"/>
  <c r="J19" i="111"/>
  <c r="I19" i="111"/>
  <c r="J18" i="111"/>
  <c r="J34" i="111" s="1"/>
  <c r="I18" i="111"/>
  <c r="I34" i="111" s="1"/>
  <c r="C18" i="111"/>
  <c r="C34" i="111" s="1"/>
  <c r="C36" i="111" s="1"/>
  <c r="C40" i="111" s="1"/>
  <c r="B18" i="111"/>
  <c r="B34" i="111" s="1"/>
  <c r="B36" i="111" s="1"/>
  <c r="B40" i="111" s="1"/>
  <c r="R15" i="111"/>
  <c r="R36" i="111" s="1"/>
  <c r="R40" i="111" s="1"/>
  <c r="Q15" i="111"/>
  <c r="P15" i="111"/>
  <c r="O15" i="111"/>
  <c r="N15" i="111"/>
  <c r="M15" i="111"/>
  <c r="L15" i="111"/>
  <c r="K15" i="111"/>
  <c r="H15" i="111"/>
  <c r="G15" i="111"/>
  <c r="F15" i="111"/>
  <c r="D15" i="111"/>
  <c r="J14" i="111"/>
  <c r="I14" i="111"/>
  <c r="F14" i="111"/>
  <c r="E14" i="111"/>
  <c r="E15" i="111" s="1"/>
  <c r="C14" i="111"/>
  <c r="B14" i="111"/>
  <c r="J12" i="111"/>
  <c r="J11" i="111"/>
  <c r="I11" i="111"/>
  <c r="J10" i="111"/>
  <c r="I10" i="111"/>
  <c r="J9" i="111"/>
  <c r="I9" i="111"/>
  <c r="J8" i="111"/>
  <c r="I8" i="111"/>
  <c r="C8" i="111"/>
  <c r="J7" i="111"/>
  <c r="I7" i="111"/>
  <c r="I15" i="111" s="1"/>
  <c r="J6" i="111"/>
  <c r="J15" i="111" s="1"/>
  <c r="I6" i="111"/>
  <c r="D6" i="111"/>
  <c r="C6" i="111"/>
  <c r="C15" i="111" s="1"/>
  <c r="B6" i="111"/>
  <c r="B15" i="111" s="1"/>
  <c r="P33" i="110"/>
  <c r="P34" i="110" s="1"/>
  <c r="R36" i="110"/>
  <c r="R40" i="110" s="1"/>
  <c r="R34" i="110"/>
  <c r="Q34" i="110"/>
  <c r="O34" i="110"/>
  <c r="O36" i="110" s="1"/>
  <c r="O40" i="110" s="1"/>
  <c r="K34" i="110"/>
  <c r="K36" i="110" s="1"/>
  <c r="K40" i="110" s="1"/>
  <c r="H34" i="110"/>
  <c r="H36" i="110" s="1"/>
  <c r="H40" i="110" s="1"/>
  <c r="G34" i="110"/>
  <c r="G36" i="110" s="1"/>
  <c r="G40" i="110" s="1"/>
  <c r="F34" i="110"/>
  <c r="O33" i="110"/>
  <c r="N33" i="110"/>
  <c r="N34" i="110" s="1"/>
  <c r="N36" i="110" s="1"/>
  <c r="N40" i="110" s="1"/>
  <c r="M33" i="110"/>
  <c r="M34" i="110" s="1"/>
  <c r="M36" i="110" s="1"/>
  <c r="M40" i="110" s="1"/>
  <c r="L33" i="110"/>
  <c r="L34" i="110" s="1"/>
  <c r="L36" i="110" s="1"/>
  <c r="L40" i="110" s="1"/>
  <c r="J33" i="110"/>
  <c r="I33" i="110"/>
  <c r="G33" i="110"/>
  <c r="E33" i="110"/>
  <c r="E34" i="110" s="1"/>
  <c r="D33" i="110"/>
  <c r="C33" i="110"/>
  <c r="B33" i="110"/>
  <c r="J32" i="110"/>
  <c r="J31" i="110"/>
  <c r="I31" i="110"/>
  <c r="D31" i="110"/>
  <c r="C31" i="110"/>
  <c r="J30" i="110"/>
  <c r="I30" i="110"/>
  <c r="D30" i="110"/>
  <c r="D34" i="110" s="1"/>
  <c r="C30" i="110"/>
  <c r="C34" i="110" s="1"/>
  <c r="C36" i="110" s="1"/>
  <c r="C40" i="110" s="1"/>
  <c r="B30" i="110"/>
  <c r="J29" i="110"/>
  <c r="J28" i="110"/>
  <c r="I28" i="110"/>
  <c r="J27" i="110"/>
  <c r="I27" i="110"/>
  <c r="J26" i="110"/>
  <c r="I26" i="110"/>
  <c r="C26" i="110"/>
  <c r="J25" i="110"/>
  <c r="I25" i="110"/>
  <c r="J24" i="110"/>
  <c r="I24" i="110"/>
  <c r="J23" i="110"/>
  <c r="I23" i="110"/>
  <c r="J22" i="110"/>
  <c r="I22" i="110"/>
  <c r="J21" i="110"/>
  <c r="I21" i="110"/>
  <c r="J20" i="110"/>
  <c r="I20" i="110"/>
  <c r="J19" i="110"/>
  <c r="I19" i="110"/>
  <c r="I34" i="110" s="1"/>
  <c r="J18" i="110"/>
  <c r="J34" i="110" s="1"/>
  <c r="I18" i="110"/>
  <c r="C18" i="110"/>
  <c r="B18" i="110"/>
  <c r="B34" i="110" s="1"/>
  <c r="B36" i="110" s="1"/>
  <c r="B40" i="110" s="1"/>
  <c r="R15" i="110"/>
  <c r="Q15" i="110"/>
  <c r="P15" i="110"/>
  <c r="O15" i="110"/>
  <c r="N15" i="110"/>
  <c r="M15" i="110"/>
  <c r="L15" i="110"/>
  <c r="K15" i="110"/>
  <c r="H15" i="110"/>
  <c r="G15" i="110"/>
  <c r="C15" i="110"/>
  <c r="J14" i="110"/>
  <c r="I14" i="110"/>
  <c r="F14" i="110"/>
  <c r="F15" i="110" s="1"/>
  <c r="F36" i="110" s="1"/>
  <c r="F40" i="110" s="1"/>
  <c r="E14" i="110"/>
  <c r="E15" i="110" s="1"/>
  <c r="C14" i="110"/>
  <c r="B14" i="110"/>
  <c r="J12" i="110"/>
  <c r="J11" i="110"/>
  <c r="I11" i="110"/>
  <c r="J10" i="110"/>
  <c r="I10" i="110"/>
  <c r="J9" i="110"/>
  <c r="I9" i="110"/>
  <c r="J8" i="110"/>
  <c r="I8" i="110"/>
  <c r="C8" i="110"/>
  <c r="J7" i="110"/>
  <c r="I7" i="110"/>
  <c r="J6" i="110"/>
  <c r="J15" i="110" s="1"/>
  <c r="I6" i="110"/>
  <c r="I15" i="110" s="1"/>
  <c r="D6" i="110"/>
  <c r="D15" i="110" s="1"/>
  <c r="C6" i="110"/>
  <c r="B6" i="110"/>
  <c r="B15" i="110" s="1"/>
  <c r="Q34" i="109"/>
  <c r="Q36" i="109" s="1"/>
  <c r="Q40" i="109" s="1"/>
  <c r="Q15" i="109"/>
  <c r="R34" i="109"/>
  <c r="R15" i="109"/>
  <c r="R36" i="109" s="1"/>
  <c r="R40" i="109" s="1"/>
  <c r="O33" i="109"/>
  <c r="O34" i="109" s="1"/>
  <c r="O15" i="109"/>
  <c r="K34" i="109"/>
  <c r="H34" i="109"/>
  <c r="F34" i="109"/>
  <c r="P34" i="109"/>
  <c r="N33" i="109"/>
  <c r="N34" i="109" s="1"/>
  <c r="M33" i="109"/>
  <c r="M34" i="109" s="1"/>
  <c r="L33" i="109"/>
  <c r="L34" i="109" s="1"/>
  <c r="J33" i="109"/>
  <c r="I33" i="109"/>
  <c r="G33" i="109"/>
  <c r="G34" i="109" s="1"/>
  <c r="E33" i="109"/>
  <c r="E34" i="109" s="1"/>
  <c r="D33" i="109"/>
  <c r="C33" i="109"/>
  <c r="B33" i="109"/>
  <c r="J32" i="109"/>
  <c r="J31" i="109"/>
  <c r="I31" i="109"/>
  <c r="D31" i="109"/>
  <c r="C31" i="109"/>
  <c r="J30" i="109"/>
  <c r="I30" i="109"/>
  <c r="D30" i="109"/>
  <c r="C30" i="109"/>
  <c r="B30" i="109"/>
  <c r="J29" i="109"/>
  <c r="J28" i="109"/>
  <c r="I28" i="109"/>
  <c r="J27" i="109"/>
  <c r="I27" i="109"/>
  <c r="J26" i="109"/>
  <c r="I26" i="109"/>
  <c r="C26" i="109"/>
  <c r="J25" i="109"/>
  <c r="I25" i="109"/>
  <c r="J24" i="109"/>
  <c r="I24" i="109"/>
  <c r="J23" i="109"/>
  <c r="I23" i="109"/>
  <c r="J22" i="109"/>
  <c r="I22" i="109"/>
  <c r="J21" i="109"/>
  <c r="I21" i="109"/>
  <c r="J20" i="109"/>
  <c r="I20" i="109"/>
  <c r="J19" i="109"/>
  <c r="I19" i="109"/>
  <c r="J18" i="109"/>
  <c r="I18" i="109"/>
  <c r="C18" i="109"/>
  <c r="B18" i="109"/>
  <c r="P15" i="109"/>
  <c r="N15" i="109"/>
  <c r="M15" i="109"/>
  <c r="L15" i="109"/>
  <c r="K15" i="109"/>
  <c r="H15" i="109"/>
  <c r="G15" i="109"/>
  <c r="D15" i="109"/>
  <c r="J14" i="109"/>
  <c r="I14" i="109"/>
  <c r="F14" i="109"/>
  <c r="F15" i="109" s="1"/>
  <c r="E14" i="109"/>
  <c r="E15" i="109" s="1"/>
  <c r="C14" i="109"/>
  <c r="B14" i="109"/>
  <c r="J12" i="109"/>
  <c r="J11" i="109"/>
  <c r="I11" i="109"/>
  <c r="J10" i="109"/>
  <c r="I10" i="109"/>
  <c r="J9" i="109"/>
  <c r="I9" i="109"/>
  <c r="J8" i="109"/>
  <c r="I8" i="109"/>
  <c r="C8" i="109"/>
  <c r="J7" i="109"/>
  <c r="I7" i="109"/>
  <c r="J6" i="109"/>
  <c r="I6" i="109"/>
  <c r="D6" i="109"/>
  <c r="C6" i="109"/>
  <c r="B6" i="109"/>
  <c r="O34" i="108"/>
  <c r="O36" i="108" s="1"/>
  <c r="O40" i="108" s="1"/>
  <c r="O33" i="108"/>
  <c r="O15" i="108"/>
  <c r="P34" i="108"/>
  <c r="K34" i="108"/>
  <c r="K36" i="108" s="1"/>
  <c r="K40" i="108" s="1"/>
  <c r="H34" i="108"/>
  <c r="H36" i="108" s="1"/>
  <c r="H40" i="108" s="1"/>
  <c r="G34" i="108"/>
  <c r="G36" i="108" s="1"/>
  <c r="G40" i="108" s="1"/>
  <c r="F34" i="108"/>
  <c r="N33" i="108"/>
  <c r="N34" i="108" s="1"/>
  <c r="N36" i="108" s="1"/>
  <c r="N40" i="108" s="1"/>
  <c r="L33" i="108"/>
  <c r="L34" i="108" s="1"/>
  <c r="L36" i="108" s="1"/>
  <c r="L40" i="108" s="1"/>
  <c r="J33" i="108"/>
  <c r="I33" i="108"/>
  <c r="G33" i="108"/>
  <c r="E33" i="108"/>
  <c r="E34" i="108" s="1"/>
  <c r="E36" i="108" s="1"/>
  <c r="E40" i="108" s="1"/>
  <c r="D33" i="108"/>
  <c r="C33" i="108"/>
  <c r="B33" i="108"/>
  <c r="J32" i="108"/>
  <c r="J31" i="108"/>
  <c r="I31" i="108"/>
  <c r="D31" i="108"/>
  <c r="C31" i="108"/>
  <c r="J30" i="108"/>
  <c r="I30" i="108"/>
  <c r="D30" i="108"/>
  <c r="D34" i="108" s="1"/>
  <c r="D36" i="108" s="1"/>
  <c r="D40" i="108" s="1"/>
  <c r="C30" i="108"/>
  <c r="B30" i="108"/>
  <c r="J29" i="108"/>
  <c r="J28" i="108"/>
  <c r="I28" i="108"/>
  <c r="J27" i="108"/>
  <c r="I27" i="108"/>
  <c r="J26" i="108"/>
  <c r="I26" i="108"/>
  <c r="C26" i="108"/>
  <c r="J25" i="108"/>
  <c r="I25" i="108"/>
  <c r="J24" i="108"/>
  <c r="I24" i="108"/>
  <c r="J23" i="108"/>
  <c r="I23" i="108"/>
  <c r="J22" i="108"/>
  <c r="I22" i="108"/>
  <c r="J21" i="108"/>
  <c r="I21" i="108"/>
  <c r="J20" i="108"/>
  <c r="I20" i="108"/>
  <c r="J19" i="108"/>
  <c r="I19" i="108"/>
  <c r="I34" i="108" s="1"/>
  <c r="I36" i="108" s="1"/>
  <c r="I40" i="108" s="1"/>
  <c r="C19" i="108"/>
  <c r="C34" i="108" s="1"/>
  <c r="C36" i="108" s="1"/>
  <c r="C40" i="108" s="1"/>
  <c r="B19" i="108"/>
  <c r="B34" i="108" s="1"/>
  <c r="B36" i="108" s="1"/>
  <c r="B40" i="108" s="1"/>
  <c r="J18" i="108"/>
  <c r="J34" i="108" s="1"/>
  <c r="I18" i="108"/>
  <c r="P15" i="108"/>
  <c r="N15" i="108"/>
  <c r="L15" i="108"/>
  <c r="K15" i="108"/>
  <c r="H15" i="108"/>
  <c r="G15" i="108"/>
  <c r="E15" i="108"/>
  <c r="D15" i="108"/>
  <c r="C15" i="108"/>
  <c r="J14" i="108"/>
  <c r="I14" i="108"/>
  <c r="F14" i="108"/>
  <c r="F15" i="108" s="1"/>
  <c r="E14" i="108"/>
  <c r="C14" i="108"/>
  <c r="B14" i="108"/>
  <c r="J12" i="108"/>
  <c r="J11" i="108"/>
  <c r="I11" i="108"/>
  <c r="J10" i="108"/>
  <c r="I10" i="108"/>
  <c r="J9" i="108"/>
  <c r="I9" i="108"/>
  <c r="J8" i="108"/>
  <c r="I8" i="108"/>
  <c r="I15" i="108" s="1"/>
  <c r="C8" i="108"/>
  <c r="J7" i="108"/>
  <c r="I7" i="108"/>
  <c r="J6" i="108"/>
  <c r="J15" i="108" s="1"/>
  <c r="I6" i="108"/>
  <c r="D6" i="108"/>
  <c r="C6" i="108"/>
  <c r="B6" i="108"/>
  <c r="B15" i="108" s="1"/>
  <c r="E30" i="107"/>
  <c r="E32" i="107" s="1"/>
  <c r="C30" i="107"/>
  <c r="D29" i="107"/>
  <c r="D30" i="107" s="1"/>
  <c r="E26" i="107"/>
  <c r="C26" i="107"/>
  <c r="D25" i="107"/>
  <c r="D26" i="107" s="1"/>
  <c r="E17" i="107"/>
  <c r="C17" i="107"/>
  <c r="D16" i="107"/>
  <c r="D17" i="107" s="1"/>
  <c r="E13" i="107"/>
  <c r="C13" i="107"/>
  <c r="D12" i="107"/>
  <c r="D11" i="107"/>
  <c r="E8" i="107"/>
  <c r="D8" i="107"/>
  <c r="C8" i="107"/>
  <c r="P34" i="106"/>
  <c r="K34" i="106"/>
  <c r="H34" i="106"/>
  <c r="F34" i="106"/>
  <c r="O33" i="106"/>
  <c r="O34" i="106" s="1"/>
  <c r="N33" i="106"/>
  <c r="N34" i="106" s="1"/>
  <c r="M33" i="106"/>
  <c r="M34" i="106" s="1"/>
  <c r="L33" i="106"/>
  <c r="L34" i="106" s="1"/>
  <c r="J33" i="106"/>
  <c r="I33" i="106"/>
  <c r="G33" i="106"/>
  <c r="G34" i="106" s="1"/>
  <c r="E33" i="106"/>
  <c r="E34" i="106" s="1"/>
  <c r="D33" i="106"/>
  <c r="C33" i="106"/>
  <c r="B33" i="106"/>
  <c r="J32" i="106"/>
  <c r="J31" i="106"/>
  <c r="I31" i="106"/>
  <c r="D31" i="106"/>
  <c r="C31" i="106"/>
  <c r="J30" i="106"/>
  <c r="I30" i="106"/>
  <c r="D30" i="106"/>
  <c r="C30" i="106"/>
  <c r="B30" i="106"/>
  <c r="J29" i="106"/>
  <c r="J28" i="106"/>
  <c r="I28" i="106"/>
  <c r="J27" i="106"/>
  <c r="I27" i="106"/>
  <c r="J26" i="106"/>
  <c r="I26" i="106"/>
  <c r="C26" i="106"/>
  <c r="J25" i="106"/>
  <c r="I25" i="106"/>
  <c r="J24" i="106"/>
  <c r="I24" i="106"/>
  <c r="J23" i="106"/>
  <c r="I23" i="106"/>
  <c r="J22" i="106"/>
  <c r="I22" i="106"/>
  <c r="J21" i="106"/>
  <c r="I21" i="106"/>
  <c r="J20" i="106"/>
  <c r="I20" i="106"/>
  <c r="J19" i="106"/>
  <c r="I19" i="106"/>
  <c r="J18" i="106"/>
  <c r="I18" i="106"/>
  <c r="C18" i="106"/>
  <c r="B18" i="106"/>
  <c r="P15" i="106"/>
  <c r="O15" i="106"/>
  <c r="N15" i="106"/>
  <c r="M15" i="106"/>
  <c r="L15" i="106"/>
  <c r="K15" i="106"/>
  <c r="H15" i="106"/>
  <c r="G15" i="106"/>
  <c r="J14" i="106"/>
  <c r="I14" i="106"/>
  <c r="F14" i="106"/>
  <c r="F15" i="106" s="1"/>
  <c r="E14" i="106"/>
  <c r="E15" i="106" s="1"/>
  <c r="C14" i="106"/>
  <c r="B14" i="106"/>
  <c r="J12" i="106"/>
  <c r="J11" i="106"/>
  <c r="I11" i="106"/>
  <c r="J10" i="106"/>
  <c r="I10" i="106"/>
  <c r="J9" i="106"/>
  <c r="I9" i="106"/>
  <c r="J8" i="106"/>
  <c r="I8" i="106"/>
  <c r="C8" i="106"/>
  <c r="J7" i="106"/>
  <c r="I7" i="106"/>
  <c r="J6" i="106"/>
  <c r="I6" i="106"/>
  <c r="D6" i="106"/>
  <c r="D15" i="106" s="1"/>
  <c r="C6" i="106"/>
  <c r="B6" i="106"/>
  <c r="Q34" i="105"/>
  <c r="P34" i="105"/>
  <c r="O34" i="105"/>
  <c r="L34" i="105"/>
  <c r="L36" i="105" s="1"/>
  <c r="L40" i="105" s="1"/>
  <c r="K34" i="105"/>
  <c r="K36" i="105" s="1"/>
  <c r="K40" i="105" s="1"/>
  <c r="H34" i="105"/>
  <c r="H36" i="105" s="1"/>
  <c r="H40" i="105" s="1"/>
  <c r="F34" i="105"/>
  <c r="F36" i="105" s="1"/>
  <c r="F40" i="105" s="1"/>
  <c r="E34" i="105"/>
  <c r="C34" i="105"/>
  <c r="O33" i="105"/>
  <c r="N33" i="105"/>
  <c r="N34" i="105" s="1"/>
  <c r="N36" i="105" s="1"/>
  <c r="N40" i="105" s="1"/>
  <c r="M33" i="105"/>
  <c r="M34" i="105" s="1"/>
  <c r="M36" i="105" s="1"/>
  <c r="M40" i="105" s="1"/>
  <c r="L33" i="105"/>
  <c r="J33" i="105"/>
  <c r="I33" i="105"/>
  <c r="G33" i="105"/>
  <c r="G34" i="105" s="1"/>
  <c r="G36" i="105" s="1"/>
  <c r="G40" i="105" s="1"/>
  <c r="E33" i="105"/>
  <c r="D33" i="105"/>
  <c r="C33" i="105"/>
  <c r="B33" i="105"/>
  <c r="J32" i="105"/>
  <c r="J31" i="105"/>
  <c r="I31" i="105"/>
  <c r="D31" i="105"/>
  <c r="D34" i="105" s="1"/>
  <c r="D36" i="105" s="1"/>
  <c r="D40" i="105" s="1"/>
  <c r="C31" i="105"/>
  <c r="J30" i="105"/>
  <c r="I30" i="105"/>
  <c r="D30" i="105"/>
  <c r="C30" i="105"/>
  <c r="B30" i="105"/>
  <c r="J29" i="105"/>
  <c r="J28" i="105"/>
  <c r="I28" i="105"/>
  <c r="J27" i="105"/>
  <c r="I27" i="105"/>
  <c r="J26" i="105"/>
  <c r="I26" i="105"/>
  <c r="C26" i="105"/>
  <c r="J25" i="105"/>
  <c r="I25" i="105"/>
  <c r="J24" i="105"/>
  <c r="I24" i="105"/>
  <c r="J23" i="105"/>
  <c r="I23" i="105"/>
  <c r="J22" i="105"/>
  <c r="I22" i="105"/>
  <c r="J21" i="105"/>
  <c r="I21" i="105"/>
  <c r="J20" i="105"/>
  <c r="I20" i="105"/>
  <c r="J19" i="105"/>
  <c r="I19" i="105"/>
  <c r="J18" i="105"/>
  <c r="J34" i="105" s="1"/>
  <c r="J36" i="105" s="1"/>
  <c r="J40" i="105" s="1"/>
  <c r="I18" i="105"/>
  <c r="I34" i="105" s="1"/>
  <c r="C18" i="105"/>
  <c r="B18" i="105"/>
  <c r="B34" i="105" s="1"/>
  <c r="B36" i="105" s="1"/>
  <c r="B40" i="105" s="1"/>
  <c r="Q15" i="105"/>
  <c r="Q36" i="105" s="1"/>
  <c r="Q40" i="105" s="1"/>
  <c r="P15" i="105"/>
  <c r="O15" i="105"/>
  <c r="N15" i="105"/>
  <c r="M15" i="105"/>
  <c r="L15" i="105"/>
  <c r="K15" i="105"/>
  <c r="H15" i="105"/>
  <c r="G15" i="105"/>
  <c r="F15" i="105"/>
  <c r="D15" i="105"/>
  <c r="B15" i="105"/>
  <c r="J14" i="105"/>
  <c r="I14" i="105"/>
  <c r="F14" i="105"/>
  <c r="E14" i="105"/>
  <c r="E15" i="105" s="1"/>
  <c r="C14" i="105"/>
  <c r="B14" i="105"/>
  <c r="J12" i="105"/>
  <c r="J11" i="105"/>
  <c r="J15" i="105" s="1"/>
  <c r="I11" i="105"/>
  <c r="J10" i="105"/>
  <c r="I10" i="105"/>
  <c r="J9" i="105"/>
  <c r="I9" i="105"/>
  <c r="J8" i="105"/>
  <c r="I8" i="105"/>
  <c r="C8" i="105"/>
  <c r="C15" i="105" s="1"/>
  <c r="J7" i="105"/>
  <c r="I7" i="105"/>
  <c r="J6" i="105"/>
  <c r="I6" i="105"/>
  <c r="I15" i="105" s="1"/>
  <c r="D6" i="105"/>
  <c r="C6" i="105"/>
  <c r="B6" i="105"/>
  <c r="O33" i="104"/>
  <c r="Q34" i="104"/>
  <c r="Q36" i="104" s="1"/>
  <c r="Q40" i="104" s="1"/>
  <c r="P34" i="104"/>
  <c r="M34" i="104"/>
  <c r="M36" i="104" s="1"/>
  <c r="M40" i="104" s="1"/>
  <c r="L34" i="104"/>
  <c r="L36" i="104" s="1"/>
  <c r="L40" i="104" s="1"/>
  <c r="K34" i="104"/>
  <c r="K36" i="104" s="1"/>
  <c r="K40" i="104" s="1"/>
  <c r="H34" i="104"/>
  <c r="H36" i="104" s="1"/>
  <c r="H40" i="104" s="1"/>
  <c r="F34" i="104"/>
  <c r="B34" i="104"/>
  <c r="B36" i="104" s="1"/>
  <c r="B40" i="104" s="1"/>
  <c r="O34" i="104"/>
  <c r="O36" i="104" s="1"/>
  <c r="O40" i="104" s="1"/>
  <c r="N33" i="104"/>
  <c r="N34" i="104" s="1"/>
  <c r="N36" i="104" s="1"/>
  <c r="N40" i="104" s="1"/>
  <c r="M33" i="104"/>
  <c r="L33" i="104"/>
  <c r="J33" i="104"/>
  <c r="I33" i="104"/>
  <c r="G33" i="104"/>
  <c r="G34" i="104" s="1"/>
  <c r="G36" i="104" s="1"/>
  <c r="G40" i="104" s="1"/>
  <c r="E33" i="104"/>
  <c r="E34" i="104" s="1"/>
  <c r="D33" i="104"/>
  <c r="D34" i="104" s="1"/>
  <c r="D36" i="104" s="1"/>
  <c r="D40" i="104" s="1"/>
  <c r="C33" i="104"/>
  <c r="B33" i="104"/>
  <c r="J32" i="104"/>
  <c r="J31" i="104"/>
  <c r="I31" i="104"/>
  <c r="D31" i="104"/>
  <c r="C31" i="104"/>
  <c r="J30" i="104"/>
  <c r="I30" i="104"/>
  <c r="D30" i="104"/>
  <c r="C30" i="104"/>
  <c r="B30" i="104"/>
  <c r="J29" i="104"/>
  <c r="J28" i="104"/>
  <c r="I28" i="104"/>
  <c r="J27" i="104"/>
  <c r="I27" i="104"/>
  <c r="J26" i="104"/>
  <c r="I26" i="104"/>
  <c r="C26" i="104"/>
  <c r="J25" i="104"/>
  <c r="I25" i="104"/>
  <c r="J24" i="104"/>
  <c r="I24" i="104"/>
  <c r="J23" i="104"/>
  <c r="I23" i="104"/>
  <c r="J22" i="104"/>
  <c r="I22" i="104"/>
  <c r="J21" i="104"/>
  <c r="I21" i="104"/>
  <c r="J20" i="104"/>
  <c r="I20" i="104"/>
  <c r="I34" i="104" s="1"/>
  <c r="J19" i="104"/>
  <c r="J34" i="104" s="1"/>
  <c r="I19" i="104"/>
  <c r="J18" i="104"/>
  <c r="I18" i="104"/>
  <c r="C18" i="104"/>
  <c r="C34" i="104" s="1"/>
  <c r="C36" i="104" s="1"/>
  <c r="C40" i="104" s="1"/>
  <c r="B18" i="104"/>
  <c r="Q15" i="104"/>
  <c r="P15" i="104"/>
  <c r="O15" i="104"/>
  <c r="N15" i="104"/>
  <c r="M15" i="104"/>
  <c r="L15" i="104"/>
  <c r="K15" i="104"/>
  <c r="H15" i="104"/>
  <c r="G15" i="104"/>
  <c r="D15" i="104"/>
  <c r="C15" i="104"/>
  <c r="J14" i="104"/>
  <c r="I14" i="104"/>
  <c r="F14" i="104"/>
  <c r="F15" i="104" s="1"/>
  <c r="E14" i="104"/>
  <c r="E15" i="104" s="1"/>
  <c r="C14" i="104"/>
  <c r="B14" i="104"/>
  <c r="J12" i="104"/>
  <c r="J11" i="104"/>
  <c r="I11" i="104"/>
  <c r="J10" i="104"/>
  <c r="I10" i="104"/>
  <c r="J9" i="104"/>
  <c r="I9" i="104"/>
  <c r="J8" i="104"/>
  <c r="I8" i="104"/>
  <c r="C8" i="104"/>
  <c r="J7" i="104"/>
  <c r="I7" i="104"/>
  <c r="I15" i="104" s="1"/>
  <c r="J6" i="104"/>
  <c r="J15" i="104" s="1"/>
  <c r="I6" i="104"/>
  <c r="D6" i="104"/>
  <c r="C6" i="104"/>
  <c r="B6" i="104"/>
  <c r="B15" i="104" s="1"/>
  <c r="Q34" i="103"/>
  <c r="P34" i="103"/>
  <c r="O34" i="103"/>
  <c r="L34" i="103"/>
  <c r="L36" i="103" s="1"/>
  <c r="L40" i="103" s="1"/>
  <c r="K34" i="103"/>
  <c r="K36" i="103" s="1"/>
  <c r="K40" i="103" s="1"/>
  <c r="H34" i="103"/>
  <c r="H36" i="103" s="1"/>
  <c r="H40" i="103" s="1"/>
  <c r="G34" i="103"/>
  <c r="G36" i="103" s="1"/>
  <c r="G40" i="103" s="1"/>
  <c r="F34" i="103"/>
  <c r="F36" i="103" s="1"/>
  <c r="F40" i="103" s="1"/>
  <c r="O33" i="103"/>
  <c r="N33" i="103"/>
  <c r="N34" i="103" s="1"/>
  <c r="N36" i="103" s="1"/>
  <c r="N40" i="103" s="1"/>
  <c r="M33" i="103"/>
  <c r="M34" i="103" s="1"/>
  <c r="M36" i="103" s="1"/>
  <c r="M40" i="103" s="1"/>
  <c r="L33" i="103"/>
  <c r="J33" i="103"/>
  <c r="I33" i="103"/>
  <c r="G33" i="103"/>
  <c r="E33" i="103"/>
  <c r="E34" i="103" s="1"/>
  <c r="D33" i="103"/>
  <c r="C33" i="103"/>
  <c r="B33" i="103"/>
  <c r="B34" i="103" s="1"/>
  <c r="J32" i="103"/>
  <c r="J31" i="103"/>
  <c r="I31" i="103"/>
  <c r="D31" i="103"/>
  <c r="C31" i="103"/>
  <c r="J30" i="103"/>
  <c r="I30" i="103"/>
  <c r="D30" i="103"/>
  <c r="D34" i="103" s="1"/>
  <c r="D36" i="103" s="1"/>
  <c r="D40" i="103" s="1"/>
  <c r="C30" i="103"/>
  <c r="B30" i="103"/>
  <c r="J29" i="103"/>
  <c r="J28" i="103"/>
  <c r="I28" i="103"/>
  <c r="J27" i="103"/>
  <c r="I27" i="103"/>
  <c r="J26" i="103"/>
  <c r="I26" i="103"/>
  <c r="C26" i="103"/>
  <c r="J25" i="103"/>
  <c r="I25" i="103"/>
  <c r="J24" i="103"/>
  <c r="I24" i="103"/>
  <c r="J23" i="103"/>
  <c r="I23" i="103"/>
  <c r="J22" i="103"/>
  <c r="I22" i="103"/>
  <c r="J21" i="103"/>
  <c r="I21" i="103"/>
  <c r="J20" i="103"/>
  <c r="I20" i="103"/>
  <c r="J19" i="103"/>
  <c r="J34" i="103" s="1"/>
  <c r="I19" i="103"/>
  <c r="J18" i="103"/>
  <c r="I18" i="103"/>
  <c r="I34" i="103" s="1"/>
  <c r="C18" i="103"/>
  <c r="C34" i="103" s="1"/>
  <c r="C36" i="103" s="1"/>
  <c r="C40" i="103" s="1"/>
  <c r="B18" i="103"/>
  <c r="Q15" i="103"/>
  <c r="Q36" i="103" s="1"/>
  <c r="Q40" i="103" s="1"/>
  <c r="P15" i="103"/>
  <c r="O15" i="103"/>
  <c r="N15" i="103"/>
  <c r="M15" i="103"/>
  <c r="L15" i="103"/>
  <c r="K15" i="103"/>
  <c r="H15" i="103"/>
  <c r="G15" i="103"/>
  <c r="F15" i="103"/>
  <c r="D15" i="103"/>
  <c r="C15" i="103"/>
  <c r="J14" i="103"/>
  <c r="I14" i="103"/>
  <c r="F14" i="103"/>
  <c r="E14" i="103"/>
  <c r="E15" i="103" s="1"/>
  <c r="C14" i="103"/>
  <c r="B14" i="103"/>
  <c r="J12" i="103"/>
  <c r="J11" i="103"/>
  <c r="I11" i="103"/>
  <c r="J10" i="103"/>
  <c r="I10" i="103"/>
  <c r="J9" i="103"/>
  <c r="I9" i="103"/>
  <c r="J8" i="103"/>
  <c r="I8" i="103"/>
  <c r="C8" i="103"/>
  <c r="J7" i="103"/>
  <c r="I7" i="103"/>
  <c r="J6" i="103"/>
  <c r="J15" i="103" s="1"/>
  <c r="I6" i="103"/>
  <c r="I15" i="103" s="1"/>
  <c r="D6" i="103"/>
  <c r="C6" i="103"/>
  <c r="B6" i="103"/>
  <c r="B15" i="103" s="1"/>
  <c r="O33" i="102"/>
  <c r="O34" i="102" s="1"/>
  <c r="Q34" i="102"/>
  <c r="Q36" i="102" s="1"/>
  <c r="Q40" i="102" s="1"/>
  <c r="P34" i="102"/>
  <c r="N34" i="102"/>
  <c r="N36" i="102" s="1"/>
  <c r="N40" i="102" s="1"/>
  <c r="L34" i="102"/>
  <c r="L36" i="102" s="1"/>
  <c r="L40" i="102" s="1"/>
  <c r="K34" i="102"/>
  <c r="K36" i="102" s="1"/>
  <c r="K40" i="102" s="1"/>
  <c r="H34" i="102"/>
  <c r="H36" i="102" s="1"/>
  <c r="H40" i="102" s="1"/>
  <c r="G34" i="102"/>
  <c r="G36" i="102" s="1"/>
  <c r="G40" i="102" s="1"/>
  <c r="F34" i="102"/>
  <c r="F36" i="102" s="1"/>
  <c r="F40" i="102" s="1"/>
  <c r="E34" i="102"/>
  <c r="E36" i="102" s="1"/>
  <c r="E40" i="102" s="1"/>
  <c r="D34" i="102"/>
  <c r="N33" i="102"/>
  <c r="M33" i="102"/>
  <c r="M34" i="102" s="1"/>
  <c r="M36" i="102" s="1"/>
  <c r="M40" i="102" s="1"/>
  <c r="L33" i="102"/>
  <c r="J33" i="102"/>
  <c r="I33" i="102"/>
  <c r="G33" i="102"/>
  <c r="E33" i="102"/>
  <c r="D33" i="102"/>
  <c r="C33" i="102"/>
  <c r="B33" i="102"/>
  <c r="J32" i="102"/>
  <c r="J31" i="102"/>
  <c r="I31" i="102"/>
  <c r="D31" i="102"/>
  <c r="C31" i="102"/>
  <c r="J30" i="102"/>
  <c r="I30" i="102"/>
  <c r="D30" i="102"/>
  <c r="C30" i="102"/>
  <c r="B30" i="102"/>
  <c r="J29" i="102"/>
  <c r="J28" i="102"/>
  <c r="I28" i="102"/>
  <c r="J27" i="102"/>
  <c r="I27" i="102"/>
  <c r="J26" i="102"/>
  <c r="I26" i="102"/>
  <c r="C26" i="102"/>
  <c r="J25" i="102"/>
  <c r="I25" i="102"/>
  <c r="J24" i="102"/>
  <c r="I24" i="102"/>
  <c r="J23" i="102"/>
  <c r="I23" i="102"/>
  <c r="J22" i="102"/>
  <c r="I22" i="102"/>
  <c r="J21" i="102"/>
  <c r="I21" i="102"/>
  <c r="J20" i="102"/>
  <c r="I20" i="102"/>
  <c r="J19" i="102"/>
  <c r="I19" i="102"/>
  <c r="J18" i="102"/>
  <c r="J34" i="102" s="1"/>
  <c r="I18" i="102"/>
  <c r="I34" i="102" s="1"/>
  <c r="C18" i="102"/>
  <c r="C34" i="102" s="1"/>
  <c r="C36" i="102" s="1"/>
  <c r="C40" i="102" s="1"/>
  <c r="B18" i="102"/>
  <c r="B34" i="102" s="1"/>
  <c r="Q15" i="102"/>
  <c r="P15" i="102"/>
  <c r="O15" i="102"/>
  <c r="N15" i="102"/>
  <c r="M15" i="102"/>
  <c r="L15" i="102"/>
  <c r="K15" i="102"/>
  <c r="H15" i="102"/>
  <c r="G15" i="102"/>
  <c r="F15" i="102"/>
  <c r="E15" i="102"/>
  <c r="C15" i="102"/>
  <c r="J14" i="102"/>
  <c r="I14" i="102"/>
  <c r="F14" i="102"/>
  <c r="E14" i="102"/>
  <c r="C14" i="102"/>
  <c r="B14" i="102"/>
  <c r="J12" i="102"/>
  <c r="J11" i="102"/>
  <c r="I11" i="102"/>
  <c r="J10" i="102"/>
  <c r="I10" i="102"/>
  <c r="J9" i="102"/>
  <c r="I9" i="102"/>
  <c r="J8" i="102"/>
  <c r="J15" i="102" s="1"/>
  <c r="I8" i="102"/>
  <c r="C8" i="102"/>
  <c r="J7" i="102"/>
  <c r="I7" i="102"/>
  <c r="J6" i="102"/>
  <c r="I6" i="102"/>
  <c r="I15" i="102" s="1"/>
  <c r="D6" i="102"/>
  <c r="D15" i="102" s="1"/>
  <c r="C6" i="102"/>
  <c r="B6" i="102"/>
  <c r="B15" i="102" s="1"/>
  <c r="O33" i="101"/>
  <c r="Q36" i="113" l="1"/>
  <c r="Q40" i="113" s="1"/>
  <c r="N36" i="113"/>
  <c r="N40" i="113" s="1"/>
  <c r="O36" i="113"/>
  <c r="O40" i="113" s="1"/>
  <c r="F36" i="113"/>
  <c r="F40" i="113" s="1"/>
  <c r="E36" i="113"/>
  <c r="E40" i="113" s="1"/>
  <c r="P36" i="113"/>
  <c r="P40" i="113" s="1"/>
  <c r="B36" i="113"/>
  <c r="B40" i="113" s="1"/>
  <c r="G36" i="113"/>
  <c r="G40" i="113" s="1"/>
  <c r="C36" i="113"/>
  <c r="C40" i="113" s="1"/>
  <c r="H36" i="113"/>
  <c r="H40" i="113" s="1"/>
  <c r="K36" i="113"/>
  <c r="K40" i="113" s="1"/>
  <c r="L36" i="113"/>
  <c r="L40" i="113" s="1"/>
  <c r="D36" i="113"/>
  <c r="D40" i="113" s="1"/>
  <c r="M36" i="113"/>
  <c r="M40" i="113" s="1"/>
  <c r="I36" i="113"/>
  <c r="I40" i="113" s="1"/>
  <c r="J36" i="113"/>
  <c r="J40" i="113" s="1"/>
  <c r="Q36" i="112"/>
  <c r="Q40" i="112" s="1"/>
  <c r="P36" i="112"/>
  <c r="P40" i="112" s="1"/>
  <c r="B36" i="112"/>
  <c r="B40" i="112" s="1"/>
  <c r="D36" i="112"/>
  <c r="D40" i="112" s="1"/>
  <c r="C36" i="112"/>
  <c r="C40" i="112" s="1"/>
  <c r="F36" i="112"/>
  <c r="F40" i="112" s="1"/>
  <c r="I36" i="112"/>
  <c r="I40" i="112" s="1"/>
  <c r="Q36" i="111"/>
  <c r="Q40" i="111" s="1"/>
  <c r="P36" i="111"/>
  <c r="P40" i="111" s="1"/>
  <c r="E36" i="111"/>
  <c r="E40" i="111" s="1"/>
  <c r="I36" i="111"/>
  <c r="I40" i="111" s="1"/>
  <c r="J36" i="111"/>
  <c r="J40" i="111" s="1"/>
  <c r="Q36" i="110"/>
  <c r="Q40" i="110" s="1"/>
  <c r="P36" i="110"/>
  <c r="P40" i="110" s="1"/>
  <c r="J36" i="110"/>
  <c r="J40" i="110" s="1"/>
  <c r="I36" i="110"/>
  <c r="I40" i="110" s="1"/>
  <c r="D36" i="110"/>
  <c r="D40" i="110" s="1"/>
  <c r="E36" i="110"/>
  <c r="E40" i="110" s="1"/>
  <c r="B15" i="109"/>
  <c r="P36" i="109"/>
  <c r="P40" i="109" s="1"/>
  <c r="O36" i="109"/>
  <c r="O40" i="109" s="1"/>
  <c r="C15" i="109"/>
  <c r="H36" i="109"/>
  <c r="H40" i="109" s="1"/>
  <c r="B34" i="109"/>
  <c r="B36" i="109" s="1"/>
  <c r="B40" i="109" s="1"/>
  <c r="I34" i="109"/>
  <c r="C34" i="109"/>
  <c r="C36" i="109" s="1"/>
  <c r="C40" i="109" s="1"/>
  <c r="G36" i="109"/>
  <c r="G40" i="109" s="1"/>
  <c r="F36" i="109"/>
  <c r="F40" i="109" s="1"/>
  <c r="K36" i="109"/>
  <c r="K40" i="109" s="1"/>
  <c r="I15" i="109"/>
  <c r="L36" i="109"/>
  <c r="L40" i="109" s="1"/>
  <c r="M36" i="109"/>
  <c r="M40" i="109" s="1"/>
  <c r="D34" i="109"/>
  <c r="D36" i="109" s="1"/>
  <c r="D40" i="109" s="1"/>
  <c r="J15" i="109"/>
  <c r="J34" i="109"/>
  <c r="N36" i="109"/>
  <c r="N40" i="109" s="1"/>
  <c r="E36" i="109"/>
  <c r="E40" i="109" s="1"/>
  <c r="P36" i="106"/>
  <c r="P40" i="106" s="1"/>
  <c r="P36" i="108"/>
  <c r="P40" i="108" s="1"/>
  <c r="F36" i="108"/>
  <c r="F40" i="108" s="1"/>
  <c r="J36" i="108"/>
  <c r="J40" i="108" s="1"/>
  <c r="D32" i="107"/>
  <c r="C19" i="107"/>
  <c r="C32" i="107"/>
  <c r="D13" i="107"/>
  <c r="E19" i="107"/>
  <c r="D19" i="107" s="1"/>
  <c r="N36" i="106"/>
  <c r="N40" i="106" s="1"/>
  <c r="E36" i="106"/>
  <c r="E40" i="106" s="1"/>
  <c r="O36" i="106"/>
  <c r="O40" i="106" s="1"/>
  <c r="B34" i="106"/>
  <c r="C15" i="106"/>
  <c r="J15" i="106"/>
  <c r="B15" i="106"/>
  <c r="B36" i="106"/>
  <c r="B40" i="106" s="1"/>
  <c r="G36" i="106"/>
  <c r="G40" i="106" s="1"/>
  <c r="F36" i="106"/>
  <c r="F40" i="106" s="1"/>
  <c r="I15" i="106"/>
  <c r="H36" i="106"/>
  <c r="H40" i="106" s="1"/>
  <c r="I34" i="106"/>
  <c r="I36" i="106" s="1"/>
  <c r="I40" i="106" s="1"/>
  <c r="C34" i="106"/>
  <c r="C36" i="106" s="1"/>
  <c r="C40" i="106" s="1"/>
  <c r="K36" i="106"/>
  <c r="K40" i="106" s="1"/>
  <c r="J34" i="106"/>
  <c r="J36" i="106" s="1"/>
  <c r="J40" i="106" s="1"/>
  <c r="L36" i="106"/>
  <c r="L40" i="106" s="1"/>
  <c r="M36" i="106"/>
  <c r="M40" i="106" s="1"/>
  <c r="D34" i="106"/>
  <c r="D36" i="106" s="1"/>
  <c r="D40" i="106" s="1"/>
  <c r="P36" i="105"/>
  <c r="P40" i="105" s="1"/>
  <c r="O36" i="105"/>
  <c r="O40" i="105" s="1"/>
  <c r="E36" i="105"/>
  <c r="E40" i="105" s="1"/>
  <c r="I36" i="105"/>
  <c r="I40" i="105" s="1"/>
  <c r="C36" i="105"/>
  <c r="C40" i="105" s="1"/>
  <c r="P36" i="104"/>
  <c r="P40" i="104" s="1"/>
  <c r="E36" i="104"/>
  <c r="E40" i="104" s="1"/>
  <c r="F36" i="104"/>
  <c r="F40" i="104" s="1"/>
  <c r="J36" i="104"/>
  <c r="J40" i="104" s="1"/>
  <c r="I36" i="104"/>
  <c r="I40" i="104" s="1"/>
  <c r="P36" i="103"/>
  <c r="P40" i="103" s="1"/>
  <c r="O36" i="103"/>
  <c r="O40" i="103" s="1"/>
  <c r="E36" i="103"/>
  <c r="E40" i="103" s="1"/>
  <c r="I36" i="103"/>
  <c r="I40" i="103" s="1"/>
  <c r="B36" i="103"/>
  <c r="B40" i="103" s="1"/>
  <c r="J36" i="103"/>
  <c r="J40" i="103" s="1"/>
  <c r="P36" i="102"/>
  <c r="P40" i="102" s="1"/>
  <c r="O36" i="102"/>
  <c r="O40" i="102" s="1"/>
  <c r="B36" i="102"/>
  <c r="B40" i="102" s="1"/>
  <c r="J36" i="102"/>
  <c r="J40" i="102" s="1"/>
  <c r="D36" i="102"/>
  <c r="D40" i="102" s="1"/>
  <c r="I36" i="102"/>
  <c r="I40" i="102" s="1"/>
  <c r="Q34" i="101"/>
  <c r="Q36" i="101" s="1"/>
  <c r="Q40" i="101" s="1"/>
  <c r="P34" i="101"/>
  <c r="M34" i="101"/>
  <c r="M36" i="101" s="1"/>
  <c r="M40" i="101" s="1"/>
  <c r="L34" i="101"/>
  <c r="L36" i="101" s="1"/>
  <c r="L40" i="101" s="1"/>
  <c r="K34" i="101"/>
  <c r="K36" i="101" s="1"/>
  <c r="K40" i="101" s="1"/>
  <c r="H34" i="101"/>
  <c r="H36" i="101" s="1"/>
  <c r="H40" i="101" s="1"/>
  <c r="F34" i="101"/>
  <c r="E34" i="101"/>
  <c r="E36" i="101" s="1"/>
  <c r="E40" i="101" s="1"/>
  <c r="D34" i="101"/>
  <c r="D36" i="101" s="1"/>
  <c r="D40" i="101" s="1"/>
  <c r="O34" i="101"/>
  <c r="N33" i="101"/>
  <c r="N34" i="101" s="1"/>
  <c r="N36" i="101" s="1"/>
  <c r="N40" i="101" s="1"/>
  <c r="M33" i="101"/>
  <c r="L33" i="101"/>
  <c r="J33" i="101"/>
  <c r="I33" i="101"/>
  <c r="G33" i="101"/>
  <c r="G34" i="101" s="1"/>
  <c r="G36" i="101" s="1"/>
  <c r="G40" i="101" s="1"/>
  <c r="E33" i="101"/>
  <c r="D33" i="101"/>
  <c r="C33" i="101"/>
  <c r="B33" i="101"/>
  <c r="J32" i="101"/>
  <c r="J31" i="101"/>
  <c r="I31" i="101"/>
  <c r="D31" i="101"/>
  <c r="C31" i="101"/>
  <c r="J30" i="101"/>
  <c r="I30" i="101"/>
  <c r="D30" i="101"/>
  <c r="C30" i="101"/>
  <c r="B30" i="101"/>
  <c r="J29" i="101"/>
  <c r="J28" i="101"/>
  <c r="I28" i="101"/>
  <c r="J27" i="101"/>
  <c r="I27" i="101"/>
  <c r="J26" i="101"/>
  <c r="I26" i="101"/>
  <c r="C26" i="101"/>
  <c r="J25" i="101"/>
  <c r="I25" i="101"/>
  <c r="J24" i="101"/>
  <c r="I24" i="101"/>
  <c r="J23" i="101"/>
  <c r="I23" i="101"/>
  <c r="J22" i="101"/>
  <c r="I22" i="101"/>
  <c r="J21" i="101"/>
  <c r="I21" i="101"/>
  <c r="J20" i="101"/>
  <c r="I20" i="101"/>
  <c r="J19" i="101"/>
  <c r="I19" i="101"/>
  <c r="J18" i="101"/>
  <c r="J34" i="101" s="1"/>
  <c r="I18" i="101"/>
  <c r="I34" i="101" s="1"/>
  <c r="C18" i="101"/>
  <c r="C34" i="101" s="1"/>
  <c r="C36" i="101" s="1"/>
  <c r="C40" i="101" s="1"/>
  <c r="B18" i="101"/>
  <c r="B34" i="101" s="1"/>
  <c r="B36" i="101" s="1"/>
  <c r="B40" i="101" s="1"/>
  <c r="Q15" i="101"/>
  <c r="P15" i="101"/>
  <c r="O15" i="101"/>
  <c r="N15" i="101"/>
  <c r="M15" i="101"/>
  <c r="L15" i="101"/>
  <c r="K15" i="101"/>
  <c r="H15" i="101"/>
  <c r="G15" i="101"/>
  <c r="E15" i="101"/>
  <c r="D15" i="101"/>
  <c r="C15" i="101"/>
  <c r="J14" i="101"/>
  <c r="I14" i="101"/>
  <c r="F14" i="101"/>
  <c r="F15" i="101" s="1"/>
  <c r="E14" i="101"/>
  <c r="C14" i="101"/>
  <c r="B14" i="101"/>
  <c r="J12" i="101"/>
  <c r="J11" i="101"/>
  <c r="I11" i="101"/>
  <c r="J10" i="101"/>
  <c r="I10" i="101"/>
  <c r="J9" i="101"/>
  <c r="I9" i="101"/>
  <c r="J8" i="101"/>
  <c r="I8" i="101"/>
  <c r="C8" i="101"/>
  <c r="J7" i="101"/>
  <c r="I7" i="101"/>
  <c r="J6" i="101"/>
  <c r="J15" i="101" s="1"/>
  <c r="I6" i="101"/>
  <c r="I15" i="101" s="1"/>
  <c r="D6" i="101"/>
  <c r="C6" i="101"/>
  <c r="B6" i="101"/>
  <c r="B15" i="101" s="1"/>
  <c r="J36" i="109" l="1"/>
  <c r="J40" i="109" s="1"/>
  <c r="I36" i="109"/>
  <c r="I40" i="109" s="1"/>
  <c r="P36" i="101"/>
  <c r="P40" i="101" s="1"/>
  <c r="O36" i="101"/>
  <c r="O40" i="101" s="1"/>
  <c r="I36" i="101"/>
  <c r="I40" i="101" s="1"/>
  <c r="J36" i="101"/>
  <c r="J40" i="101" s="1"/>
  <c r="F36" i="101"/>
  <c r="F40" i="101" s="1"/>
  <c r="O33" i="100"/>
  <c r="Q34" i="100"/>
  <c r="Q15" i="100"/>
  <c r="N33" i="100"/>
  <c r="N34" i="100" s="1"/>
  <c r="N36" i="100" s="1"/>
  <c r="N40" i="100" s="1"/>
  <c r="N15" i="100"/>
  <c r="P34" i="100"/>
  <c r="O34" i="100"/>
  <c r="K34" i="100"/>
  <c r="H34" i="100"/>
  <c r="G34" i="100"/>
  <c r="F34" i="100"/>
  <c r="M33" i="100"/>
  <c r="M34" i="100" s="1"/>
  <c r="L33" i="100"/>
  <c r="L34" i="100" s="1"/>
  <c r="L36" i="100" s="1"/>
  <c r="L40" i="100" s="1"/>
  <c r="J33" i="100"/>
  <c r="I33" i="100"/>
  <c r="G33" i="100"/>
  <c r="E33" i="100"/>
  <c r="E34" i="100" s="1"/>
  <c r="D33" i="100"/>
  <c r="C33" i="100"/>
  <c r="B33" i="100"/>
  <c r="J32" i="100"/>
  <c r="J31" i="100"/>
  <c r="I31" i="100"/>
  <c r="D31" i="100"/>
  <c r="C31" i="100"/>
  <c r="J30" i="100"/>
  <c r="I30" i="100"/>
  <c r="D30" i="100"/>
  <c r="D34" i="100" s="1"/>
  <c r="D36" i="100" s="1"/>
  <c r="D40" i="100" s="1"/>
  <c r="C30" i="100"/>
  <c r="B30" i="100"/>
  <c r="J29" i="100"/>
  <c r="J28" i="100"/>
  <c r="I28" i="100"/>
  <c r="J27" i="100"/>
  <c r="I27" i="100"/>
  <c r="J26" i="100"/>
  <c r="I26" i="100"/>
  <c r="C26" i="100"/>
  <c r="J25" i="100"/>
  <c r="I25" i="100"/>
  <c r="J24" i="100"/>
  <c r="I24" i="100"/>
  <c r="J23" i="100"/>
  <c r="I23" i="100"/>
  <c r="J22" i="100"/>
  <c r="I22" i="100"/>
  <c r="J21" i="100"/>
  <c r="I21" i="100"/>
  <c r="J20" i="100"/>
  <c r="I20" i="100"/>
  <c r="J18" i="100"/>
  <c r="I18" i="100"/>
  <c r="C18" i="100"/>
  <c r="B18" i="100"/>
  <c r="J19" i="100"/>
  <c r="I19" i="100"/>
  <c r="P15" i="100"/>
  <c r="O15" i="100"/>
  <c r="M15" i="100"/>
  <c r="L15" i="100"/>
  <c r="K15" i="100"/>
  <c r="K36" i="100" s="1"/>
  <c r="K40" i="100" s="1"/>
  <c r="H15" i="100"/>
  <c r="G15" i="100"/>
  <c r="D15" i="100"/>
  <c r="J14" i="100"/>
  <c r="I14" i="100"/>
  <c r="F14" i="100"/>
  <c r="F15" i="100" s="1"/>
  <c r="E14" i="100"/>
  <c r="E15" i="100" s="1"/>
  <c r="C14" i="100"/>
  <c r="B14" i="100"/>
  <c r="J12" i="100"/>
  <c r="J11" i="100"/>
  <c r="I11" i="100"/>
  <c r="J10" i="100"/>
  <c r="I10" i="100"/>
  <c r="J9" i="100"/>
  <c r="I9" i="100"/>
  <c r="J8" i="100"/>
  <c r="I8" i="100"/>
  <c r="C8" i="100"/>
  <c r="C15" i="100" s="1"/>
  <c r="J7" i="100"/>
  <c r="I7" i="100"/>
  <c r="J6" i="100"/>
  <c r="I6" i="100"/>
  <c r="D6" i="100"/>
  <c r="C6" i="100"/>
  <c r="B6" i="100"/>
  <c r="N33" i="99"/>
  <c r="N34" i="99" s="1"/>
  <c r="N15" i="99"/>
  <c r="O34" i="99"/>
  <c r="L34" i="99"/>
  <c r="K34" i="99"/>
  <c r="K36" i="99" s="1"/>
  <c r="K40" i="99" s="1"/>
  <c r="H34" i="99"/>
  <c r="H36" i="99" s="1"/>
  <c r="H40" i="99" s="1"/>
  <c r="F34" i="99"/>
  <c r="F36" i="99" s="1"/>
  <c r="F40" i="99" s="1"/>
  <c r="E34" i="99"/>
  <c r="D34" i="99"/>
  <c r="L33" i="99"/>
  <c r="J33" i="99"/>
  <c r="I33" i="99"/>
  <c r="G33" i="99"/>
  <c r="G34" i="99" s="1"/>
  <c r="E33" i="99"/>
  <c r="D33" i="99"/>
  <c r="C33" i="99"/>
  <c r="C34" i="99" s="1"/>
  <c r="B33" i="99"/>
  <c r="J32" i="99"/>
  <c r="J31" i="99"/>
  <c r="I31" i="99"/>
  <c r="D31" i="99"/>
  <c r="C31" i="99"/>
  <c r="J30" i="99"/>
  <c r="I30" i="99"/>
  <c r="D30" i="99"/>
  <c r="C30" i="99"/>
  <c r="B30" i="99"/>
  <c r="J29" i="99"/>
  <c r="J28" i="99"/>
  <c r="I28" i="99"/>
  <c r="J27" i="99"/>
  <c r="I27" i="99"/>
  <c r="J26" i="99"/>
  <c r="I26" i="99"/>
  <c r="C26" i="99"/>
  <c r="J25" i="99"/>
  <c r="I25" i="99"/>
  <c r="J24" i="99"/>
  <c r="I24" i="99"/>
  <c r="J23" i="99"/>
  <c r="I23" i="99"/>
  <c r="J22" i="99"/>
  <c r="I22" i="99"/>
  <c r="J21" i="99"/>
  <c r="I21" i="99"/>
  <c r="J20" i="99"/>
  <c r="I20" i="99"/>
  <c r="J19" i="99"/>
  <c r="I19" i="99"/>
  <c r="C19" i="99"/>
  <c r="B19" i="99"/>
  <c r="B34" i="99" s="1"/>
  <c r="J18" i="99"/>
  <c r="J34" i="99" s="1"/>
  <c r="I18" i="99"/>
  <c r="I34" i="99" s="1"/>
  <c r="O15" i="99"/>
  <c r="L15" i="99"/>
  <c r="K15" i="99"/>
  <c r="H15" i="99"/>
  <c r="G15" i="99"/>
  <c r="F15" i="99"/>
  <c r="E15" i="99"/>
  <c r="D15" i="99"/>
  <c r="C15" i="99"/>
  <c r="J14" i="99"/>
  <c r="I14" i="99"/>
  <c r="F14" i="99"/>
  <c r="E14" i="99"/>
  <c r="C14" i="99"/>
  <c r="B14" i="99"/>
  <c r="J12" i="99"/>
  <c r="J11" i="99"/>
  <c r="I11" i="99"/>
  <c r="J10" i="99"/>
  <c r="I10" i="99"/>
  <c r="J9" i="99"/>
  <c r="I9" i="99"/>
  <c r="J8" i="99"/>
  <c r="J15" i="99" s="1"/>
  <c r="I8" i="99"/>
  <c r="C8" i="99"/>
  <c r="J7" i="99"/>
  <c r="I7" i="99"/>
  <c r="J6" i="99"/>
  <c r="I6" i="99"/>
  <c r="I15" i="99" s="1"/>
  <c r="D6" i="99"/>
  <c r="C6" i="99"/>
  <c r="B6" i="99"/>
  <c r="B15" i="99" s="1"/>
  <c r="C33" i="98"/>
  <c r="E31" i="98"/>
  <c r="E33" i="98" s="1"/>
  <c r="C31" i="98"/>
  <c r="D30" i="98"/>
  <c r="D31" i="98" s="1"/>
  <c r="D33" i="98" s="1"/>
  <c r="E27" i="98"/>
  <c r="D27" i="98"/>
  <c r="C27" i="98"/>
  <c r="D26" i="98"/>
  <c r="E18" i="98"/>
  <c r="D18" i="98"/>
  <c r="C18" i="98"/>
  <c r="D17" i="98"/>
  <c r="E14" i="98"/>
  <c r="C14" i="98"/>
  <c r="D13" i="98"/>
  <c r="D12" i="98"/>
  <c r="D11" i="98"/>
  <c r="E8" i="98"/>
  <c r="D8" i="98"/>
  <c r="C8" i="98"/>
  <c r="C20" i="98" s="1"/>
  <c r="O34" i="97"/>
  <c r="K34" i="97"/>
  <c r="H34" i="97"/>
  <c r="F34" i="97"/>
  <c r="N33" i="97"/>
  <c r="N34" i="97" s="1"/>
  <c r="M33" i="97"/>
  <c r="M34" i="97" s="1"/>
  <c r="L33" i="97"/>
  <c r="L34" i="97" s="1"/>
  <c r="J33" i="97"/>
  <c r="I33" i="97"/>
  <c r="G33" i="97"/>
  <c r="G34" i="97" s="1"/>
  <c r="G36" i="97" s="1"/>
  <c r="G40" i="97" s="1"/>
  <c r="E33" i="97"/>
  <c r="E34" i="97" s="1"/>
  <c r="D33" i="97"/>
  <c r="C33" i="97"/>
  <c r="B33" i="97"/>
  <c r="J32" i="97"/>
  <c r="J31" i="97"/>
  <c r="I31" i="97"/>
  <c r="D31" i="97"/>
  <c r="C31" i="97"/>
  <c r="J30" i="97"/>
  <c r="I30" i="97"/>
  <c r="D30" i="97"/>
  <c r="C30" i="97"/>
  <c r="B30" i="97"/>
  <c r="J29" i="97"/>
  <c r="J28" i="97"/>
  <c r="I28" i="97"/>
  <c r="J27" i="97"/>
  <c r="I27" i="97"/>
  <c r="J26" i="97"/>
  <c r="I26" i="97"/>
  <c r="C26" i="97"/>
  <c r="J25" i="97"/>
  <c r="I25" i="97"/>
  <c r="J24" i="97"/>
  <c r="I24" i="97"/>
  <c r="J23" i="97"/>
  <c r="I23" i="97"/>
  <c r="J22" i="97"/>
  <c r="I22" i="97"/>
  <c r="J21" i="97"/>
  <c r="I21" i="97"/>
  <c r="J20" i="97"/>
  <c r="I20" i="97"/>
  <c r="J19" i="97"/>
  <c r="I19" i="97"/>
  <c r="C19" i="97"/>
  <c r="B19" i="97"/>
  <c r="B34" i="97" s="1"/>
  <c r="J18" i="97"/>
  <c r="I18" i="97"/>
  <c r="O15" i="97"/>
  <c r="O36" i="97" s="1"/>
  <c r="O40" i="97" s="1"/>
  <c r="N15" i="97"/>
  <c r="M15" i="97"/>
  <c r="L15" i="97"/>
  <c r="K15" i="97"/>
  <c r="H15" i="97"/>
  <c r="G15" i="97"/>
  <c r="F15" i="97"/>
  <c r="J14" i="97"/>
  <c r="I14" i="97"/>
  <c r="F14" i="97"/>
  <c r="E14" i="97"/>
  <c r="E15" i="97" s="1"/>
  <c r="C14" i="97"/>
  <c r="B14" i="97"/>
  <c r="J12" i="97"/>
  <c r="J11" i="97"/>
  <c r="I11" i="97"/>
  <c r="J10" i="97"/>
  <c r="I10" i="97"/>
  <c r="J9" i="97"/>
  <c r="I9" i="97"/>
  <c r="J8" i="97"/>
  <c r="I8" i="97"/>
  <c r="C8" i="97"/>
  <c r="J7" i="97"/>
  <c r="I7" i="97"/>
  <c r="J6" i="97"/>
  <c r="I6" i="97"/>
  <c r="D6" i="97"/>
  <c r="D15" i="97" s="1"/>
  <c r="C6" i="97"/>
  <c r="B6" i="97"/>
  <c r="Q36" i="100" l="1"/>
  <c r="Q40" i="100" s="1"/>
  <c r="J15" i="100"/>
  <c r="H36" i="100"/>
  <c r="H40" i="100" s="1"/>
  <c r="B34" i="100"/>
  <c r="O36" i="100"/>
  <c r="O40" i="100" s="1"/>
  <c r="M36" i="100"/>
  <c r="M40" i="100" s="1"/>
  <c r="P36" i="100"/>
  <c r="P40" i="100" s="1"/>
  <c r="J34" i="100"/>
  <c r="J36" i="100" s="1"/>
  <c r="J40" i="100" s="1"/>
  <c r="F36" i="100"/>
  <c r="F40" i="100" s="1"/>
  <c r="I15" i="100"/>
  <c r="E36" i="100"/>
  <c r="E40" i="100" s="1"/>
  <c r="C34" i="100"/>
  <c r="C36" i="100" s="1"/>
  <c r="C40" i="100" s="1"/>
  <c r="G36" i="100"/>
  <c r="G40" i="100" s="1"/>
  <c r="I34" i="100"/>
  <c r="I36" i="100" s="1"/>
  <c r="I40" i="100" s="1"/>
  <c r="B15" i="100"/>
  <c r="B36" i="100" s="1"/>
  <c r="B40" i="100" s="1"/>
  <c r="O36" i="99"/>
  <c r="O40" i="99" s="1"/>
  <c r="G36" i="99"/>
  <c r="G40" i="99" s="1"/>
  <c r="L36" i="99"/>
  <c r="L40" i="99" s="1"/>
  <c r="B36" i="99"/>
  <c r="B40" i="99" s="1"/>
  <c r="D36" i="99"/>
  <c r="D40" i="99" s="1"/>
  <c r="C36" i="99"/>
  <c r="C40" i="99" s="1"/>
  <c r="E36" i="99"/>
  <c r="E40" i="99" s="1"/>
  <c r="N36" i="99"/>
  <c r="N40" i="99" s="1"/>
  <c r="J36" i="99"/>
  <c r="J40" i="99" s="1"/>
  <c r="I36" i="99"/>
  <c r="I40" i="99" s="1"/>
  <c r="D14" i="98"/>
  <c r="E20" i="98"/>
  <c r="D20" i="98" s="1"/>
  <c r="K36" i="97"/>
  <c r="K40" i="97" s="1"/>
  <c r="F36" i="97"/>
  <c r="F40" i="97" s="1"/>
  <c r="B15" i="97"/>
  <c r="B36" i="97" s="1"/>
  <c r="B40" i="97" s="1"/>
  <c r="H36" i="97"/>
  <c r="H40" i="97" s="1"/>
  <c r="E36" i="97"/>
  <c r="E40" i="97" s="1"/>
  <c r="C15" i="97"/>
  <c r="N36" i="97"/>
  <c r="N40" i="97" s="1"/>
  <c r="J15" i="97"/>
  <c r="I15" i="97"/>
  <c r="J34" i="97"/>
  <c r="J36" i="97" s="1"/>
  <c r="J40" i="97" s="1"/>
  <c r="C34" i="97"/>
  <c r="C36" i="97" s="1"/>
  <c r="C40" i="97" s="1"/>
  <c r="L36" i="97"/>
  <c r="L40" i="97" s="1"/>
  <c r="I34" i="97"/>
  <c r="D34" i="97"/>
  <c r="D36" i="97" s="1"/>
  <c r="D40" i="97" s="1"/>
  <c r="M36" i="97"/>
  <c r="M40" i="97" s="1"/>
  <c r="I36" i="97" l="1"/>
  <c r="I40" i="97" s="1"/>
  <c r="P34" i="96" l="1"/>
  <c r="O34" i="96"/>
  <c r="M34" i="96"/>
  <c r="K34" i="96"/>
  <c r="H34" i="96"/>
  <c r="F34" i="96"/>
  <c r="F36" i="96" s="1"/>
  <c r="F40" i="96" s="1"/>
  <c r="N33" i="96"/>
  <c r="N34" i="96" s="1"/>
  <c r="M33" i="96"/>
  <c r="L33" i="96"/>
  <c r="L34" i="96" s="1"/>
  <c r="J33" i="96"/>
  <c r="I33" i="96"/>
  <c r="G33" i="96"/>
  <c r="G34" i="96" s="1"/>
  <c r="E33" i="96"/>
  <c r="E34" i="96" s="1"/>
  <c r="D33" i="96"/>
  <c r="C33" i="96"/>
  <c r="B33" i="96"/>
  <c r="J32" i="96"/>
  <c r="J31" i="96"/>
  <c r="I31" i="96"/>
  <c r="D31" i="96"/>
  <c r="D34" i="96" s="1"/>
  <c r="C31" i="96"/>
  <c r="J30" i="96"/>
  <c r="I30" i="96"/>
  <c r="D30" i="96"/>
  <c r="C30" i="96"/>
  <c r="B30" i="96"/>
  <c r="J29" i="96"/>
  <c r="J28" i="96"/>
  <c r="I28" i="96"/>
  <c r="J27" i="96"/>
  <c r="I27" i="96"/>
  <c r="J26" i="96"/>
  <c r="I26" i="96"/>
  <c r="C26" i="96"/>
  <c r="J25" i="96"/>
  <c r="I25" i="96"/>
  <c r="J24" i="96"/>
  <c r="I24" i="96"/>
  <c r="J23" i="96"/>
  <c r="I23" i="96"/>
  <c r="J22" i="96"/>
  <c r="I22" i="96"/>
  <c r="I34" i="96" s="1"/>
  <c r="J21" i="96"/>
  <c r="I21" i="96"/>
  <c r="J20" i="96"/>
  <c r="I20" i="96"/>
  <c r="J19" i="96"/>
  <c r="I19" i="96"/>
  <c r="C19" i="96"/>
  <c r="C34" i="96" s="1"/>
  <c r="B19" i="96"/>
  <c r="B34" i="96" s="1"/>
  <c r="B36" i="96" s="1"/>
  <c r="B40" i="96" s="1"/>
  <c r="J18" i="96"/>
  <c r="J34" i="96" s="1"/>
  <c r="J36" i="96" s="1"/>
  <c r="J40" i="96" s="1"/>
  <c r="I18" i="96"/>
  <c r="P15" i="96"/>
  <c r="P36" i="96" s="1"/>
  <c r="P40" i="96" s="1"/>
  <c r="O15" i="96"/>
  <c r="N15" i="96"/>
  <c r="M15" i="96"/>
  <c r="L15" i="96"/>
  <c r="K15" i="96"/>
  <c r="K36" i="96" s="1"/>
  <c r="K40" i="96" s="1"/>
  <c r="H15" i="96"/>
  <c r="G15" i="96"/>
  <c r="F15" i="96"/>
  <c r="D15" i="96"/>
  <c r="B15" i="96"/>
  <c r="J14" i="96"/>
  <c r="I14" i="96"/>
  <c r="F14" i="96"/>
  <c r="E14" i="96"/>
  <c r="E15" i="96" s="1"/>
  <c r="C14" i="96"/>
  <c r="B14" i="96"/>
  <c r="J12" i="96"/>
  <c r="J11" i="96"/>
  <c r="J15" i="96" s="1"/>
  <c r="I11" i="96"/>
  <c r="J10" i="96"/>
  <c r="I10" i="96"/>
  <c r="J9" i="96"/>
  <c r="I9" i="96"/>
  <c r="J8" i="96"/>
  <c r="I8" i="96"/>
  <c r="C8" i="96"/>
  <c r="C15" i="96" s="1"/>
  <c r="J7" i="96"/>
  <c r="I7" i="96"/>
  <c r="J6" i="96"/>
  <c r="I6" i="96"/>
  <c r="I15" i="96" s="1"/>
  <c r="D6" i="96"/>
  <c r="C6" i="96"/>
  <c r="B6" i="96"/>
  <c r="O36" i="96" l="1"/>
  <c r="O40" i="96" s="1"/>
  <c r="N36" i="96"/>
  <c r="N40" i="96" s="1"/>
  <c r="M36" i="96"/>
  <c r="M40" i="96" s="1"/>
  <c r="H36" i="96"/>
  <c r="H40" i="96" s="1"/>
  <c r="L36" i="96"/>
  <c r="L40" i="96" s="1"/>
  <c r="D36" i="96"/>
  <c r="D40" i="96" s="1"/>
  <c r="G36" i="96"/>
  <c r="G40" i="96" s="1"/>
  <c r="I36" i="96"/>
  <c r="I40" i="96" s="1"/>
  <c r="C36" i="96"/>
  <c r="C40" i="96" s="1"/>
  <c r="E36" i="96"/>
  <c r="E40" i="96" s="1"/>
  <c r="L40" i="95"/>
  <c r="L36" i="95"/>
  <c r="K36" i="95"/>
  <c r="K40" i="95" s="1"/>
  <c r="P34" i="95"/>
  <c r="O34" i="95"/>
  <c r="L34" i="95"/>
  <c r="K34" i="95"/>
  <c r="H34" i="95"/>
  <c r="H36" i="95" s="1"/>
  <c r="H40" i="95" s="1"/>
  <c r="F34" i="95"/>
  <c r="N33" i="95"/>
  <c r="N34" i="95" s="1"/>
  <c r="M33" i="95"/>
  <c r="M34" i="95" s="1"/>
  <c r="M36" i="95" s="1"/>
  <c r="M40" i="95" s="1"/>
  <c r="L33" i="95"/>
  <c r="J33" i="95"/>
  <c r="I33" i="95"/>
  <c r="G33" i="95"/>
  <c r="G34" i="95" s="1"/>
  <c r="G36" i="95" s="1"/>
  <c r="G40" i="95" s="1"/>
  <c r="E33" i="95"/>
  <c r="E34" i="95" s="1"/>
  <c r="E36" i="95" s="1"/>
  <c r="E40" i="95" s="1"/>
  <c r="D33" i="95"/>
  <c r="C33" i="95"/>
  <c r="B33" i="95"/>
  <c r="B34" i="95" s="1"/>
  <c r="B36" i="95" s="1"/>
  <c r="B40" i="95" s="1"/>
  <c r="J32" i="95"/>
  <c r="J31" i="95"/>
  <c r="I31" i="95"/>
  <c r="D31" i="95"/>
  <c r="C31" i="95"/>
  <c r="C34" i="95" s="1"/>
  <c r="C36" i="95" s="1"/>
  <c r="C40" i="95" s="1"/>
  <c r="J30" i="95"/>
  <c r="I30" i="95"/>
  <c r="D30" i="95"/>
  <c r="D34" i="95" s="1"/>
  <c r="C30" i="95"/>
  <c r="B30" i="95"/>
  <c r="J29" i="95"/>
  <c r="J28" i="95"/>
  <c r="I28" i="95"/>
  <c r="J27" i="95"/>
  <c r="I27" i="95"/>
  <c r="J26" i="95"/>
  <c r="I26" i="95"/>
  <c r="C26" i="95"/>
  <c r="J25" i="95"/>
  <c r="I25" i="95"/>
  <c r="J24" i="95"/>
  <c r="I24" i="95"/>
  <c r="J23" i="95"/>
  <c r="I23" i="95"/>
  <c r="J22" i="95"/>
  <c r="I22" i="95"/>
  <c r="J21" i="95"/>
  <c r="I21" i="95"/>
  <c r="J20" i="95"/>
  <c r="I20" i="95"/>
  <c r="J19" i="95"/>
  <c r="J34" i="95" s="1"/>
  <c r="I19" i="95"/>
  <c r="I34" i="95" s="1"/>
  <c r="C19" i="95"/>
  <c r="B19" i="95"/>
  <c r="J18" i="95"/>
  <c r="I18" i="95"/>
  <c r="P15" i="95"/>
  <c r="P36" i="95" s="1"/>
  <c r="P40" i="95" s="1"/>
  <c r="O15" i="95"/>
  <c r="N15" i="95"/>
  <c r="M15" i="95"/>
  <c r="L15" i="95"/>
  <c r="K15" i="95"/>
  <c r="H15" i="95"/>
  <c r="G15" i="95"/>
  <c r="F15" i="95"/>
  <c r="F36" i="95" s="1"/>
  <c r="F40" i="95" s="1"/>
  <c r="E15" i="95"/>
  <c r="B15" i="95"/>
  <c r="J14" i="95"/>
  <c r="I14" i="95"/>
  <c r="F14" i="95"/>
  <c r="E14" i="95"/>
  <c r="C14" i="95"/>
  <c r="B14" i="95"/>
  <c r="J12" i="95"/>
  <c r="J11" i="95"/>
  <c r="I11" i="95"/>
  <c r="J10" i="95"/>
  <c r="I10" i="95"/>
  <c r="J9" i="95"/>
  <c r="I9" i="95"/>
  <c r="J8" i="95"/>
  <c r="I8" i="95"/>
  <c r="C8" i="95"/>
  <c r="C15" i="95" s="1"/>
  <c r="J7" i="95"/>
  <c r="I7" i="95"/>
  <c r="J6" i="95"/>
  <c r="J15" i="95" s="1"/>
  <c r="I6" i="95"/>
  <c r="I15" i="95" s="1"/>
  <c r="D6" i="95"/>
  <c r="D15" i="95" s="1"/>
  <c r="C6" i="95"/>
  <c r="B6" i="95"/>
  <c r="O36" i="95" l="1"/>
  <c r="O40" i="95" s="1"/>
  <c r="N36" i="95"/>
  <c r="N40" i="95" s="1"/>
  <c r="I36" i="95"/>
  <c r="I40" i="95" s="1"/>
  <c r="D36" i="95"/>
  <c r="D40" i="95" s="1"/>
  <c r="J36" i="95"/>
  <c r="J40" i="95" s="1"/>
  <c r="K36" i="94"/>
  <c r="K40" i="94" s="1"/>
  <c r="P34" i="94"/>
  <c r="P36" i="94" s="1"/>
  <c r="P40" i="94" s="1"/>
  <c r="O34" i="94"/>
  <c r="K34" i="94"/>
  <c r="H34" i="94"/>
  <c r="H36" i="94" s="1"/>
  <c r="H40" i="94" s="1"/>
  <c r="G34" i="94"/>
  <c r="G36" i="94" s="1"/>
  <c r="G40" i="94" s="1"/>
  <c r="F34" i="94"/>
  <c r="E34" i="94"/>
  <c r="E36" i="94" s="1"/>
  <c r="E40" i="94" s="1"/>
  <c r="N33" i="94"/>
  <c r="N34" i="94" s="1"/>
  <c r="M33" i="94"/>
  <c r="M34" i="94" s="1"/>
  <c r="M36" i="94" s="1"/>
  <c r="M40" i="94" s="1"/>
  <c r="L33" i="94"/>
  <c r="L34" i="94" s="1"/>
  <c r="L36" i="94" s="1"/>
  <c r="L40" i="94" s="1"/>
  <c r="J33" i="94"/>
  <c r="I33" i="94"/>
  <c r="G33" i="94"/>
  <c r="E33" i="94"/>
  <c r="D33" i="94"/>
  <c r="C33" i="94"/>
  <c r="B33" i="94"/>
  <c r="B34" i="94" s="1"/>
  <c r="J32" i="94"/>
  <c r="J31" i="94"/>
  <c r="I31" i="94"/>
  <c r="D31" i="94"/>
  <c r="C31" i="94"/>
  <c r="J30" i="94"/>
  <c r="I30" i="94"/>
  <c r="D30" i="94"/>
  <c r="D34" i="94" s="1"/>
  <c r="C30" i="94"/>
  <c r="B30" i="94"/>
  <c r="J29" i="94"/>
  <c r="J28" i="94"/>
  <c r="I28" i="94"/>
  <c r="J27" i="94"/>
  <c r="I27" i="94"/>
  <c r="J26" i="94"/>
  <c r="I26" i="94"/>
  <c r="C26" i="94"/>
  <c r="J25" i="94"/>
  <c r="I25" i="94"/>
  <c r="J24" i="94"/>
  <c r="I24" i="94"/>
  <c r="J23" i="94"/>
  <c r="I23" i="94"/>
  <c r="J22" i="94"/>
  <c r="I22" i="94"/>
  <c r="J21" i="94"/>
  <c r="I21" i="94"/>
  <c r="J20" i="94"/>
  <c r="I20" i="94"/>
  <c r="J19" i="94"/>
  <c r="J34" i="94" s="1"/>
  <c r="I19" i="94"/>
  <c r="I34" i="94" s="1"/>
  <c r="C19" i="94"/>
  <c r="C34" i="94" s="1"/>
  <c r="B19" i="94"/>
  <c r="J18" i="94"/>
  <c r="I18" i="94"/>
  <c r="P15" i="94"/>
  <c r="O15" i="94"/>
  <c r="N15" i="94"/>
  <c r="M15" i="94"/>
  <c r="L15" i="94"/>
  <c r="K15" i="94"/>
  <c r="H15" i="94"/>
  <c r="G15" i="94"/>
  <c r="F15" i="94"/>
  <c r="F36" i="94" s="1"/>
  <c r="F40" i="94" s="1"/>
  <c r="E15" i="94"/>
  <c r="J14" i="94"/>
  <c r="I14" i="94"/>
  <c r="F14" i="94"/>
  <c r="E14" i="94"/>
  <c r="C14" i="94"/>
  <c r="B14" i="94"/>
  <c r="B15" i="94" s="1"/>
  <c r="J12" i="94"/>
  <c r="J11" i="94"/>
  <c r="I11" i="94"/>
  <c r="J10" i="94"/>
  <c r="I10" i="94"/>
  <c r="J9" i="94"/>
  <c r="I9" i="94"/>
  <c r="J8" i="94"/>
  <c r="I8" i="94"/>
  <c r="C8" i="94"/>
  <c r="J7" i="94"/>
  <c r="I7" i="94"/>
  <c r="J6" i="94"/>
  <c r="J15" i="94" s="1"/>
  <c r="I6" i="94"/>
  <c r="I15" i="94" s="1"/>
  <c r="D6" i="94"/>
  <c r="D15" i="94" s="1"/>
  <c r="C6" i="94"/>
  <c r="C15" i="94" s="1"/>
  <c r="B6" i="94"/>
  <c r="O36" i="94" l="1"/>
  <c r="O40" i="94" s="1"/>
  <c r="N36" i="94"/>
  <c r="N40" i="94" s="1"/>
  <c r="C36" i="94"/>
  <c r="C40" i="94" s="1"/>
  <c r="I36" i="94"/>
  <c r="I40" i="94" s="1"/>
  <c r="B36" i="94"/>
  <c r="B40" i="94" s="1"/>
  <c r="D36" i="94"/>
  <c r="D40" i="94" s="1"/>
  <c r="J36" i="94"/>
  <c r="J40" i="94" s="1"/>
  <c r="F40" i="93"/>
  <c r="P36" i="93"/>
  <c r="P40" i="93" s="1"/>
  <c r="M36" i="93"/>
  <c r="M40" i="93" s="1"/>
  <c r="H36" i="93"/>
  <c r="H40" i="93" s="1"/>
  <c r="F36" i="93"/>
  <c r="E36" i="93"/>
  <c r="E40" i="93" s="1"/>
  <c r="P34" i="93"/>
  <c r="O34" i="93"/>
  <c r="N34" i="93"/>
  <c r="M34" i="93"/>
  <c r="L34" i="93"/>
  <c r="L36" i="93" s="1"/>
  <c r="L40" i="93" s="1"/>
  <c r="K34" i="93"/>
  <c r="H34" i="93"/>
  <c r="F34" i="93"/>
  <c r="E34" i="93"/>
  <c r="D34" i="93"/>
  <c r="D36" i="93" s="1"/>
  <c r="D40" i="93" s="1"/>
  <c r="N33" i="93"/>
  <c r="M33" i="93"/>
  <c r="L33" i="93"/>
  <c r="J33" i="93"/>
  <c r="I33" i="93"/>
  <c r="G33" i="93"/>
  <c r="G34" i="93" s="1"/>
  <c r="G36" i="93" s="1"/>
  <c r="G40" i="93" s="1"/>
  <c r="E33" i="93"/>
  <c r="D33" i="93"/>
  <c r="C33" i="93"/>
  <c r="B33" i="93"/>
  <c r="J32" i="93"/>
  <c r="J31" i="93"/>
  <c r="I31" i="93"/>
  <c r="D31" i="93"/>
  <c r="C31" i="93"/>
  <c r="J30" i="93"/>
  <c r="I30" i="93"/>
  <c r="D30" i="93"/>
  <c r="C30" i="93"/>
  <c r="B30" i="93"/>
  <c r="J29" i="93"/>
  <c r="J28" i="93"/>
  <c r="I28" i="93"/>
  <c r="J27" i="93"/>
  <c r="I27" i="93"/>
  <c r="J26" i="93"/>
  <c r="I26" i="93"/>
  <c r="C26" i="93"/>
  <c r="J25" i="93"/>
  <c r="I25" i="93"/>
  <c r="J24" i="93"/>
  <c r="I24" i="93"/>
  <c r="J23" i="93"/>
  <c r="I23" i="93"/>
  <c r="J22" i="93"/>
  <c r="I22" i="93"/>
  <c r="J21" i="93"/>
  <c r="I21" i="93"/>
  <c r="J20" i="93"/>
  <c r="I20" i="93"/>
  <c r="J19" i="93"/>
  <c r="I19" i="93"/>
  <c r="C19" i="93"/>
  <c r="C34" i="93" s="1"/>
  <c r="B19" i="93"/>
  <c r="B34" i="93" s="1"/>
  <c r="B36" i="93" s="1"/>
  <c r="B40" i="93" s="1"/>
  <c r="J18" i="93"/>
  <c r="J34" i="93" s="1"/>
  <c r="J36" i="93" s="1"/>
  <c r="J40" i="93" s="1"/>
  <c r="I18" i="93"/>
  <c r="I34" i="93" s="1"/>
  <c r="I36" i="93" s="1"/>
  <c r="I40" i="93" s="1"/>
  <c r="P15" i="93"/>
  <c r="O15" i="93"/>
  <c r="N15" i="93"/>
  <c r="M15" i="93"/>
  <c r="L15" i="93"/>
  <c r="K15" i="93"/>
  <c r="K36" i="93" s="1"/>
  <c r="K40" i="93" s="1"/>
  <c r="H15" i="93"/>
  <c r="G15" i="93"/>
  <c r="F15" i="93"/>
  <c r="E15" i="93"/>
  <c r="D15" i="93"/>
  <c r="B15" i="93"/>
  <c r="J14" i="93"/>
  <c r="I14" i="93"/>
  <c r="F14" i="93"/>
  <c r="E14" i="93"/>
  <c r="C14" i="93"/>
  <c r="B14" i="93"/>
  <c r="J12" i="93"/>
  <c r="J11" i="93"/>
  <c r="I11" i="93"/>
  <c r="I15" i="93" s="1"/>
  <c r="J10" i="93"/>
  <c r="I10" i="93"/>
  <c r="J9" i="93"/>
  <c r="I9" i="93"/>
  <c r="J8" i="93"/>
  <c r="I8" i="93"/>
  <c r="C8" i="93"/>
  <c r="J7" i="93"/>
  <c r="J15" i="93" s="1"/>
  <c r="I7" i="93"/>
  <c r="J6" i="93"/>
  <c r="I6" i="93"/>
  <c r="D6" i="93"/>
  <c r="C6" i="93"/>
  <c r="C15" i="93" s="1"/>
  <c r="B6" i="93"/>
  <c r="O36" i="93" l="1"/>
  <c r="O40" i="93" s="1"/>
  <c r="N36" i="93"/>
  <c r="N40" i="93" s="1"/>
  <c r="C36" i="93"/>
  <c r="C40" i="93" s="1"/>
  <c r="P40" i="92"/>
  <c r="H40" i="92"/>
  <c r="F40" i="92"/>
  <c r="P36" i="92"/>
  <c r="M36" i="92"/>
  <c r="M40" i="92" s="1"/>
  <c r="H36" i="92"/>
  <c r="F36" i="92"/>
  <c r="E36" i="92"/>
  <c r="E40" i="92" s="1"/>
  <c r="P34" i="92"/>
  <c r="O34" i="92"/>
  <c r="N34" i="92"/>
  <c r="N36" i="92" s="1"/>
  <c r="N40" i="92" s="1"/>
  <c r="M34" i="92"/>
  <c r="L34" i="92"/>
  <c r="L36" i="92" s="1"/>
  <c r="L40" i="92" s="1"/>
  <c r="K34" i="92"/>
  <c r="H34" i="92"/>
  <c r="F34" i="92"/>
  <c r="E34" i="92"/>
  <c r="N33" i="92"/>
  <c r="M33" i="92"/>
  <c r="L33" i="92"/>
  <c r="J33" i="92"/>
  <c r="I33" i="92"/>
  <c r="G33" i="92"/>
  <c r="G34" i="92" s="1"/>
  <c r="G36" i="92" s="1"/>
  <c r="G40" i="92" s="1"/>
  <c r="E33" i="92"/>
  <c r="D33" i="92"/>
  <c r="C33" i="92"/>
  <c r="B33" i="92"/>
  <c r="J32" i="92"/>
  <c r="J31" i="92"/>
  <c r="I31" i="92"/>
  <c r="D31" i="92"/>
  <c r="D34" i="92" s="1"/>
  <c r="D36" i="92" s="1"/>
  <c r="D40" i="92" s="1"/>
  <c r="C31" i="92"/>
  <c r="J30" i="92"/>
  <c r="I30" i="92"/>
  <c r="D30" i="92"/>
  <c r="C30" i="92"/>
  <c r="B30" i="92"/>
  <c r="J29" i="92"/>
  <c r="J28" i="92"/>
  <c r="I28" i="92"/>
  <c r="J27" i="92"/>
  <c r="I27" i="92"/>
  <c r="J26" i="92"/>
  <c r="I26" i="92"/>
  <c r="C26" i="92"/>
  <c r="J25" i="92"/>
  <c r="I25" i="92"/>
  <c r="J24" i="92"/>
  <c r="I24" i="92"/>
  <c r="J23" i="92"/>
  <c r="I23" i="92"/>
  <c r="J22" i="92"/>
  <c r="I22" i="92"/>
  <c r="J21" i="92"/>
  <c r="I21" i="92"/>
  <c r="J20" i="92"/>
  <c r="I20" i="92"/>
  <c r="J19" i="92"/>
  <c r="I19" i="92"/>
  <c r="C19" i="92"/>
  <c r="C34" i="92" s="1"/>
  <c r="C36" i="92" s="1"/>
  <c r="C40" i="92" s="1"/>
  <c r="B19" i="92"/>
  <c r="B34" i="92" s="1"/>
  <c r="B36" i="92" s="1"/>
  <c r="B40" i="92" s="1"/>
  <c r="J18" i="92"/>
  <c r="J34" i="92" s="1"/>
  <c r="I18" i="92"/>
  <c r="I34" i="92" s="1"/>
  <c r="I36" i="92" s="1"/>
  <c r="I40" i="92" s="1"/>
  <c r="P15" i="92"/>
  <c r="O15" i="92"/>
  <c r="N15" i="92"/>
  <c r="M15" i="92"/>
  <c r="L15" i="92"/>
  <c r="K15" i="92"/>
  <c r="K36" i="92" s="1"/>
  <c r="K40" i="92" s="1"/>
  <c r="H15" i="92"/>
  <c r="G15" i="92"/>
  <c r="F15" i="92"/>
  <c r="E15" i="92"/>
  <c r="D15" i="92"/>
  <c r="B15" i="92"/>
  <c r="J14" i="92"/>
  <c r="I14" i="92"/>
  <c r="F14" i="92"/>
  <c r="E14" i="92"/>
  <c r="C14" i="92"/>
  <c r="B14" i="92"/>
  <c r="J12" i="92"/>
  <c r="J11" i="92"/>
  <c r="I11" i="92"/>
  <c r="I15" i="92" s="1"/>
  <c r="J10" i="92"/>
  <c r="I10" i="92"/>
  <c r="J9" i="92"/>
  <c r="I9" i="92"/>
  <c r="J8" i="92"/>
  <c r="I8" i="92"/>
  <c r="C8" i="92"/>
  <c r="C15" i="92" s="1"/>
  <c r="J7" i="92"/>
  <c r="J15" i="92" s="1"/>
  <c r="I7" i="92"/>
  <c r="J6" i="92"/>
  <c r="I6" i="92"/>
  <c r="D6" i="92"/>
  <c r="C6" i="92"/>
  <c r="B6" i="92"/>
  <c r="O36" i="92" l="1"/>
  <c r="O40" i="92" s="1"/>
  <c r="J36" i="92"/>
  <c r="J40" i="92" s="1"/>
  <c r="P40" i="91"/>
  <c r="H40" i="91"/>
  <c r="P36" i="91"/>
  <c r="H36" i="91"/>
  <c r="P34" i="91"/>
  <c r="O34" i="91"/>
  <c r="N34" i="91"/>
  <c r="M34" i="91"/>
  <c r="M36" i="91" s="1"/>
  <c r="M40" i="91" s="1"/>
  <c r="L34" i="91"/>
  <c r="L36" i="91" s="1"/>
  <c r="L40" i="91" s="1"/>
  <c r="K34" i="91"/>
  <c r="K36" i="91" s="1"/>
  <c r="K40" i="91" s="1"/>
  <c r="H34" i="91"/>
  <c r="F34" i="91"/>
  <c r="F36" i="91" s="1"/>
  <c r="F40" i="91" s="1"/>
  <c r="E34" i="91"/>
  <c r="N33" i="91"/>
  <c r="M33" i="91"/>
  <c r="L33" i="91"/>
  <c r="J33" i="91"/>
  <c r="I33" i="91"/>
  <c r="G33" i="91"/>
  <c r="G34" i="91" s="1"/>
  <c r="G36" i="91" s="1"/>
  <c r="G40" i="91" s="1"/>
  <c r="E33" i="91"/>
  <c r="D33" i="91"/>
  <c r="C33" i="91"/>
  <c r="B33" i="91"/>
  <c r="J32" i="91"/>
  <c r="J31" i="91"/>
  <c r="I31" i="91"/>
  <c r="D31" i="91"/>
  <c r="D34" i="91" s="1"/>
  <c r="D36" i="91" s="1"/>
  <c r="D40" i="91" s="1"/>
  <c r="C31" i="91"/>
  <c r="J30" i="91"/>
  <c r="I30" i="91"/>
  <c r="D30" i="91"/>
  <c r="C30" i="91"/>
  <c r="B30" i="91"/>
  <c r="J29" i="91"/>
  <c r="J28" i="91"/>
  <c r="I28" i="91"/>
  <c r="J27" i="91"/>
  <c r="I27" i="91"/>
  <c r="J26" i="91"/>
  <c r="I26" i="91"/>
  <c r="C26" i="91"/>
  <c r="J25" i="91"/>
  <c r="I25" i="91"/>
  <c r="J24" i="91"/>
  <c r="I24" i="91"/>
  <c r="J23" i="91"/>
  <c r="I23" i="91"/>
  <c r="J22" i="91"/>
  <c r="I22" i="91"/>
  <c r="J21" i="91"/>
  <c r="I21" i="91"/>
  <c r="J20" i="91"/>
  <c r="I20" i="91"/>
  <c r="J19" i="91"/>
  <c r="I19" i="91"/>
  <c r="C19" i="91"/>
  <c r="C34" i="91" s="1"/>
  <c r="C36" i="91" s="1"/>
  <c r="C40" i="91" s="1"/>
  <c r="B19" i="91"/>
  <c r="B34" i="91" s="1"/>
  <c r="B36" i="91" s="1"/>
  <c r="B40" i="91" s="1"/>
  <c r="J18" i="91"/>
  <c r="J34" i="91" s="1"/>
  <c r="J36" i="91" s="1"/>
  <c r="J40" i="91" s="1"/>
  <c r="I18" i="91"/>
  <c r="I34" i="91" s="1"/>
  <c r="I36" i="91" s="1"/>
  <c r="I40" i="91" s="1"/>
  <c r="P15" i="91"/>
  <c r="O15" i="91"/>
  <c r="N15" i="91"/>
  <c r="M15" i="91"/>
  <c r="L15" i="91"/>
  <c r="K15" i="91"/>
  <c r="H15" i="91"/>
  <c r="G15" i="91"/>
  <c r="F15" i="91"/>
  <c r="D15" i="91"/>
  <c r="B15" i="91"/>
  <c r="J14" i="91"/>
  <c r="I14" i="91"/>
  <c r="F14" i="91"/>
  <c r="E14" i="91"/>
  <c r="E15" i="91" s="1"/>
  <c r="C14" i="91"/>
  <c r="B14" i="91"/>
  <c r="J12" i="91"/>
  <c r="J11" i="91"/>
  <c r="I11" i="91"/>
  <c r="I15" i="91" s="1"/>
  <c r="J10" i="91"/>
  <c r="I10" i="91"/>
  <c r="J9" i="91"/>
  <c r="I9" i="91"/>
  <c r="J8" i="91"/>
  <c r="I8" i="91"/>
  <c r="C8" i="91"/>
  <c r="C15" i="91" s="1"/>
  <c r="J7" i="91"/>
  <c r="J15" i="91" s="1"/>
  <c r="I7" i="91"/>
  <c r="J6" i="91"/>
  <c r="I6" i="91"/>
  <c r="D6" i="91"/>
  <c r="C6" i="91"/>
  <c r="B6" i="91"/>
  <c r="O36" i="91" l="1"/>
  <c r="O40" i="91" s="1"/>
  <c r="N36" i="91"/>
  <c r="N40" i="91" s="1"/>
  <c r="E36" i="91"/>
  <c r="E40" i="91" s="1"/>
  <c r="N33" i="90"/>
  <c r="L40" i="90"/>
  <c r="L36" i="90"/>
  <c r="K36" i="90"/>
  <c r="K40" i="90" s="1"/>
  <c r="P34" i="90"/>
  <c r="O34" i="90"/>
  <c r="M34" i="90"/>
  <c r="L34" i="90"/>
  <c r="K34" i="90"/>
  <c r="H34" i="90"/>
  <c r="H36" i="90" s="1"/>
  <c r="H40" i="90" s="1"/>
  <c r="F34" i="90"/>
  <c r="B34" i="90"/>
  <c r="B36" i="90" s="1"/>
  <c r="B40" i="90" s="1"/>
  <c r="N34" i="90"/>
  <c r="M33" i="90"/>
  <c r="L33" i="90"/>
  <c r="J33" i="90"/>
  <c r="I33" i="90"/>
  <c r="G33" i="90"/>
  <c r="G34" i="90" s="1"/>
  <c r="G36" i="90" s="1"/>
  <c r="G40" i="90" s="1"/>
  <c r="E33" i="90"/>
  <c r="E34" i="90" s="1"/>
  <c r="D33" i="90"/>
  <c r="C33" i="90"/>
  <c r="B33" i="90"/>
  <c r="J32" i="90"/>
  <c r="J31" i="90"/>
  <c r="I31" i="90"/>
  <c r="D31" i="90"/>
  <c r="D34" i="90" s="1"/>
  <c r="C31" i="90"/>
  <c r="C34" i="90" s="1"/>
  <c r="J30" i="90"/>
  <c r="I30" i="90"/>
  <c r="D30" i="90"/>
  <c r="C30" i="90"/>
  <c r="B30" i="90"/>
  <c r="J29" i="90"/>
  <c r="J28" i="90"/>
  <c r="I28" i="90"/>
  <c r="J27" i="90"/>
  <c r="I27" i="90"/>
  <c r="J26" i="90"/>
  <c r="I26" i="90"/>
  <c r="C26" i="90"/>
  <c r="J25" i="90"/>
  <c r="I25" i="90"/>
  <c r="J24" i="90"/>
  <c r="I24" i="90"/>
  <c r="J23" i="90"/>
  <c r="I23" i="90"/>
  <c r="J22" i="90"/>
  <c r="I22" i="90"/>
  <c r="J21" i="90"/>
  <c r="I21" i="90"/>
  <c r="J20" i="90"/>
  <c r="I20" i="90"/>
  <c r="I34" i="90" s="1"/>
  <c r="J19" i="90"/>
  <c r="J34" i="90" s="1"/>
  <c r="I19" i="90"/>
  <c r="C19" i="90"/>
  <c r="B19" i="90"/>
  <c r="J18" i="90"/>
  <c r="I18" i="90"/>
  <c r="P15" i="90"/>
  <c r="P36" i="90" s="1"/>
  <c r="P40" i="90" s="1"/>
  <c r="O15" i="90"/>
  <c r="N15" i="90"/>
  <c r="M15" i="90"/>
  <c r="M36" i="90" s="1"/>
  <c r="M40" i="90" s="1"/>
  <c r="L15" i="90"/>
  <c r="K15" i="90"/>
  <c r="H15" i="90"/>
  <c r="G15" i="90"/>
  <c r="F15" i="90"/>
  <c r="F36" i="90" s="1"/>
  <c r="F40" i="90" s="1"/>
  <c r="B15" i="90"/>
  <c r="J14" i="90"/>
  <c r="I14" i="90"/>
  <c r="F14" i="90"/>
  <c r="E14" i="90"/>
  <c r="E15" i="90" s="1"/>
  <c r="C14" i="90"/>
  <c r="B14" i="90"/>
  <c r="J12" i="90"/>
  <c r="J11" i="90"/>
  <c r="I11" i="90"/>
  <c r="J10" i="90"/>
  <c r="I10" i="90"/>
  <c r="J9" i="90"/>
  <c r="I9" i="90"/>
  <c r="J8" i="90"/>
  <c r="I8" i="90"/>
  <c r="C8" i="90"/>
  <c r="C15" i="90" s="1"/>
  <c r="J7" i="90"/>
  <c r="I7" i="90"/>
  <c r="J6" i="90"/>
  <c r="J15" i="90" s="1"/>
  <c r="I6" i="90"/>
  <c r="I15" i="90" s="1"/>
  <c r="D6" i="90"/>
  <c r="D15" i="90" s="1"/>
  <c r="C6" i="90"/>
  <c r="B6" i="90"/>
  <c r="O36" i="90" l="1"/>
  <c r="O40" i="90" s="1"/>
  <c r="N36" i="90"/>
  <c r="N40" i="90" s="1"/>
  <c r="I36" i="90"/>
  <c r="I40" i="90" s="1"/>
  <c r="C36" i="90"/>
  <c r="C40" i="90" s="1"/>
  <c r="E36" i="90"/>
  <c r="E40" i="90" s="1"/>
  <c r="J36" i="90"/>
  <c r="J40" i="90" s="1"/>
  <c r="D36" i="90"/>
  <c r="D40" i="90" s="1"/>
  <c r="N33" i="89"/>
  <c r="M34" i="89" l="1"/>
  <c r="M36" i="89" s="1"/>
  <c r="M40" i="89" s="1"/>
  <c r="M33" i="89"/>
  <c r="M15" i="89"/>
  <c r="H36" i="89"/>
  <c r="H40" i="89" s="1"/>
  <c r="P34" i="89"/>
  <c r="O34" i="89"/>
  <c r="K34" i="89"/>
  <c r="K36" i="89" s="1"/>
  <c r="K40" i="89" s="1"/>
  <c r="H34" i="89"/>
  <c r="G34" i="89"/>
  <c r="G36" i="89" s="1"/>
  <c r="G40" i="89" s="1"/>
  <c r="F34" i="89"/>
  <c r="F36" i="89" s="1"/>
  <c r="F40" i="89" s="1"/>
  <c r="N34" i="89"/>
  <c r="L33" i="89"/>
  <c r="L34" i="89" s="1"/>
  <c r="L36" i="89" s="1"/>
  <c r="L40" i="89" s="1"/>
  <c r="J33" i="89"/>
  <c r="I33" i="89"/>
  <c r="G33" i="89"/>
  <c r="E33" i="89"/>
  <c r="E34" i="89" s="1"/>
  <c r="E36" i="89" s="1"/>
  <c r="E40" i="89" s="1"/>
  <c r="D33" i="89"/>
  <c r="C33" i="89"/>
  <c r="B33" i="89"/>
  <c r="J32" i="89"/>
  <c r="J31" i="89"/>
  <c r="I31" i="89"/>
  <c r="D31" i="89"/>
  <c r="C31" i="89"/>
  <c r="J30" i="89"/>
  <c r="I30" i="89"/>
  <c r="D30" i="89"/>
  <c r="D34" i="89" s="1"/>
  <c r="D36" i="89" s="1"/>
  <c r="D40" i="89" s="1"/>
  <c r="C30" i="89"/>
  <c r="B30" i="89"/>
  <c r="J29" i="89"/>
  <c r="J28" i="89"/>
  <c r="I28" i="89"/>
  <c r="J27" i="89"/>
  <c r="I27" i="89"/>
  <c r="J26" i="89"/>
  <c r="I26" i="89"/>
  <c r="C26" i="89"/>
  <c r="J25" i="89"/>
  <c r="I25" i="89"/>
  <c r="J24" i="89"/>
  <c r="I24" i="89"/>
  <c r="J23" i="89"/>
  <c r="I23" i="89"/>
  <c r="J22" i="89"/>
  <c r="I22" i="89"/>
  <c r="J21" i="89"/>
  <c r="I21" i="89"/>
  <c r="J20" i="89"/>
  <c r="I20" i="89"/>
  <c r="J19" i="89"/>
  <c r="I19" i="89"/>
  <c r="C19" i="89"/>
  <c r="C34" i="89" s="1"/>
  <c r="B19" i="89"/>
  <c r="B34" i="89" s="1"/>
  <c r="B36" i="89" s="1"/>
  <c r="B40" i="89" s="1"/>
  <c r="J18" i="89"/>
  <c r="J34" i="89" s="1"/>
  <c r="I18" i="89"/>
  <c r="I34" i="89" s="1"/>
  <c r="P15" i="89"/>
  <c r="P36" i="89" s="1"/>
  <c r="P40" i="89" s="1"/>
  <c r="O15" i="89"/>
  <c r="N15" i="89"/>
  <c r="L15" i="89"/>
  <c r="K15" i="89"/>
  <c r="H15" i="89"/>
  <c r="G15" i="89"/>
  <c r="F15" i="89"/>
  <c r="E15" i="89"/>
  <c r="D15" i="89"/>
  <c r="B15" i="89"/>
  <c r="J14" i="89"/>
  <c r="I14" i="89"/>
  <c r="F14" i="89"/>
  <c r="E14" i="89"/>
  <c r="C14" i="89"/>
  <c r="B14" i="89"/>
  <c r="J12" i="89"/>
  <c r="J11" i="89"/>
  <c r="I11" i="89"/>
  <c r="I15" i="89" s="1"/>
  <c r="J10" i="89"/>
  <c r="I10" i="89"/>
  <c r="J9" i="89"/>
  <c r="I9" i="89"/>
  <c r="J8" i="89"/>
  <c r="I8" i="89"/>
  <c r="C8" i="89"/>
  <c r="J7" i="89"/>
  <c r="J15" i="89" s="1"/>
  <c r="I7" i="89"/>
  <c r="J6" i="89"/>
  <c r="I6" i="89"/>
  <c r="D6" i="89"/>
  <c r="C6" i="89"/>
  <c r="C15" i="89" s="1"/>
  <c r="B6" i="89"/>
  <c r="N36" i="89" l="1"/>
  <c r="N40" i="89" s="1"/>
  <c r="O36" i="89"/>
  <c r="O40" i="89" s="1"/>
  <c r="J36" i="89"/>
  <c r="J40" i="89" s="1"/>
  <c r="I36" i="89"/>
  <c r="I40" i="89" s="1"/>
  <c r="C36" i="89"/>
  <c r="C40" i="89" s="1"/>
  <c r="L34" i="87"/>
  <c r="L36" i="87" s="1"/>
  <c r="L40" i="87" s="1"/>
  <c r="L33" i="87"/>
  <c r="L15" i="87"/>
  <c r="N34" i="88" l="1"/>
  <c r="K34" i="88"/>
  <c r="H34" i="88"/>
  <c r="F34" i="88"/>
  <c r="M33" i="88"/>
  <c r="M34" i="88" s="1"/>
  <c r="L33" i="88"/>
  <c r="L34" i="88" s="1"/>
  <c r="J33" i="88"/>
  <c r="I33" i="88"/>
  <c r="G33" i="88"/>
  <c r="G34" i="88" s="1"/>
  <c r="E33" i="88"/>
  <c r="E34" i="88" s="1"/>
  <c r="D33" i="88"/>
  <c r="C33" i="88"/>
  <c r="B33" i="88"/>
  <c r="J32" i="88"/>
  <c r="J31" i="88"/>
  <c r="I31" i="88"/>
  <c r="D31" i="88"/>
  <c r="C31" i="88"/>
  <c r="J30" i="88"/>
  <c r="I30" i="88"/>
  <c r="D30" i="88"/>
  <c r="C30" i="88"/>
  <c r="B30" i="88"/>
  <c r="J29" i="88"/>
  <c r="J28" i="88"/>
  <c r="I28" i="88"/>
  <c r="J27" i="88"/>
  <c r="I27" i="88"/>
  <c r="J26" i="88"/>
  <c r="I26" i="88"/>
  <c r="C26" i="88"/>
  <c r="J25" i="88"/>
  <c r="I25" i="88"/>
  <c r="J24" i="88"/>
  <c r="I24" i="88"/>
  <c r="J23" i="88"/>
  <c r="I23" i="88"/>
  <c r="J22" i="88"/>
  <c r="I22" i="88"/>
  <c r="J21" i="88"/>
  <c r="I21" i="88"/>
  <c r="J20" i="88"/>
  <c r="I20" i="88"/>
  <c r="J19" i="88"/>
  <c r="I19" i="88"/>
  <c r="C19" i="88"/>
  <c r="B19" i="88"/>
  <c r="J18" i="88"/>
  <c r="I18" i="88"/>
  <c r="N15" i="88"/>
  <c r="M15" i="88"/>
  <c r="L15" i="88"/>
  <c r="K15" i="88"/>
  <c r="H15" i="88"/>
  <c r="G15" i="88"/>
  <c r="J14" i="88"/>
  <c r="I14" i="88"/>
  <c r="F14" i="88"/>
  <c r="F15" i="88" s="1"/>
  <c r="E14" i="88"/>
  <c r="E15" i="88" s="1"/>
  <c r="C14" i="88"/>
  <c r="B14" i="88"/>
  <c r="J12" i="88"/>
  <c r="J11" i="88"/>
  <c r="I11" i="88"/>
  <c r="J10" i="88"/>
  <c r="I10" i="88"/>
  <c r="J9" i="88"/>
  <c r="I9" i="88"/>
  <c r="J8" i="88"/>
  <c r="I8" i="88"/>
  <c r="C8" i="88"/>
  <c r="J7" i="88"/>
  <c r="I7" i="88"/>
  <c r="J6" i="88"/>
  <c r="I6" i="88"/>
  <c r="D6" i="88"/>
  <c r="D15" i="88" s="1"/>
  <c r="C6" i="88"/>
  <c r="B6" i="88"/>
  <c r="B15" i="88" s="1"/>
  <c r="B34" i="88" l="1"/>
  <c r="M36" i="88"/>
  <c r="M40" i="88" s="1"/>
  <c r="G36" i="88"/>
  <c r="G40" i="88" s="1"/>
  <c r="C34" i="88"/>
  <c r="L36" i="88"/>
  <c r="L40" i="88" s="1"/>
  <c r="K36" i="88"/>
  <c r="K40" i="88" s="1"/>
  <c r="F36" i="88"/>
  <c r="F40" i="88" s="1"/>
  <c r="J34" i="88"/>
  <c r="I34" i="88"/>
  <c r="D34" i="88"/>
  <c r="D36" i="88" s="1"/>
  <c r="D40" i="88" s="1"/>
  <c r="C15" i="88"/>
  <c r="J15" i="88"/>
  <c r="B36" i="88"/>
  <c r="B40" i="88" s="1"/>
  <c r="I15" i="88"/>
  <c r="N36" i="88"/>
  <c r="N40" i="88" s="1"/>
  <c r="E36" i="88"/>
  <c r="E40" i="88" s="1"/>
  <c r="H36" i="88"/>
  <c r="H40" i="88" s="1"/>
  <c r="N34" i="87"/>
  <c r="K34" i="87"/>
  <c r="H34" i="87"/>
  <c r="F34" i="87"/>
  <c r="J33" i="87"/>
  <c r="I33" i="87"/>
  <c r="G33" i="87"/>
  <c r="G34" i="87" s="1"/>
  <c r="G36" i="87" s="1"/>
  <c r="G40" i="87" s="1"/>
  <c r="E33" i="87"/>
  <c r="E34" i="87" s="1"/>
  <c r="D33" i="87"/>
  <c r="C33" i="87"/>
  <c r="B33" i="87"/>
  <c r="J32" i="87"/>
  <c r="J31" i="87"/>
  <c r="I31" i="87"/>
  <c r="D31" i="87"/>
  <c r="C31" i="87"/>
  <c r="J30" i="87"/>
  <c r="I30" i="87"/>
  <c r="D30" i="87"/>
  <c r="C30" i="87"/>
  <c r="B30" i="87"/>
  <c r="J29" i="87"/>
  <c r="J28" i="87"/>
  <c r="I28" i="87"/>
  <c r="J27" i="87"/>
  <c r="I27" i="87"/>
  <c r="J26" i="87"/>
  <c r="I26" i="87"/>
  <c r="C26" i="87"/>
  <c r="J25" i="87"/>
  <c r="I25" i="87"/>
  <c r="J24" i="87"/>
  <c r="I24" i="87"/>
  <c r="J23" i="87"/>
  <c r="I23" i="87"/>
  <c r="J22" i="87"/>
  <c r="I22" i="87"/>
  <c r="J21" i="87"/>
  <c r="I21" i="87"/>
  <c r="J20" i="87"/>
  <c r="I20" i="87"/>
  <c r="J19" i="87"/>
  <c r="I19" i="87"/>
  <c r="C19" i="87"/>
  <c r="B19" i="87"/>
  <c r="B34" i="87" s="1"/>
  <c r="J18" i="87"/>
  <c r="I18" i="87"/>
  <c r="N15" i="87"/>
  <c r="K15" i="87"/>
  <c r="K36" i="87" s="1"/>
  <c r="K40" i="87" s="1"/>
  <c r="H15" i="87"/>
  <c r="G15" i="87"/>
  <c r="F15" i="87"/>
  <c r="J14" i="87"/>
  <c r="I14" i="87"/>
  <c r="F14" i="87"/>
  <c r="E14" i="87"/>
  <c r="E15" i="87" s="1"/>
  <c r="C14" i="87"/>
  <c r="B14" i="87"/>
  <c r="B15" i="87" s="1"/>
  <c r="J12" i="87"/>
  <c r="J11" i="87"/>
  <c r="I11" i="87"/>
  <c r="J10" i="87"/>
  <c r="I10" i="87"/>
  <c r="J9" i="87"/>
  <c r="I9" i="87"/>
  <c r="J8" i="87"/>
  <c r="I8" i="87"/>
  <c r="C8" i="87"/>
  <c r="J7" i="87"/>
  <c r="I7" i="87"/>
  <c r="J6" i="87"/>
  <c r="I6" i="87"/>
  <c r="D6" i="87"/>
  <c r="D15" i="87" s="1"/>
  <c r="C6" i="87"/>
  <c r="B6" i="87"/>
  <c r="E31" i="86"/>
  <c r="C31" i="86"/>
  <c r="D30" i="86"/>
  <c r="D31" i="86" s="1"/>
  <c r="E27" i="86"/>
  <c r="C27" i="86"/>
  <c r="D26" i="86"/>
  <c r="D27" i="86" s="1"/>
  <c r="E18" i="86"/>
  <c r="C18" i="86"/>
  <c r="D17" i="86"/>
  <c r="D18" i="86" s="1"/>
  <c r="E14" i="86"/>
  <c r="C14" i="86"/>
  <c r="C20" i="86" s="1"/>
  <c r="D13" i="86"/>
  <c r="D12" i="86"/>
  <c r="D11" i="86"/>
  <c r="E8" i="86"/>
  <c r="D8" i="86"/>
  <c r="C8" i="86"/>
  <c r="O34" i="85"/>
  <c r="N34" i="85"/>
  <c r="K34" i="85"/>
  <c r="H34" i="85"/>
  <c r="F34" i="85"/>
  <c r="M33" i="85"/>
  <c r="M34" i="85" s="1"/>
  <c r="L33" i="85"/>
  <c r="L34" i="85" s="1"/>
  <c r="L36" i="85" s="1"/>
  <c r="L40" i="85" s="1"/>
  <c r="J33" i="85"/>
  <c r="I33" i="85"/>
  <c r="G33" i="85"/>
  <c r="G34" i="85" s="1"/>
  <c r="G36" i="85" s="1"/>
  <c r="G40" i="85" s="1"/>
  <c r="E33" i="85"/>
  <c r="E34" i="85" s="1"/>
  <c r="D33" i="85"/>
  <c r="C33" i="85"/>
  <c r="B33" i="85"/>
  <c r="J32" i="85"/>
  <c r="J31" i="85"/>
  <c r="I31" i="85"/>
  <c r="D31" i="85"/>
  <c r="C31" i="85"/>
  <c r="J30" i="85"/>
  <c r="I30" i="85"/>
  <c r="D30" i="85"/>
  <c r="D34" i="85" s="1"/>
  <c r="C30" i="85"/>
  <c r="B30" i="85"/>
  <c r="J29" i="85"/>
  <c r="J28" i="85"/>
  <c r="I28" i="85"/>
  <c r="J27" i="85"/>
  <c r="I27" i="85"/>
  <c r="J26" i="85"/>
  <c r="I26" i="85"/>
  <c r="C26" i="85"/>
  <c r="J25" i="85"/>
  <c r="I25" i="85"/>
  <c r="J24" i="85"/>
  <c r="I24" i="85"/>
  <c r="J23" i="85"/>
  <c r="I23" i="85"/>
  <c r="J22" i="85"/>
  <c r="I22" i="85"/>
  <c r="J21" i="85"/>
  <c r="I21" i="85"/>
  <c r="J20" i="85"/>
  <c r="I20" i="85"/>
  <c r="J19" i="85"/>
  <c r="I19" i="85"/>
  <c r="C19" i="85"/>
  <c r="C34" i="85" s="1"/>
  <c r="B19" i="85"/>
  <c r="J18" i="85"/>
  <c r="I18" i="85"/>
  <c r="O15" i="85"/>
  <c r="N15" i="85"/>
  <c r="M15" i="85"/>
  <c r="L15" i="85"/>
  <c r="K15" i="85"/>
  <c r="H15" i="85"/>
  <c r="G15" i="85"/>
  <c r="B15" i="85"/>
  <c r="J14" i="85"/>
  <c r="I14" i="85"/>
  <c r="F14" i="85"/>
  <c r="F15" i="85" s="1"/>
  <c r="F36" i="85" s="1"/>
  <c r="F40" i="85" s="1"/>
  <c r="E14" i="85"/>
  <c r="E15" i="85" s="1"/>
  <c r="C14" i="85"/>
  <c r="B14" i="85"/>
  <c r="J12" i="85"/>
  <c r="J11" i="85"/>
  <c r="I11" i="85"/>
  <c r="J10" i="85"/>
  <c r="I10" i="85"/>
  <c r="J9" i="85"/>
  <c r="I9" i="85"/>
  <c r="J8" i="85"/>
  <c r="I8" i="85"/>
  <c r="C8" i="85"/>
  <c r="J7" i="85"/>
  <c r="I7" i="85"/>
  <c r="J6" i="85"/>
  <c r="I6" i="85"/>
  <c r="D6" i="85"/>
  <c r="D15" i="85" s="1"/>
  <c r="C6" i="85"/>
  <c r="B6" i="85"/>
  <c r="I15" i="85" l="1"/>
  <c r="C15" i="87"/>
  <c r="B36" i="87"/>
  <c r="B40" i="87" s="1"/>
  <c r="I34" i="87"/>
  <c r="I36" i="87" s="1"/>
  <c r="I40" i="87" s="1"/>
  <c r="C34" i="87"/>
  <c r="F36" i="87"/>
  <c r="F40" i="87" s="1"/>
  <c r="O36" i="85"/>
  <c r="O40" i="85" s="1"/>
  <c r="E36" i="85"/>
  <c r="E40" i="85" s="1"/>
  <c r="D34" i="87"/>
  <c r="D36" i="87" s="1"/>
  <c r="D40" i="87" s="1"/>
  <c r="H36" i="87"/>
  <c r="H40" i="87" s="1"/>
  <c r="J36" i="88"/>
  <c r="J40" i="88" s="1"/>
  <c r="K36" i="85"/>
  <c r="K40" i="85" s="1"/>
  <c r="J34" i="87"/>
  <c r="J36" i="87" s="1"/>
  <c r="J40" i="87" s="1"/>
  <c r="I34" i="85"/>
  <c r="I36" i="85" s="1"/>
  <c r="I40" i="85" s="1"/>
  <c r="C15" i="85"/>
  <c r="C36" i="85" s="1"/>
  <c r="C40" i="85" s="1"/>
  <c r="J34" i="85"/>
  <c r="J36" i="85" s="1"/>
  <c r="J40" i="85" s="1"/>
  <c r="I15" i="87"/>
  <c r="J15" i="87"/>
  <c r="J15" i="85"/>
  <c r="H36" i="85"/>
  <c r="H40" i="85" s="1"/>
  <c r="B34" i="85"/>
  <c r="B36" i="85" s="1"/>
  <c r="B40" i="85" s="1"/>
  <c r="E36" i="87"/>
  <c r="E40" i="87" s="1"/>
  <c r="N36" i="87"/>
  <c r="N40" i="87" s="1"/>
  <c r="E33" i="86"/>
  <c r="E20" i="86"/>
  <c r="D20" i="86" s="1"/>
  <c r="D14" i="86"/>
  <c r="I36" i="88"/>
  <c r="I40" i="88" s="1"/>
  <c r="C36" i="88"/>
  <c r="C40" i="88" s="1"/>
  <c r="N36" i="85"/>
  <c r="N40" i="85" s="1"/>
  <c r="M36" i="85"/>
  <c r="M40" i="85" s="1"/>
  <c r="C33" i="86"/>
  <c r="C36" i="87"/>
  <c r="C40" i="87" s="1"/>
  <c r="D33" i="86"/>
  <c r="D36" i="85"/>
  <c r="D40" i="85" s="1"/>
  <c r="H36" i="84"/>
  <c r="H40" i="84" s="1"/>
  <c r="O34" i="84"/>
  <c r="N34" i="84"/>
  <c r="L34" i="84"/>
  <c r="K34" i="84"/>
  <c r="K36" i="84" s="1"/>
  <c r="K40" i="84" s="1"/>
  <c r="H34" i="84"/>
  <c r="F34" i="84"/>
  <c r="M33" i="84"/>
  <c r="M34" i="84" s="1"/>
  <c r="L33" i="84"/>
  <c r="J33" i="84"/>
  <c r="I33" i="84"/>
  <c r="G33" i="84"/>
  <c r="G34" i="84" s="1"/>
  <c r="G36" i="84" s="1"/>
  <c r="G40" i="84" s="1"/>
  <c r="E33" i="84"/>
  <c r="E34" i="84" s="1"/>
  <c r="D33" i="84"/>
  <c r="C33" i="84"/>
  <c r="B33" i="84"/>
  <c r="J32" i="84"/>
  <c r="J31" i="84"/>
  <c r="I31" i="84"/>
  <c r="D31" i="84"/>
  <c r="C31" i="84"/>
  <c r="J30" i="84"/>
  <c r="I30" i="84"/>
  <c r="D30" i="84"/>
  <c r="D34" i="84" s="1"/>
  <c r="C30" i="84"/>
  <c r="B30" i="84"/>
  <c r="J29" i="84"/>
  <c r="J28" i="84"/>
  <c r="I28" i="84"/>
  <c r="J27" i="84"/>
  <c r="I27" i="84"/>
  <c r="J26" i="84"/>
  <c r="I26" i="84"/>
  <c r="C26" i="84"/>
  <c r="J25" i="84"/>
  <c r="I25" i="84"/>
  <c r="J24" i="84"/>
  <c r="I24" i="84"/>
  <c r="J23" i="84"/>
  <c r="I23" i="84"/>
  <c r="J22" i="84"/>
  <c r="I22" i="84"/>
  <c r="J21" i="84"/>
  <c r="I21" i="84"/>
  <c r="J20" i="84"/>
  <c r="I20" i="84"/>
  <c r="J19" i="84"/>
  <c r="I19" i="84"/>
  <c r="C19" i="84"/>
  <c r="B19" i="84"/>
  <c r="J18" i="84"/>
  <c r="I18" i="84"/>
  <c r="O15" i="84"/>
  <c r="O36" i="84" s="1"/>
  <c r="O40" i="84" s="1"/>
  <c r="N15" i="84"/>
  <c r="M15" i="84"/>
  <c r="L15" i="84"/>
  <c r="K15" i="84"/>
  <c r="H15" i="84"/>
  <c r="G15" i="84"/>
  <c r="E15" i="84"/>
  <c r="J14" i="84"/>
  <c r="I14" i="84"/>
  <c r="F14" i="84"/>
  <c r="F15" i="84" s="1"/>
  <c r="E14" i="84"/>
  <c r="C14" i="84"/>
  <c r="B14" i="84"/>
  <c r="J12" i="84"/>
  <c r="J11" i="84"/>
  <c r="I11" i="84"/>
  <c r="J10" i="84"/>
  <c r="I10" i="84"/>
  <c r="J9" i="84"/>
  <c r="I9" i="84"/>
  <c r="J8" i="84"/>
  <c r="I8" i="84"/>
  <c r="C8" i="84"/>
  <c r="J7" i="84"/>
  <c r="I7" i="84"/>
  <c r="J6" i="84"/>
  <c r="I6" i="84"/>
  <c r="D6" i="84"/>
  <c r="D15" i="84" s="1"/>
  <c r="C6" i="84"/>
  <c r="C15" i="84" s="1"/>
  <c r="B6" i="84"/>
  <c r="B15" i="84" s="1"/>
  <c r="D36" i="84" l="1"/>
  <c r="D40" i="84" s="1"/>
  <c r="B34" i="84"/>
  <c r="J34" i="84"/>
  <c r="L36" i="84"/>
  <c r="L40" i="84" s="1"/>
  <c r="C34" i="84"/>
  <c r="J15" i="84"/>
  <c r="I34" i="84"/>
  <c r="I36" i="84" s="1"/>
  <c r="I40" i="84" s="1"/>
  <c r="I15" i="84"/>
  <c r="E36" i="84"/>
  <c r="E40" i="84" s="1"/>
  <c r="N36" i="84"/>
  <c r="N40" i="84" s="1"/>
  <c r="M36" i="84"/>
  <c r="M40" i="84" s="1"/>
  <c r="F36" i="84"/>
  <c r="F40" i="84" s="1"/>
  <c r="B36" i="84"/>
  <c r="B40" i="84" s="1"/>
  <c r="J36" i="84"/>
  <c r="J40" i="84" s="1"/>
  <c r="C36" i="84"/>
  <c r="C40" i="84" s="1"/>
  <c r="O34" i="83"/>
  <c r="N34" i="83"/>
  <c r="M34" i="83"/>
  <c r="K34" i="83"/>
  <c r="H34" i="83"/>
  <c r="F34" i="83"/>
  <c r="F36" i="83" s="1"/>
  <c r="F40" i="83" s="1"/>
  <c r="E34" i="83"/>
  <c r="E36" i="83" s="1"/>
  <c r="E40" i="83" s="1"/>
  <c r="M33" i="83"/>
  <c r="L33" i="83"/>
  <c r="L34" i="83" s="1"/>
  <c r="J33" i="83"/>
  <c r="I33" i="83"/>
  <c r="G33" i="83"/>
  <c r="G34" i="83" s="1"/>
  <c r="E33" i="83"/>
  <c r="D33" i="83"/>
  <c r="C33" i="83"/>
  <c r="B33" i="83"/>
  <c r="J32" i="83"/>
  <c r="J31" i="83"/>
  <c r="I31" i="83"/>
  <c r="D31" i="83"/>
  <c r="C31" i="83"/>
  <c r="J30" i="83"/>
  <c r="I30" i="83"/>
  <c r="D30" i="83"/>
  <c r="C30" i="83"/>
  <c r="B30" i="83"/>
  <c r="J29" i="83"/>
  <c r="J28" i="83"/>
  <c r="I28" i="83"/>
  <c r="J27" i="83"/>
  <c r="I27" i="83"/>
  <c r="J26" i="83"/>
  <c r="I26" i="83"/>
  <c r="C26" i="83"/>
  <c r="J25" i="83"/>
  <c r="I25" i="83"/>
  <c r="J24" i="83"/>
  <c r="I24" i="83"/>
  <c r="J23" i="83"/>
  <c r="I23" i="83"/>
  <c r="J22" i="83"/>
  <c r="I22" i="83"/>
  <c r="J21" i="83"/>
  <c r="I21" i="83"/>
  <c r="J20" i="83"/>
  <c r="I20" i="83"/>
  <c r="J19" i="83"/>
  <c r="I19" i="83"/>
  <c r="C19" i="83"/>
  <c r="B19" i="83"/>
  <c r="B34" i="83" s="1"/>
  <c r="J18" i="83"/>
  <c r="I18" i="83"/>
  <c r="O15" i="83"/>
  <c r="O36" i="83" s="1"/>
  <c r="O40" i="83" s="1"/>
  <c r="N15" i="83"/>
  <c r="M15" i="83"/>
  <c r="L15" i="83"/>
  <c r="K15" i="83"/>
  <c r="H15" i="83"/>
  <c r="H36" i="83" s="1"/>
  <c r="H40" i="83" s="1"/>
  <c r="G15" i="83"/>
  <c r="F15" i="83"/>
  <c r="E15" i="83"/>
  <c r="B15" i="83"/>
  <c r="J14" i="83"/>
  <c r="I14" i="83"/>
  <c r="F14" i="83"/>
  <c r="E14" i="83"/>
  <c r="C14" i="83"/>
  <c r="B14" i="83"/>
  <c r="J12" i="83"/>
  <c r="J11" i="83"/>
  <c r="I11" i="83"/>
  <c r="J10" i="83"/>
  <c r="I10" i="83"/>
  <c r="J9" i="83"/>
  <c r="I9" i="83"/>
  <c r="J8" i="83"/>
  <c r="I8" i="83"/>
  <c r="C8" i="83"/>
  <c r="C15" i="83" s="1"/>
  <c r="J7" i="83"/>
  <c r="J15" i="83" s="1"/>
  <c r="I7" i="83"/>
  <c r="J6" i="83"/>
  <c r="I6" i="83"/>
  <c r="D6" i="83"/>
  <c r="D15" i="83" s="1"/>
  <c r="C6" i="83"/>
  <c r="B6" i="83"/>
  <c r="I34" i="83" l="1"/>
  <c r="D34" i="83"/>
  <c r="D36" i="83" s="1"/>
  <c r="D40" i="83" s="1"/>
  <c r="G36" i="83"/>
  <c r="G40" i="83" s="1"/>
  <c r="K36" i="83"/>
  <c r="K40" i="83" s="1"/>
  <c r="J34" i="83"/>
  <c r="M36" i="83"/>
  <c r="M40" i="83" s="1"/>
  <c r="B36" i="83"/>
  <c r="B40" i="83" s="1"/>
  <c r="C34" i="83"/>
  <c r="C36" i="83" s="1"/>
  <c r="C40" i="83" s="1"/>
  <c r="L36" i="83"/>
  <c r="L40" i="83" s="1"/>
  <c r="I15" i="83"/>
  <c r="N36" i="83"/>
  <c r="N40" i="83" s="1"/>
  <c r="J36" i="83"/>
  <c r="J40" i="83" s="1"/>
  <c r="O34" i="82"/>
  <c r="N34" i="82"/>
  <c r="K34" i="82"/>
  <c r="H34" i="82"/>
  <c r="F34" i="82"/>
  <c r="M33" i="82"/>
  <c r="M34" i="82" s="1"/>
  <c r="L33" i="82"/>
  <c r="L34" i="82" s="1"/>
  <c r="J33" i="82"/>
  <c r="I33" i="82"/>
  <c r="G33" i="82"/>
  <c r="G34" i="82" s="1"/>
  <c r="G36" i="82" s="1"/>
  <c r="G40" i="82" s="1"/>
  <c r="E33" i="82"/>
  <c r="E34" i="82" s="1"/>
  <c r="D33" i="82"/>
  <c r="C33" i="82"/>
  <c r="B33" i="82"/>
  <c r="J32" i="82"/>
  <c r="J31" i="82"/>
  <c r="I31" i="82"/>
  <c r="D31" i="82"/>
  <c r="C31" i="82"/>
  <c r="J30" i="82"/>
  <c r="I30" i="82"/>
  <c r="D30" i="82"/>
  <c r="C30" i="82"/>
  <c r="B30" i="82"/>
  <c r="J29" i="82"/>
  <c r="J28" i="82"/>
  <c r="I28" i="82"/>
  <c r="J27" i="82"/>
  <c r="I27" i="82"/>
  <c r="J26" i="82"/>
  <c r="I26" i="82"/>
  <c r="C26" i="82"/>
  <c r="J25" i="82"/>
  <c r="I25" i="82"/>
  <c r="J24" i="82"/>
  <c r="I24" i="82"/>
  <c r="J23" i="82"/>
  <c r="I23" i="82"/>
  <c r="J22" i="82"/>
  <c r="I22" i="82"/>
  <c r="J21" i="82"/>
  <c r="I21" i="82"/>
  <c r="J20" i="82"/>
  <c r="I20" i="82"/>
  <c r="J19" i="82"/>
  <c r="J34" i="82" s="1"/>
  <c r="I19" i="82"/>
  <c r="I34" i="82" s="1"/>
  <c r="C19" i="82"/>
  <c r="B19" i="82"/>
  <c r="J18" i="82"/>
  <c r="I18" i="82"/>
  <c r="O15" i="82"/>
  <c r="O36" i="82" s="1"/>
  <c r="O40" i="82" s="1"/>
  <c r="N15" i="82"/>
  <c r="M15" i="82"/>
  <c r="L15" i="82"/>
  <c r="K15" i="82"/>
  <c r="H15" i="82"/>
  <c r="G15" i="82"/>
  <c r="F15" i="82"/>
  <c r="B15" i="82"/>
  <c r="J14" i="82"/>
  <c r="I14" i="82"/>
  <c r="F14" i="82"/>
  <c r="E14" i="82"/>
  <c r="E15" i="82" s="1"/>
  <c r="C14" i="82"/>
  <c r="B14" i="82"/>
  <c r="J12" i="82"/>
  <c r="J11" i="82"/>
  <c r="I11" i="82"/>
  <c r="J10" i="82"/>
  <c r="I10" i="82"/>
  <c r="J9" i="82"/>
  <c r="I9" i="82"/>
  <c r="J8" i="82"/>
  <c r="I8" i="82"/>
  <c r="C8" i="82"/>
  <c r="J7" i="82"/>
  <c r="I7" i="82"/>
  <c r="J6" i="82"/>
  <c r="I6" i="82"/>
  <c r="D6" i="82"/>
  <c r="D15" i="82" s="1"/>
  <c r="C6" i="82"/>
  <c r="B6" i="82"/>
  <c r="B34" i="82" l="1"/>
  <c r="B36" i="82" s="1"/>
  <c r="B40" i="82" s="1"/>
  <c r="K36" i="82"/>
  <c r="K40" i="82" s="1"/>
  <c r="C34" i="82"/>
  <c r="L36" i="82"/>
  <c r="L40" i="82" s="1"/>
  <c r="D34" i="82"/>
  <c r="D36" i="82" s="1"/>
  <c r="D40" i="82" s="1"/>
  <c r="F36" i="82"/>
  <c r="F40" i="82" s="1"/>
  <c r="I15" i="82"/>
  <c r="C15" i="82"/>
  <c r="J15" i="82"/>
  <c r="E36" i="82"/>
  <c r="E40" i="82" s="1"/>
  <c r="H36" i="82"/>
  <c r="H40" i="82" s="1"/>
  <c r="I36" i="83"/>
  <c r="I40" i="83" s="1"/>
  <c r="N36" i="82"/>
  <c r="N40" i="82" s="1"/>
  <c r="M36" i="82"/>
  <c r="M40" i="82" s="1"/>
  <c r="I36" i="82"/>
  <c r="I40" i="82" s="1"/>
  <c r="J36" i="82"/>
  <c r="J40" i="82" s="1"/>
  <c r="O34" i="81"/>
  <c r="N34" i="81"/>
  <c r="K34" i="81"/>
  <c r="H34" i="81"/>
  <c r="H36" i="81" s="1"/>
  <c r="H40" i="81" s="1"/>
  <c r="F34" i="81"/>
  <c r="E34" i="81"/>
  <c r="E36" i="81" s="1"/>
  <c r="E40" i="81" s="1"/>
  <c r="M33" i="81"/>
  <c r="M34" i="81" s="1"/>
  <c r="L33" i="81"/>
  <c r="L34" i="81" s="1"/>
  <c r="J33" i="81"/>
  <c r="I33" i="81"/>
  <c r="G33" i="81"/>
  <c r="G34" i="81" s="1"/>
  <c r="G36" i="81" s="1"/>
  <c r="G40" i="81" s="1"/>
  <c r="E33" i="81"/>
  <c r="D33" i="81"/>
  <c r="C33" i="81"/>
  <c r="B33" i="81"/>
  <c r="J32" i="81"/>
  <c r="J31" i="81"/>
  <c r="I31" i="81"/>
  <c r="D31" i="81"/>
  <c r="C31" i="81"/>
  <c r="J30" i="81"/>
  <c r="I30" i="81"/>
  <c r="D30" i="81"/>
  <c r="D34" i="81" s="1"/>
  <c r="C30" i="81"/>
  <c r="B30" i="81"/>
  <c r="J29" i="81"/>
  <c r="J28" i="81"/>
  <c r="I28" i="81"/>
  <c r="J27" i="81"/>
  <c r="I27" i="81"/>
  <c r="J26" i="81"/>
  <c r="I26" i="81"/>
  <c r="C26" i="81"/>
  <c r="J25" i="81"/>
  <c r="I25" i="81"/>
  <c r="J24" i="81"/>
  <c r="I24" i="81"/>
  <c r="J23" i="81"/>
  <c r="I23" i="81"/>
  <c r="J22" i="81"/>
  <c r="I22" i="81"/>
  <c r="J21" i="81"/>
  <c r="I21" i="81"/>
  <c r="J20" i="81"/>
  <c r="I20" i="81"/>
  <c r="J19" i="81"/>
  <c r="I19" i="81"/>
  <c r="I34" i="81" s="1"/>
  <c r="C19" i="81"/>
  <c r="B19" i="81"/>
  <c r="J18" i="81"/>
  <c r="I18" i="81"/>
  <c r="O15" i="81"/>
  <c r="O36" i="81" s="1"/>
  <c r="O40" i="81" s="1"/>
  <c r="N15" i="81"/>
  <c r="M15" i="81"/>
  <c r="L15" i="81"/>
  <c r="K15" i="81"/>
  <c r="K36" i="81" s="1"/>
  <c r="K40" i="81" s="1"/>
  <c r="H15" i="81"/>
  <c r="G15" i="81"/>
  <c r="E15" i="81"/>
  <c r="J14" i="81"/>
  <c r="I14" i="81"/>
  <c r="F14" i="81"/>
  <c r="F15" i="81" s="1"/>
  <c r="E14" i="81"/>
  <c r="C14" i="81"/>
  <c r="B14" i="81"/>
  <c r="B15" i="81" s="1"/>
  <c r="J12" i="81"/>
  <c r="J11" i="81"/>
  <c r="I11" i="81"/>
  <c r="J10" i="81"/>
  <c r="I10" i="81"/>
  <c r="J9" i="81"/>
  <c r="I9" i="81"/>
  <c r="J8" i="81"/>
  <c r="I8" i="81"/>
  <c r="C8" i="81"/>
  <c r="J7" i="81"/>
  <c r="I7" i="81"/>
  <c r="J6" i="81"/>
  <c r="I6" i="81"/>
  <c r="D6" i="81"/>
  <c r="D15" i="81" s="1"/>
  <c r="C6" i="81"/>
  <c r="B6" i="81"/>
  <c r="I15" i="81" l="1"/>
  <c r="I36" i="81" s="1"/>
  <c r="I40" i="81" s="1"/>
  <c r="C15" i="81"/>
  <c r="D36" i="81"/>
  <c r="D40" i="81" s="1"/>
  <c r="J15" i="81"/>
  <c r="C36" i="82"/>
  <c r="C40" i="82" s="1"/>
  <c r="B34" i="81"/>
  <c r="B36" i="81" s="1"/>
  <c r="B40" i="81" s="1"/>
  <c r="N36" i="81"/>
  <c r="N40" i="81" s="1"/>
  <c r="J34" i="81"/>
  <c r="C34" i="81"/>
  <c r="C36" i="81" s="1"/>
  <c r="C40" i="81" s="1"/>
  <c r="L36" i="81"/>
  <c r="L40" i="81" s="1"/>
  <c r="M36" i="81"/>
  <c r="M40" i="81" s="1"/>
  <c r="F36" i="81"/>
  <c r="F40" i="81" s="1"/>
  <c r="J36" i="81"/>
  <c r="J40" i="81" s="1"/>
  <c r="O36" i="80"/>
  <c r="O40" i="80" s="1"/>
  <c r="K36" i="80"/>
  <c r="K40" i="80" s="1"/>
  <c r="O34" i="80"/>
  <c r="N34" i="80"/>
  <c r="K34" i="80"/>
  <c r="H34" i="80"/>
  <c r="F34" i="80"/>
  <c r="E34" i="80"/>
  <c r="E36" i="80" s="1"/>
  <c r="E40" i="80" s="1"/>
  <c r="M33" i="80"/>
  <c r="M34" i="80" s="1"/>
  <c r="L33" i="80"/>
  <c r="L34" i="80" s="1"/>
  <c r="J33" i="80"/>
  <c r="I33" i="80"/>
  <c r="G33" i="80"/>
  <c r="G34" i="80" s="1"/>
  <c r="G36" i="80" s="1"/>
  <c r="G40" i="80" s="1"/>
  <c r="E33" i="80"/>
  <c r="D33" i="80"/>
  <c r="C33" i="80"/>
  <c r="B33" i="80"/>
  <c r="B34" i="80" s="1"/>
  <c r="J32" i="80"/>
  <c r="J31" i="80"/>
  <c r="I31" i="80"/>
  <c r="D31" i="80"/>
  <c r="C31" i="80"/>
  <c r="J30" i="80"/>
  <c r="I30" i="80"/>
  <c r="D30" i="80"/>
  <c r="D34" i="80" s="1"/>
  <c r="C30" i="80"/>
  <c r="B30" i="80"/>
  <c r="J29" i="80"/>
  <c r="J28" i="80"/>
  <c r="I28" i="80"/>
  <c r="J27" i="80"/>
  <c r="I27" i="80"/>
  <c r="J26" i="80"/>
  <c r="I26" i="80"/>
  <c r="C26" i="80"/>
  <c r="J25" i="80"/>
  <c r="I25" i="80"/>
  <c r="J24" i="80"/>
  <c r="I24" i="80"/>
  <c r="J23" i="80"/>
  <c r="I23" i="80"/>
  <c r="J22" i="80"/>
  <c r="I22" i="80"/>
  <c r="J21" i="80"/>
  <c r="I21" i="80"/>
  <c r="J20" i="80"/>
  <c r="I20" i="80"/>
  <c r="J19" i="80"/>
  <c r="J34" i="80" s="1"/>
  <c r="I19" i="80"/>
  <c r="C19" i="80"/>
  <c r="B19" i="80"/>
  <c r="J18" i="80"/>
  <c r="I18" i="80"/>
  <c r="O15" i="80"/>
  <c r="N15" i="80"/>
  <c r="M15" i="80"/>
  <c r="L15" i="80"/>
  <c r="K15" i="80"/>
  <c r="H15" i="80"/>
  <c r="G15" i="80"/>
  <c r="E15" i="80"/>
  <c r="J14" i="80"/>
  <c r="I14" i="80"/>
  <c r="F14" i="80"/>
  <c r="F15" i="80" s="1"/>
  <c r="E14" i="80"/>
  <c r="C14" i="80"/>
  <c r="B14" i="80"/>
  <c r="J12" i="80"/>
  <c r="J11" i="80"/>
  <c r="I11" i="80"/>
  <c r="J10" i="80"/>
  <c r="I10" i="80"/>
  <c r="J9" i="80"/>
  <c r="I9" i="80"/>
  <c r="J8" i="80"/>
  <c r="I8" i="80"/>
  <c r="C8" i="80"/>
  <c r="J7" i="80"/>
  <c r="I7" i="80"/>
  <c r="J6" i="80"/>
  <c r="J15" i="80" s="1"/>
  <c r="I6" i="80"/>
  <c r="D6" i="80"/>
  <c r="D15" i="80" s="1"/>
  <c r="C6" i="80"/>
  <c r="C15" i="80" s="1"/>
  <c r="B6" i="80"/>
  <c r="B15" i="80" s="1"/>
  <c r="F36" i="80" l="1"/>
  <c r="F40" i="80" s="1"/>
  <c r="D36" i="80"/>
  <c r="D40" i="80" s="1"/>
  <c r="I15" i="80"/>
  <c r="H36" i="80"/>
  <c r="H40" i="80" s="1"/>
  <c r="I34" i="80"/>
  <c r="C34" i="80"/>
  <c r="C36" i="80" s="1"/>
  <c r="C40" i="80" s="1"/>
  <c r="L36" i="80"/>
  <c r="L40" i="80" s="1"/>
  <c r="N36" i="80"/>
  <c r="N40" i="80" s="1"/>
  <c r="M36" i="80"/>
  <c r="M40" i="80" s="1"/>
  <c r="B36" i="80"/>
  <c r="B40" i="80" s="1"/>
  <c r="J36" i="80"/>
  <c r="J40" i="80" s="1"/>
  <c r="M33" i="79"/>
  <c r="L33" i="79"/>
  <c r="L34" i="79" s="1"/>
  <c r="L15" i="79"/>
  <c r="O34" i="79"/>
  <c r="O36" i="79" s="1"/>
  <c r="O40" i="79" s="1"/>
  <c r="O15" i="79"/>
  <c r="N34" i="79"/>
  <c r="K34" i="79"/>
  <c r="H34" i="79"/>
  <c r="F34" i="79"/>
  <c r="M34" i="79"/>
  <c r="J33" i="79"/>
  <c r="I33" i="79"/>
  <c r="G33" i="79"/>
  <c r="G34" i="79" s="1"/>
  <c r="E33" i="79"/>
  <c r="E34" i="79" s="1"/>
  <c r="D33" i="79"/>
  <c r="C33" i="79"/>
  <c r="B33" i="79"/>
  <c r="J32" i="79"/>
  <c r="J31" i="79"/>
  <c r="I31" i="79"/>
  <c r="D31" i="79"/>
  <c r="C31" i="79"/>
  <c r="J30" i="79"/>
  <c r="I30" i="79"/>
  <c r="D30" i="79"/>
  <c r="C30" i="79"/>
  <c r="B30" i="79"/>
  <c r="J29" i="79"/>
  <c r="J28" i="79"/>
  <c r="I28" i="79"/>
  <c r="J27" i="79"/>
  <c r="I27" i="79"/>
  <c r="J26" i="79"/>
  <c r="I26" i="79"/>
  <c r="C26" i="79"/>
  <c r="J25" i="79"/>
  <c r="I25" i="79"/>
  <c r="J24" i="79"/>
  <c r="I24" i="79"/>
  <c r="J23" i="79"/>
  <c r="I23" i="79"/>
  <c r="J22" i="79"/>
  <c r="I22" i="79"/>
  <c r="J21" i="79"/>
  <c r="I21" i="79"/>
  <c r="J20" i="79"/>
  <c r="I20" i="79"/>
  <c r="J19" i="79"/>
  <c r="I19" i="79"/>
  <c r="C19" i="79"/>
  <c r="B19" i="79"/>
  <c r="B34" i="79" s="1"/>
  <c r="J18" i="79"/>
  <c r="I18" i="79"/>
  <c r="N15" i="79"/>
  <c r="M15" i="79"/>
  <c r="K15" i="79"/>
  <c r="H15" i="79"/>
  <c r="G15" i="79"/>
  <c r="D15" i="79"/>
  <c r="J14" i="79"/>
  <c r="I14" i="79"/>
  <c r="F14" i="79"/>
  <c r="F15" i="79" s="1"/>
  <c r="E14" i="79"/>
  <c r="E15" i="79" s="1"/>
  <c r="C14" i="79"/>
  <c r="B14" i="79"/>
  <c r="J12" i="79"/>
  <c r="J11" i="79"/>
  <c r="I11" i="79"/>
  <c r="J10" i="79"/>
  <c r="I10" i="79"/>
  <c r="J9" i="79"/>
  <c r="I9" i="79"/>
  <c r="J8" i="79"/>
  <c r="I8" i="79"/>
  <c r="C8" i="79"/>
  <c r="J7" i="79"/>
  <c r="I7" i="79"/>
  <c r="J6" i="79"/>
  <c r="I6" i="79"/>
  <c r="D6" i="79"/>
  <c r="C6" i="79"/>
  <c r="B6" i="79"/>
  <c r="B15" i="79" l="1"/>
  <c r="L36" i="79"/>
  <c r="L40" i="79" s="1"/>
  <c r="I36" i="80"/>
  <c r="I40" i="80" s="1"/>
  <c r="C15" i="79"/>
  <c r="C36" i="79" s="1"/>
  <c r="C40" i="79" s="1"/>
  <c r="N36" i="79"/>
  <c r="N40" i="79" s="1"/>
  <c r="M36" i="79"/>
  <c r="M40" i="79" s="1"/>
  <c r="K36" i="79"/>
  <c r="K40" i="79" s="1"/>
  <c r="D34" i="79"/>
  <c r="D36" i="79" s="1"/>
  <c r="D40" i="79" s="1"/>
  <c r="B36" i="79"/>
  <c r="B40" i="79" s="1"/>
  <c r="C34" i="79"/>
  <c r="H36" i="79"/>
  <c r="H40" i="79" s="1"/>
  <c r="I15" i="79"/>
  <c r="I34" i="79"/>
  <c r="G36" i="79"/>
  <c r="G40" i="79" s="1"/>
  <c r="J15" i="79"/>
  <c r="J34" i="79"/>
  <c r="F36" i="79"/>
  <c r="F40" i="79" s="1"/>
  <c r="E36" i="79"/>
  <c r="E40" i="79" s="1"/>
  <c r="L33" i="77"/>
  <c r="L34" i="77" s="1"/>
  <c r="L15" i="77"/>
  <c r="M34" i="78"/>
  <c r="K34" i="78"/>
  <c r="H34" i="78"/>
  <c r="F34" i="78"/>
  <c r="L33" i="78"/>
  <c r="L34" i="78" s="1"/>
  <c r="J33" i="78"/>
  <c r="I33" i="78"/>
  <c r="G33" i="78"/>
  <c r="G34" i="78" s="1"/>
  <c r="E33" i="78"/>
  <c r="E34" i="78" s="1"/>
  <c r="D33" i="78"/>
  <c r="C33" i="78"/>
  <c r="B33" i="78"/>
  <c r="J32" i="78"/>
  <c r="J31" i="78"/>
  <c r="I31" i="78"/>
  <c r="D31" i="78"/>
  <c r="C31" i="78"/>
  <c r="J30" i="78"/>
  <c r="I30" i="78"/>
  <c r="D30" i="78"/>
  <c r="C30" i="78"/>
  <c r="B30" i="78"/>
  <c r="J29" i="78"/>
  <c r="J28" i="78"/>
  <c r="I28" i="78"/>
  <c r="J27" i="78"/>
  <c r="I27" i="78"/>
  <c r="J26" i="78"/>
  <c r="I26" i="78"/>
  <c r="C26" i="78"/>
  <c r="J25" i="78"/>
  <c r="I25" i="78"/>
  <c r="J24" i="78"/>
  <c r="I24" i="78"/>
  <c r="J23" i="78"/>
  <c r="I23" i="78"/>
  <c r="J22" i="78"/>
  <c r="I22" i="78"/>
  <c r="J21" i="78"/>
  <c r="I21" i="78"/>
  <c r="J20" i="78"/>
  <c r="I20" i="78"/>
  <c r="J19" i="78"/>
  <c r="I19" i="78"/>
  <c r="C19" i="78"/>
  <c r="B19" i="78"/>
  <c r="J18" i="78"/>
  <c r="I18" i="78"/>
  <c r="M15" i="78"/>
  <c r="M36" i="78" s="1"/>
  <c r="M40" i="78" s="1"/>
  <c r="L15" i="78"/>
  <c r="K15" i="78"/>
  <c r="H15" i="78"/>
  <c r="G15" i="78"/>
  <c r="J14" i="78"/>
  <c r="I14" i="78"/>
  <c r="F14" i="78"/>
  <c r="F15" i="78" s="1"/>
  <c r="E14" i="78"/>
  <c r="E15" i="78" s="1"/>
  <c r="C14" i="78"/>
  <c r="B14" i="78"/>
  <c r="J12" i="78"/>
  <c r="J11" i="78"/>
  <c r="I11" i="78"/>
  <c r="J10" i="78"/>
  <c r="I10" i="78"/>
  <c r="J9" i="78"/>
  <c r="I9" i="78"/>
  <c r="J8" i="78"/>
  <c r="I8" i="78"/>
  <c r="C8" i="78"/>
  <c r="J7" i="78"/>
  <c r="I7" i="78"/>
  <c r="J6" i="78"/>
  <c r="I6" i="78"/>
  <c r="D6" i="78"/>
  <c r="D15" i="78" s="1"/>
  <c r="C6" i="78"/>
  <c r="B6" i="78"/>
  <c r="M34" i="77"/>
  <c r="K34" i="77"/>
  <c r="H34" i="77"/>
  <c r="H36" i="77" s="1"/>
  <c r="H40" i="77" s="1"/>
  <c r="F34" i="77"/>
  <c r="J33" i="77"/>
  <c r="I33" i="77"/>
  <c r="G33" i="77"/>
  <c r="G34" i="77" s="1"/>
  <c r="E33" i="77"/>
  <c r="E34" i="77" s="1"/>
  <c r="D33" i="77"/>
  <c r="C33" i="77"/>
  <c r="B33" i="77"/>
  <c r="J32" i="77"/>
  <c r="J31" i="77"/>
  <c r="I31" i="77"/>
  <c r="D31" i="77"/>
  <c r="C31" i="77"/>
  <c r="J30" i="77"/>
  <c r="I30" i="77"/>
  <c r="D30" i="77"/>
  <c r="C30" i="77"/>
  <c r="B30" i="77"/>
  <c r="J29" i="77"/>
  <c r="J28" i="77"/>
  <c r="I28" i="77"/>
  <c r="J27" i="77"/>
  <c r="I27" i="77"/>
  <c r="J26" i="77"/>
  <c r="I26" i="77"/>
  <c r="C26" i="77"/>
  <c r="J25" i="77"/>
  <c r="I25" i="77"/>
  <c r="J24" i="77"/>
  <c r="I24" i="77"/>
  <c r="J23" i="77"/>
  <c r="I23" i="77"/>
  <c r="J22" i="77"/>
  <c r="I22" i="77"/>
  <c r="J21" i="77"/>
  <c r="I21" i="77"/>
  <c r="J20" i="77"/>
  <c r="I20" i="77"/>
  <c r="J19" i="77"/>
  <c r="I19" i="77"/>
  <c r="C19" i="77"/>
  <c r="C34" i="77" s="1"/>
  <c r="B19" i="77"/>
  <c r="J18" i="77"/>
  <c r="I18" i="77"/>
  <c r="M15" i="77"/>
  <c r="K15" i="77"/>
  <c r="H15" i="77"/>
  <c r="G15" i="77"/>
  <c r="F15" i="77"/>
  <c r="E15" i="77"/>
  <c r="B15" i="77"/>
  <c r="J14" i="77"/>
  <c r="I14" i="77"/>
  <c r="F14" i="77"/>
  <c r="E14" i="77"/>
  <c r="C14" i="77"/>
  <c r="B14" i="77"/>
  <c r="J12" i="77"/>
  <c r="J11" i="77"/>
  <c r="I11" i="77"/>
  <c r="J10" i="77"/>
  <c r="I10" i="77"/>
  <c r="J9" i="77"/>
  <c r="I9" i="77"/>
  <c r="J8" i="77"/>
  <c r="I8" i="77"/>
  <c r="C8" i="77"/>
  <c r="J7" i="77"/>
  <c r="I7" i="77"/>
  <c r="J6" i="77"/>
  <c r="I6" i="77"/>
  <c r="D6" i="77"/>
  <c r="D15" i="77" s="1"/>
  <c r="C6" i="77"/>
  <c r="B6" i="77"/>
  <c r="B34" i="77" l="1"/>
  <c r="I36" i="79"/>
  <c r="I40" i="79" s="1"/>
  <c r="D34" i="77"/>
  <c r="J36" i="79"/>
  <c r="J40" i="79" s="1"/>
  <c r="B36" i="77"/>
  <c r="B40" i="77" s="1"/>
  <c r="I15" i="77"/>
  <c r="K36" i="77"/>
  <c r="K40" i="77" s="1"/>
  <c r="E36" i="77"/>
  <c r="E40" i="77" s="1"/>
  <c r="C15" i="77"/>
  <c r="C36" i="77" s="1"/>
  <c r="C40" i="77" s="1"/>
  <c r="J15" i="77"/>
  <c r="I34" i="77"/>
  <c r="G36" i="77"/>
  <c r="G40" i="77" s="1"/>
  <c r="J34" i="77"/>
  <c r="J36" i="77" s="1"/>
  <c r="J40" i="77" s="1"/>
  <c r="F36" i="77"/>
  <c r="F40" i="77" s="1"/>
  <c r="L36" i="77"/>
  <c r="L40" i="77" s="1"/>
  <c r="M36" i="77"/>
  <c r="M40" i="77" s="1"/>
  <c r="H36" i="78"/>
  <c r="H40" i="78" s="1"/>
  <c r="B34" i="78"/>
  <c r="B15" i="78"/>
  <c r="C15" i="78"/>
  <c r="K36" i="78"/>
  <c r="K40" i="78" s="1"/>
  <c r="C34" i="78"/>
  <c r="I34" i="78"/>
  <c r="L36" i="78"/>
  <c r="L40" i="78" s="1"/>
  <c r="J34" i="78"/>
  <c r="I15" i="78"/>
  <c r="J15" i="78"/>
  <c r="D34" i="78"/>
  <c r="D36" i="78" s="1"/>
  <c r="D40" i="78" s="1"/>
  <c r="G36" i="78"/>
  <c r="G40" i="78" s="1"/>
  <c r="F36" i="78"/>
  <c r="F40" i="78" s="1"/>
  <c r="E36" i="78"/>
  <c r="E40" i="78" s="1"/>
  <c r="D36" i="77"/>
  <c r="D40" i="77" s="1"/>
  <c r="E32" i="76"/>
  <c r="C32" i="76"/>
  <c r="D31" i="76"/>
  <c r="D32" i="76" s="1"/>
  <c r="E28" i="76"/>
  <c r="C28" i="76"/>
  <c r="D27" i="76"/>
  <c r="D28" i="76" s="1"/>
  <c r="E19" i="76"/>
  <c r="C19" i="76"/>
  <c r="D18" i="76"/>
  <c r="D19" i="76" s="1"/>
  <c r="E15" i="76"/>
  <c r="C15" i="76"/>
  <c r="D14" i="76"/>
  <c r="D13" i="76"/>
  <c r="D12" i="76"/>
  <c r="D11" i="76"/>
  <c r="E8" i="76"/>
  <c r="D8" i="76"/>
  <c r="C8" i="76"/>
  <c r="I36" i="77" l="1"/>
  <c r="I40" i="77" s="1"/>
  <c r="C34" i="76"/>
  <c r="B36" i="78"/>
  <c r="B40" i="78" s="1"/>
  <c r="E34" i="76"/>
  <c r="E21" i="76"/>
  <c r="C36" i="78"/>
  <c r="C40" i="78" s="1"/>
  <c r="I36" i="78"/>
  <c r="I40" i="78" s="1"/>
  <c r="J36" i="78"/>
  <c r="J40" i="78" s="1"/>
  <c r="C21" i="76"/>
  <c r="D15" i="76"/>
  <c r="D34" i="76"/>
  <c r="D21" i="76" l="1"/>
  <c r="L33" i="75"/>
  <c r="N34" i="75"/>
  <c r="M34" i="75"/>
  <c r="K34" i="75"/>
  <c r="H34" i="75"/>
  <c r="F34" i="75"/>
  <c r="L34" i="75"/>
  <c r="J33" i="75"/>
  <c r="I33" i="75"/>
  <c r="G33" i="75"/>
  <c r="G34" i="75" s="1"/>
  <c r="E33" i="75"/>
  <c r="E34" i="75" s="1"/>
  <c r="D33" i="75"/>
  <c r="C33" i="75"/>
  <c r="B33" i="75"/>
  <c r="J32" i="75"/>
  <c r="J31" i="75"/>
  <c r="I31" i="75"/>
  <c r="D31" i="75"/>
  <c r="C31" i="75"/>
  <c r="J30" i="75"/>
  <c r="I30" i="75"/>
  <c r="D30" i="75"/>
  <c r="D34" i="75" s="1"/>
  <c r="C30" i="75"/>
  <c r="B30" i="75"/>
  <c r="J29" i="75"/>
  <c r="J28" i="75"/>
  <c r="I28" i="75"/>
  <c r="J27" i="75"/>
  <c r="I27" i="75"/>
  <c r="J26" i="75"/>
  <c r="I26" i="75"/>
  <c r="C26" i="75"/>
  <c r="J25" i="75"/>
  <c r="I25" i="75"/>
  <c r="J24" i="75"/>
  <c r="I24" i="75"/>
  <c r="J23" i="75"/>
  <c r="I23" i="75"/>
  <c r="J22" i="75"/>
  <c r="I22" i="75"/>
  <c r="J21" i="75"/>
  <c r="I21" i="75"/>
  <c r="J20" i="75"/>
  <c r="I20" i="75"/>
  <c r="J19" i="75"/>
  <c r="I19" i="75"/>
  <c r="C19" i="75"/>
  <c r="B19" i="75"/>
  <c r="J18" i="75"/>
  <c r="I18" i="75"/>
  <c r="N15" i="75"/>
  <c r="N36" i="75" s="1"/>
  <c r="N40" i="75" s="1"/>
  <c r="M15" i="75"/>
  <c r="L15" i="75"/>
  <c r="K15" i="75"/>
  <c r="H15" i="75"/>
  <c r="H36" i="75" s="1"/>
  <c r="H40" i="75" s="1"/>
  <c r="G15" i="75"/>
  <c r="J14" i="75"/>
  <c r="I14" i="75"/>
  <c r="F14" i="75"/>
  <c r="F15" i="75" s="1"/>
  <c r="E14" i="75"/>
  <c r="E15" i="75" s="1"/>
  <c r="C14" i="75"/>
  <c r="B14" i="75"/>
  <c r="J12" i="75"/>
  <c r="J11" i="75"/>
  <c r="I11" i="75"/>
  <c r="J10" i="75"/>
  <c r="I10" i="75"/>
  <c r="J9" i="75"/>
  <c r="I9" i="75"/>
  <c r="J8" i="75"/>
  <c r="I8" i="75"/>
  <c r="C8" i="75"/>
  <c r="J7" i="75"/>
  <c r="I7" i="75"/>
  <c r="J6" i="75"/>
  <c r="I6" i="75"/>
  <c r="D6" i="75"/>
  <c r="D15" i="75" s="1"/>
  <c r="C6" i="75"/>
  <c r="B6" i="75"/>
  <c r="B15" i="75" s="1"/>
  <c r="J15" i="75" l="1"/>
  <c r="K36" i="75"/>
  <c r="K40" i="75" s="1"/>
  <c r="C34" i="75"/>
  <c r="J34" i="75"/>
  <c r="J36" i="75" s="1"/>
  <c r="J40" i="75" s="1"/>
  <c r="D36" i="75"/>
  <c r="D40" i="75" s="1"/>
  <c r="I15" i="75"/>
  <c r="G36" i="75"/>
  <c r="G40" i="75" s="1"/>
  <c r="B34" i="75"/>
  <c r="B36" i="75" s="1"/>
  <c r="B40" i="75" s="1"/>
  <c r="I34" i="75"/>
  <c r="C15" i="75"/>
  <c r="M36" i="75"/>
  <c r="M40" i="75" s="1"/>
  <c r="L36" i="75"/>
  <c r="L40" i="75" s="1"/>
  <c r="C36" i="75"/>
  <c r="C40" i="75" s="1"/>
  <c r="E36" i="75"/>
  <c r="E40" i="75" s="1"/>
  <c r="I36" i="75"/>
  <c r="I40" i="75" s="1"/>
  <c r="F36" i="75"/>
  <c r="F40" i="75" s="1"/>
  <c r="L33" i="74" l="1"/>
  <c r="N34" i="74"/>
  <c r="M34" i="74"/>
  <c r="K34" i="74"/>
  <c r="H34" i="74"/>
  <c r="F34" i="74"/>
  <c r="L34" i="74"/>
  <c r="J33" i="74"/>
  <c r="I33" i="74"/>
  <c r="G33" i="74"/>
  <c r="G34" i="74" s="1"/>
  <c r="E33" i="74"/>
  <c r="E34" i="74" s="1"/>
  <c r="D33" i="74"/>
  <c r="C33" i="74"/>
  <c r="B33" i="74"/>
  <c r="J32" i="74"/>
  <c r="J31" i="74"/>
  <c r="I31" i="74"/>
  <c r="D31" i="74"/>
  <c r="C31" i="74"/>
  <c r="J30" i="74"/>
  <c r="I30" i="74"/>
  <c r="D30" i="74"/>
  <c r="C30" i="74"/>
  <c r="B30" i="74"/>
  <c r="J29" i="74"/>
  <c r="J28" i="74"/>
  <c r="I28" i="74"/>
  <c r="J27" i="74"/>
  <c r="I27" i="74"/>
  <c r="J26" i="74"/>
  <c r="I26" i="74"/>
  <c r="C26" i="74"/>
  <c r="J25" i="74"/>
  <c r="I25" i="74"/>
  <c r="J24" i="74"/>
  <c r="I24" i="74"/>
  <c r="J23" i="74"/>
  <c r="I23" i="74"/>
  <c r="J22" i="74"/>
  <c r="I22" i="74"/>
  <c r="J21" i="74"/>
  <c r="I21" i="74"/>
  <c r="J20" i="74"/>
  <c r="I20" i="74"/>
  <c r="J19" i="74"/>
  <c r="I19" i="74"/>
  <c r="C19" i="74"/>
  <c r="B19" i="74"/>
  <c r="J18" i="74"/>
  <c r="I18" i="74"/>
  <c r="N15" i="74"/>
  <c r="N36" i="74" s="1"/>
  <c r="N40" i="74" s="1"/>
  <c r="M15" i="74"/>
  <c r="L15" i="74"/>
  <c r="K15" i="74"/>
  <c r="H15" i="74"/>
  <c r="G15" i="74"/>
  <c r="J14" i="74"/>
  <c r="I14" i="74"/>
  <c r="F14" i="74"/>
  <c r="F15" i="74" s="1"/>
  <c r="E14" i="74"/>
  <c r="E15" i="74" s="1"/>
  <c r="C14" i="74"/>
  <c r="B14" i="74"/>
  <c r="J12" i="74"/>
  <c r="J11" i="74"/>
  <c r="I11" i="74"/>
  <c r="J10" i="74"/>
  <c r="I10" i="74"/>
  <c r="J9" i="74"/>
  <c r="I9" i="74"/>
  <c r="J8" i="74"/>
  <c r="I8" i="74"/>
  <c r="C8" i="74"/>
  <c r="J7" i="74"/>
  <c r="I7" i="74"/>
  <c r="J6" i="74"/>
  <c r="I6" i="74"/>
  <c r="D6" i="74"/>
  <c r="D15" i="74" s="1"/>
  <c r="C6" i="74"/>
  <c r="B6" i="74"/>
  <c r="B15" i="74" s="1"/>
  <c r="H36" i="74" l="1"/>
  <c r="H40" i="74" s="1"/>
  <c r="D34" i="74"/>
  <c r="D36" i="74" s="1"/>
  <c r="D40" i="74" s="1"/>
  <c r="F36" i="74"/>
  <c r="F40" i="74" s="1"/>
  <c r="G36" i="74"/>
  <c r="G40" i="74" s="1"/>
  <c r="K36" i="74"/>
  <c r="K40" i="74" s="1"/>
  <c r="C15" i="74"/>
  <c r="J34" i="74"/>
  <c r="B34" i="74"/>
  <c r="B36" i="74" s="1"/>
  <c r="B40" i="74" s="1"/>
  <c r="I15" i="74"/>
  <c r="J15" i="74"/>
  <c r="C34" i="74"/>
  <c r="I34" i="74"/>
  <c r="M36" i="74"/>
  <c r="M40" i="74" s="1"/>
  <c r="L36" i="74"/>
  <c r="L40" i="74" s="1"/>
  <c r="E36" i="74"/>
  <c r="E40" i="74" s="1"/>
  <c r="J36" i="74"/>
  <c r="J40" i="74" s="1"/>
  <c r="L33" i="73"/>
  <c r="N34" i="73"/>
  <c r="M34" i="73"/>
  <c r="K34" i="73"/>
  <c r="H34" i="73"/>
  <c r="G34" i="73"/>
  <c r="F34" i="73"/>
  <c r="L34" i="73"/>
  <c r="J33" i="73"/>
  <c r="I33" i="73"/>
  <c r="G33" i="73"/>
  <c r="E33" i="73"/>
  <c r="E34" i="73" s="1"/>
  <c r="D33" i="73"/>
  <c r="C33" i="73"/>
  <c r="B33" i="73"/>
  <c r="J32" i="73"/>
  <c r="J31" i="73"/>
  <c r="I31" i="73"/>
  <c r="D31" i="73"/>
  <c r="C31" i="73"/>
  <c r="J30" i="73"/>
  <c r="I30" i="73"/>
  <c r="D30" i="73"/>
  <c r="D34" i="73" s="1"/>
  <c r="C30" i="73"/>
  <c r="B30" i="73"/>
  <c r="J29" i="73"/>
  <c r="J28" i="73"/>
  <c r="I28" i="73"/>
  <c r="J27" i="73"/>
  <c r="I27" i="73"/>
  <c r="J26" i="73"/>
  <c r="I26" i="73"/>
  <c r="C26" i="73"/>
  <c r="J25" i="73"/>
  <c r="I25" i="73"/>
  <c r="J24" i="73"/>
  <c r="I24" i="73"/>
  <c r="J23" i="73"/>
  <c r="I23" i="73"/>
  <c r="J22" i="73"/>
  <c r="I22" i="73"/>
  <c r="J21" i="73"/>
  <c r="I21" i="73"/>
  <c r="J20" i="73"/>
  <c r="I20" i="73"/>
  <c r="J19" i="73"/>
  <c r="I19" i="73"/>
  <c r="C19" i="73"/>
  <c r="B19" i="73"/>
  <c r="J18" i="73"/>
  <c r="I18" i="73"/>
  <c r="N15" i="73"/>
  <c r="N36" i="73" s="1"/>
  <c r="N40" i="73" s="1"/>
  <c r="M15" i="73"/>
  <c r="M36" i="73" s="1"/>
  <c r="M40" i="73" s="1"/>
  <c r="L15" i="73"/>
  <c r="K15" i="73"/>
  <c r="H15" i="73"/>
  <c r="G15" i="73"/>
  <c r="J14" i="73"/>
  <c r="I14" i="73"/>
  <c r="F14" i="73"/>
  <c r="F15" i="73" s="1"/>
  <c r="E14" i="73"/>
  <c r="E15" i="73" s="1"/>
  <c r="C14" i="73"/>
  <c r="B14" i="73"/>
  <c r="B15" i="73" s="1"/>
  <c r="J12" i="73"/>
  <c r="J11" i="73"/>
  <c r="I11" i="73"/>
  <c r="J10" i="73"/>
  <c r="I10" i="73"/>
  <c r="J9" i="73"/>
  <c r="I9" i="73"/>
  <c r="J8" i="73"/>
  <c r="I8" i="73"/>
  <c r="C8" i="73"/>
  <c r="J7" i="73"/>
  <c r="I7" i="73"/>
  <c r="J6" i="73"/>
  <c r="I6" i="73"/>
  <c r="D6" i="73"/>
  <c r="D15" i="73" s="1"/>
  <c r="C6" i="73"/>
  <c r="B6" i="73"/>
  <c r="F36" i="73" l="1"/>
  <c r="F40" i="73" s="1"/>
  <c r="H36" i="73"/>
  <c r="H40" i="73" s="1"/>
  <c r="I36" i="74"/>
  <c r="I40" i="74" s="1"/>
  <c r="G36" i="73"/>
  <c r="G40" i="73" s="1"/>
  <c r="D36" i="73"/>
  <c r="D40" i="73" s="1"/>
  <c r="K36" i="73"/>
  <c r="K40" i="73" s="1"/>
  <c r="J34" i="73"/>
  <c r="J36" i="73" s="1"/>
  <c r="J40" i="73" s="1"/>
  <c r="C15" i="73"/>
  <c r="B34" i="73"/>
  <c r="B36" i="73" s="1"/>
  <c r="B40" i="73" s="1"/>
  <c r="C36" i="74"/>
  <c r="C40" i="74" s="1"/>
  <c r="I15" i="73"/>
  <c r="J15" i="73"/>
  <c r="C34" i="73"/>
  <c r="I34" i="73"/>
  <c r="L36" i="73"/>
  <c r="L40" i="73" s="1"/>
  <c r="E36" i="73"/>
  <c r="E40" i="73" s="1"/>
  <c r="L33" i="72"/>
  <c r="L34" i="72" s="1"/>
  <c r="N34" i="72"/>
  <c r="M34" i="72"/>
  <c r="K34" i="72"/>
  <c r="H34" i="72"/>
  <c r="F34" i="72"/>
  <c r="J33" i="72"/>
  <c r="I33" i="72"/>
  <c r="G33" i="72"/>
  <c r="G34" i="72" s="1"/>
  <c r="E33" i="72"/>
  <c r="E34" i="72" s="1"/>
  <c r="D33" i="72"/>
  <c r="C33" i="72"/>
  <c r="B33" i="72"/>
  <c r="J32" i="72"/>
  <c r="J31" i="72"/>
  <c r="I31" i="72"/>
  <c r="D31" i="72"/>
  <c r="C31" i="72"/>
  <c r="J30" i="72"/>
  <c r="I30" i="72"/>
  <c r="D30" i="72"/>
  <c r="D34" i="72" s="1"/>
  <c r="C30" i="72"/>
  <c r="B30" i="72"/>
  <c r="J29" i="72"/>
  <c r="J28" i="72"/>
  <c r="I28" i="72"/>
  <c r="J27" i="72"/>
  <c r="I27" i="72"/>
  <c r="J26" i="72"/>
  <c r="I26" i="72"/>
  <c r="C26" i="72"/>
  <c r="J25" i="72"/>
  <c r="I25" i="72"/>
  <c r="J24" i="72"/>
  <c r="I24" i="72"/>
  <c r="J23" i="72"/>
  <c r="I23" i="72"/>
  <c r="J22" i="72"/>
  <c r="I22" i="72"/>
  <c r="J21" i="72"/>
  <c r="I21" i="72"/>
  <c r="J20" i="72"/>
  <c r="I20" i="72"/>
  <c r="J19" i="72"/>
  <c r="I19" i="72"/>
  <c r="C19" i="72"/>
  <c r="B19" i="72"/>
  <c r="J18" i="72"/>
  <c r="I18" i="72"/>
  <c r="N15" i="72"/>
  <c r="N36" i="72" s="1"/>
  <c r="N40" i="72" s="1"/>
  <c r="M15" i="72"/>
  <c r="L15" i="72"/>
  <c r="K15" i="72"/>
  <c r="H15" i="72"/>
  <c r="G15" i="72"/>
  <c r="J14" i="72"/>
  <c r="I14" i="72"/>
  <c r="F14" i="72"/>
  <c r="F15" i="72" s="1"/>
  <c r="E14" i="72"/>
  <c r="E15" i="72" s="1"/>
  <c r="C14" i="72"/>
  <c r="B14" i="72"/>
  <c r="J12" i="72"/>
  <c r="J11" i="72"/>
  <c r="I11" i="72"/>
  <c r="J10" i="72"/>
  <c r="I10" i="72"/>
  <c r="J9" i="72"/>
  <c r="I9" i="72"/>
  <c r="J8" i="72"/>
  <c r="I8" i="72"/>
  <c r="C8" i="72"/>
  <c r="J7" i="72"/>
  <c r="I7" i="72"/>
  <c r="J6" i="72"/>
  <c r="I6" i="72"/>
  <c r="D6" i="72"/>
  <c r="D15" i="72" s="1"/>
  <c r="C6" i="72"/>
  <c r="B6" i="72"/>
  <c r="B15" i="72" s="1"/>
  <c r="H36" i="72" l="1"/>
  <c r="H40" i="72" s="1"/>
  <c r="C15" i="72"/>
  <c r="J15" i="72"/>
  <c r="I36" i="73"/>
  <c r="I40" i="73" s="1"/>
  <c r="C34" i="72"/>
  <c r="C36" i="72" s="1"/>
  <c r="C40" i="72" s="1"/>
  <c r="I15" i="72"/>
  <c r="J34" i="72"/>
  <c r="J36" i="72" s="1"/>
  <c r="J40" i="72" s="1"/>
  <c r="F36" i="72"/>
  <c r="F40" i="72" s="1"/>
  <c r="D36" i="72"/>
  <c r="D40" i="72" s="1"/>
  <c r="B34" i="72"/>
  <c r="B36" i="72" s="1"/>
  <c r="B40" i="72" s="1"/>
  <c r="K36" i="72"/>
  <c r="K40" i="72" s="1"/>
  <c r="C36" i="73"/>
  <c r="C40" i="73" s="1"/>
  <c r="I34" i="72"/>
  <c r="I36" i="72" s="1"/>
  <c r="I40" i="72" s="1"/>
  <c r="G36" i="72"/>
  <c r="G40" i="72" s="1"/>
  <c r="M36" i="72"/>
  <c r="M40" i="72" s="1"/>
  <c r="L36" i="72"/>
  <c r="L40" i="72" s="1"/>
  <c r="E36" i="72"/>
  <c r="E40" i="72" s="1"/>
  <c r="L33" i="71"/>
  <c r="L34" i="71" s="1"/>
  <c r="L15" i="71"/>
  <c r="M15" i="71"/>
  <c r="M34" i="71"/>
  <c r="K34" i="67"/>
  <c r="K15" i="67"/>
  <c r="N34" i="71"/>
  <c r="K34" i="71"/>
  <c r="H34" i="71"/>
  <c r="F34" i="71"/>
  <c r="J33" i="71"/>
  <c r="I33" i="71"/>
  <c r="G33" i="71"/>
  <c r="G34" i="71" s="1"/>
  <c r="E33" i="71"/>
  <c r="E34" i="71" s="1"/>
  <c r="D33" i="71"/>
  <c r="C33" i="71"/>
  <c r="B33" i="71"/>
  <c r="J32" i="71"/>
  <c r="J31" i="71"/>
  <c r="I31" i="71"/>
  <c r="D31" i="71"/>
  <c r="C31" i="71"/>
  <c r="J30" i="71"/>
  <c r="I30" i="71"/>
  <c r="D30" i="71"/>
  <c r="C30" i="71"/>
  <c r="B30" i="71"/>
  <c r="J29" i="71"/>
  <c r="J28" i="71"/>
  <c r="I28" i="71"/>
  <c r="J27" i="71"/>
  <c r="I27" i="71"/>
  <c r="J26" i="71"/>
  <c r="I26" i="71"/>
  <c r="C26" i="71"/>
  <c r="J25" i="71"/>
  <c r="I25" i="71"/>
  <c r="J24" i="71"/>
  <c r="I24" i="71"/>
  <c r="J23" i="71"/>
  <c r="I23" i="71"/>
  <c r="J22" i="71"/>
  <c r="I22" i="71"/>
  <c r="J21" i="71"/>
  <c r="I21" i="71"/>
  <c r="J20" i="71"/>
  <c r="I20" i="71"/>
  <c r="J19" i="71"/>
  <c r="I19" i="71"/>
  <c r="C19" i="71"/>
  <c r="B19" i="71"/>
  <c r="J18" i="71"/>
  <c r="I18" i="71"/>
  <c r="N15" i="71"/>
  <c r="K15" i="71"/>
  <c r="H15" i="71"/>
  <c r="G15" i="71"/>
  <c r="J14" i="71"/>
  <c r="I14" i="71"/>
  <c r="F14" i="71"/>
  <c r="F15" i="71" s="1"/>
  <c r="E14" i="71"/>
  <c r="E15" i="71" s="1"/>
  <c r="C14" i="71"/>
  <c r="B14" i="71"/>
  <c r="J12" i="71"/>
  <c r="J11" i="71"/>
  <c r="I11" i="71"/>
  <c r="J10" i="71"/>
  <c r="I10" i="71"/>
  <c r="J9" i="71"/>
  <c r="I9" i="71"/>
  <c r="J8" i="71"/>
  <c r="I8" i="71"/>
  <c r="C8" i="71"/>
  <c r="J7" i="71"/>
  <c r="I7" i="71"/>
  <c r="J6" i="71"/>
  <c r="I6" i="71"/>
  <c r="D6" i="71"/>
  <c r="D15" i="71" s="1"/>
  <c r="C6" i="71"/>
  <c r="B6" i="71"/>
  <c r="B34" i="71" l="1"/>
  <c r="M36" i="71"/>
  <c r="M40" i="71" s="1"/>
  <c r="L36" i="71"/>
  <c r="L40" i="71" s="1"/>
  <c r="K36" i="67"/>
  <c r="K40" i="67" s="1"/>
  <c r="C15" i="71"/>
  <c r="N36" i="71"/>
  <c r="N40" i="71" s="1"/>
  <c r="C34" i="71"/>
  <c r="E36" i="71"/>
  <c r="E40" i="71" s="1"/>
  <c r="D34" i="71"/>
  <c r="I34" i="71"/>
  <c r="J34" i="71"/>
  <c r="I15" i="71"/>
  <c r="K36" i="71"/>
  <c r="K40" i="71" s="1"/>
  <c r="B15" i="71"/>
  <c r="B36" i="71" s="1"/>
  <c r="B40" i="71" s="1"/>
  <c r="J15" i="71"/>
  <c r="D36" i="71"/>
  <c r="D40" i="71" s="1"/>
  <c r="G36" i="71"/>
  <c r="G40" i="71" s="1"/>
  <c r="F36" i="71"/>
  <c r="F40" i="71" s="1"/>
  <c r="H36" i="71"/>
  <c r="H40" i="71" s="1"/>
  <c r="K34" i="70"/>
  <c r="K15" i="70"/>
  <c r="L34" i="70"/>
  <c r="H34" i="70"/>
  <c r="F34" i="70"/>
  <c r="J33" i="70"/>
  <c r="I33" i="70"/>
  <c r="G33" i="70"/>
  <c r="G34" i="70" s="1"/>
  <c r="E33" i="70"/>
  <c r="E34" i="70" s="1"/>
  <c r="D33" i="70"/>
  <c r="C33" i="70"/>
  <c r="B33" i="70"/>
  <c r="J32" i="70"/>
  <c r="J31" i="70"/>
  <c r="I31" i="70"/>
  <c r="D31" i="70"/>
  <c r="C31" i="70"/>
  <c r="J30" i="70"/>
  <c r="I30" i="70"/>
  <c r="D30" i="70"/>
  <c r="D34" i="70" s="1"/>
  <c r="C30" i="70"/>
  <c r="B30" i="70"/>
  <c r="J29" i="70"/>
  <c r="J28" i="70"/>
  <c r="I28" i="70"/>
  <c r="J27" i="70"/>
  <c r="I27" i="70"/>
  <c r="J26" i="70"/>
  <c r="I26" i="70"/>
  <c r="C26" i="70"/>
  <c r="J25" i="70"/>
  <c r="I25" i="70"/>
  <c r="J24" i="70"/>
  <c r="I24" i="70"/>
  <c r="J23" i="70"/>
  <c r="I23" i="70"/>
  <c r="J22" i="70"/>
  <c r="I22" i="70"/>
  <c r="J21" i="70"/>
  <c r="I21" i="70"/>
  <c r="J20" i="70"/>
  <c r="I20" i="70"/>
  <c r="J19" i="70"/>
  <c r="I19" i="70"/>
  <c r="C19" i="70"/>
  <c r="B19" i="70"/>
  <c r="J18" i="70"/>
  <c r="I18" i="70"/>
  <c r="L15" i="70"/>
  <c r="H15" i="70"/>
  <c r="G15" i="70"/>
  <c r="J14" i="70"/>
  <c r="I14" i="70"/>
  <c r="F14" i="70"/>
  <c r="F15" i="70" s="1"/>
  <c r="E14" i="70"/>
  <c r="E15" i="70" s="1"/>
  <c r="C14" i="70"/>
  <c r="B14" i="70"/>
  <c r="J12" i="70"/>
  <c r="J11" i="70"/>
  <c r="I11" i="70"/>
  <c r="J10" i="70"/>
  <c r="I10" i="70"/>
  <c r="J9" i="70"/>
  <c r="I9" i="70"/>
  <c r="J8" i="70"/>
  <c r="I8" i="70"/>
  <c r="C8" i="70"/>
  <c r="J7" i="70"/>
  <c r="I7" i="70"/>
  <c r="J6" i="70"/>
  <c r="I6" i="70"/>
  <c r="D6" i="70"/>
  <c r="D15" i="70" s="1"/>
  <c r="C6" i="70"/>
  <c r="B6" i="70"/>
  <c r="E31" i="69"/>
  <c r="D31" i="69" s="1"/>
  <c r="D32" i="69" s="1"/>
  <c r="D34" i="69" s="1"/>
  <c r="E28" i="69"/>
  <c r="C28" i="69"/>
  <c r="D27" i="69"/>
  <c r="D28" i="69" s="1"/>
  <c r="C32" i="69"/>
  <c r="E19" i="69"/>
  <c r="C19" i="69"/>
  <c r="D18" i="69"/>
  <c r="D19" i="69" s="1"/>
  <c r="E15" i="69"/>
  <c r="C15" i="69"/>
  <c r="D14" i="69"/>
  <c r="D13" i="69"/>
  <c r="D12" i="69"/>
  <c r="D11" i="69"/>
  <c r="E8" i="69"/>
  <c r="D8" i="69"/>
  <c r="C8" i="69"/>
  <c r="L34" i="68"/>
  <c r="L15" i="68"/>
  <c r="K34" i="68"/>
  <c r="K15" i="68"/>
  <c r="H34" i="68"/>
  <c r="F34" i="68"/>
  <c r="J33" i="68"/>
  <c r="I33" i="68"/>
  <c r="G33" i="68"/>
  <c r="G34" i="68" s="1"/>
  <c r="E33" i="68"/>
  <c r="E34" i="68" s="1"/>
  <c r="D33" i="68"/>
  <c r="C33" i="68"/>
  <c r="B33" i="68"/>
  <c r="J32" i="68"/>
  <c r="J31" i="68"/>
  <c r="I31" i="68"/>
  <c r="D31" i="68"/>
  <c r="C31" i="68"/>
  <c r="J30" i="68"/>
  <c r="I30" i="68"/>
  <c r="D30" i="68"/>
  <c r="C30" i="68"/>
  <c r="B30" i="68"/>
  <c r="J29" i="68"/>
  <c r="J28" i="68"/>
  <c r="I28" i="68"/>
  <c r="J27" i="68"/>
  <c r="I27" i="68"/>
  <c r="J26" i="68"/>
  <c r="I26" i="68"/>
  <c r="C26" i="68"/>
  <c r="J25" i="68"/>
  <c r="I25" i="68"/>
  <c r="J24" i="68"/>
  <c r="I24" i="68"/>
  <c r="J23" i="68"/>
  <c r="I23" i="68"/>
  <c r="J22" i="68"/>
  <c r="I22" i="68"/>
  <c r="J21" i="68"/>
  <c r="I21" i="68"/>
  <c r="J20" i="68"/>
  <c r="I20" i="68"/>
  <c r="J19" i="68"/>
  <c r="I19" i="68"/>
  <c r="C19" i="68"/>
  <c r="B19" i="68"/>
  <c r="J18" i="68"/>
  <c r="I18" i="68"/>
  <c r="H15" i="68"/>
  <c r="G15" i="68"/>
  <c r="J14" i="68"/>
  <c r="I14" i="68"/>
  <c r="F14" i="68"/>
  <c r="F15" i="68" s="1"/>
  <c r="E14" i="68"/>
  <c r="E15" i="68" s="1"/>
  <c r="C14" i="68"/>
  <c r="B14" i="68"/>
  <c r="J12" i="68"/>
  <c r="J11" i="68"/>
  <c r="I11" i="68"/>
  <c r="J10" i="68"/>
  <c r="I10" i="68"/>
  <c r="J9" i="68"/>
  <c r="I9" i="68"/>
  <c r="J8" i="68"/>
  <c r="I8" i="68"/>
  <c r="C8" i="68"/>
  <c r="J7" i="68"/>
  <c r="I7" i="68"/>
  <c r="J6" i="68"/>
  <c r="I6" i="68"/>
  <c r="D6" i="68"/>
  <c r="D15" i="68" s="1"/>
  <c r="C6" i="68"/>
  <c r="B6" i="68"/>
  <c r="C34" i="69" l="1"/>
  <c r="H36" i="70"/>
  <c r="H40" i="70" s="1"/>
  <c r="C36" i="71"/>
  <c r="C40" i="71" s="1"/>
  <c r="C34" i="68"/>
  <c r="C36" i="68" s="1"/>
  <c r="C40" i="68" s="1"/>
  <c r="C15" i="70"/>
  <c r="D34" i="68"/>
  <c r="D36" i="68" s="1"/>
  <c r="D40" i="68" s="1"/>
  <c r="F36" i="70"/>
  <c r="F40" i="70" s="1"/>
  <c r="B34" i="70"/>
  <c r="L36" i="68"/>
  <c r="L40" i="68" s="1"/>
  <c r="H36" i="68"/>
  <c r="H40" i="68" s="1"/>
  <c r="I15" i="70"/>
  <c r="I15" i="68"/>
  <c r="C15" i="68"/>
  <c r="B34" i="68"/>
  <c r="E21" i="69"/>
  <c r="C34" i="70"/>
  <c r="C36" i="70" s="1"/>
  <c r="C40" i="70" s="1"/>
  <c r="E36" i="70"/>
  <c r="E40" i="70" s="1"/>
  <c r="J34" i="70"/>
  <c r="J15" i="68"/>
  <c r="B15" i="68"/>
  <c r="B36" i="68" s="1"/>
  <c r="B40" i="68" s="1"/>
  <c r="J34" i="68"/>
  <c r="B15" i="70"/>
  <c r="J15" i="70"/>
  <c r="J36" i="70" s="1"/>
  <c r="J40" i="70" s="1"/>
  <c r="I34" i="70"/>
  <c r="I36" i="70" s="1"/>
  <c r="I40" i="70" s="1"/>
  <c r="G36" i="70"/>
  <c r="G40" i="70" s="1"/>
  <c r="J36" i="71"/>
  <c r="J40" i="71" s="1"/>
  <c r="I36" i="71"/>
  <c r="I40" i="71" s="1"/>
  <c r="L36" i="70"/>
  <c r="L40" i="70" s="1"/>
  <c r="K36" i="70"/>
  <c r="K40" i="70" s="1"/>
  <c r="D36" i="70"/>
  <c r="D40" i="70" s="1"/>
  <c r="E32" i="69"/>
  <c r="E34" i="69" s="1"/>
  <c r="D15" i="69"/>
  <c r="C21" i="69"/>
  <c r="G36" i="68"/>
  <c r="G40" i="68" s="1"/>
  <c r="F36" i="68"/>
  <c r="F40" i="68" s="1"/>
  <c r="K36" i="68"/>
  <c r="K40" i="68" s="1"/>
  <c r="I34" i="68"/>
  <c r="J36" i="68"/>
  <c r="J40" i="68" s="1"/>
  <c r="E36" i="68"/>
  <c r="E40" i="68" s="1"/>
  <c r="N34" i="67"/>
  <c r="M34" i="67"/>
  <c r="H34" i="67"/>
  <c r="F34" i="67"/>
  <c r="J33" i="67"/>
  <c r="I33" i="67"/>
  <c r="G33" i="67"/>
  <c r="G34" i="67" s="1"/>
  <c r="E33" i="67"/>
  <c r="E34" i="67" s="1"/>
  <c r="D33" i="67"/>
  <c r="C33" i="67"/>
  <c r="B33" i="67"/>
  <c r="J32" i="67"/>
  <c r="J31" i="67"/>
  <c r="I31" i="67"/>
  <c r="D31" i="67"/>
  <c r="C31" i="67"/>
  <c r="J30" i="67"/>
  <c r="I30" i="67"/>
  <c r="D30" i="67"/>
  <c r="C30" i="67"/>
  <c r="B30" i="67"/>
  <c r="J29" i="67"/>
  <c r="J28" i="67"/>
  <c r="I28" i="67"/>
  <c r="J27" i="67"/>
  <c r="I27" i="67"/>
  <c r="J26" i="67"/>
  <c r="I26" i="67"/>
  <c r="C26" i="67"/>
  <c r="J25" i="67"/>
  <c r="I25" i="67"/>
  <c r="J24" i="67"/>
  <c r="I24" i="67"/>
  <c r="J23" i="67"/>
  <c r="I23" i="67"/>
  <c r="J22" i="67"/>
  <c r="I22" i="67"/>
  <c r="J21" i="67"/>
  <c r="I21" i="67"/>
  <c r="J20" i="67"/>
  <c r="I20" i="67"/>
  <c r="J19" i="67"/>
  <c r="I19" i="67"/>
  <c r="C19" i="67"/>
  <c r="B19" i="67"/>
  <c r="J18" i="67"/>
  <c r="I18" i="67"/>
  <c r="N15" i="67"/>
  <c r="N36" i="67" s="1"/>
  <c r="N40" i="67" s="1"/>
  <c r="M15" i="67"/>
  <c r="H15" i="67"/>
  <c r="G15" i="67"/>
  <c r="J14" i="67"/>
  <c r="I14" i="67"/>
  <c r="F14" i="67"/>
  <c r="F15" i="67" s="1"/>
  <c r="E14" i="67"/>
  <c r="E15" i="67" s="1"/>
  <c r="C14" i="67"/>
  <c r="B14" i="67"/>
  <c r="J12" i="67"/>
  <c r="J11" i="67"/>
  <c r="I11" i="67"/>
  <c r="J10" i="67"/>
  <c r="I10" i="67"/>
  <c r="J9" i="67"/>
  <c r="I9" i="67"/>
  <c r="J8" i="67"/>
  <c r="I8" i="67"/>
  <c r="C8" i="67"/>
  <c r="J7" i="67"/>
  <c r="I7" i="67"/>
  <c r="J6" i="67"/>
  <c r="I6" i="67"/>
  <c r="D6" i="67"/>
  <c r="D15" i="67" s="1"/>
  <c r="C6" i="67"/>
  <c r="B6" i="67"/>
  <c r="B15" i="67" s="1"/>
  <c r="B36" i="70" l="1"/>
  <c r="B40" i="70" s="1"/>
  <c r="D34" i="67"/>
  <c r="I36" i="68"/>
  <c r="I40" i="68" s="1"/>
  <c r="D21" i="69"/>
  <c r="C34" i="67"/>
  <c r="C36" i="67" s="1"/>
  <c r="C40" i="67" s="1"/>
  <c r="G36" i="67"/>
  <c r="G40" i="67" s="1"/>
  <c r="F36" i="67"/>
  <c r="F40" i="67" s="1"/>
  <c r="H36" i="67"/>
  <c r="H40" i="67" s="1"/>
  <c r="I15" i="67"/>
  <c r="C15" i="67"/>
  <c r="J15" i="67"/>
  <c r="B34" i="67"/>
  <c r="B36" i="67" s="1"/>
  <c r="B40" i="67" s="1"/>
  <c r="I34" i="67"/>
  <c r="J34" i="67"/>
  <c r="M36" i="67"/>
  <c r="M40" i="67" s="1"/>
  <c r="J36" i="67"/>
  <c r="J40" i="67" s="1"/>
  <c r="E36" i="67"/>
  <c r="E40" i="67" s="1"/>
  <c r="D36" i="67"/>
  <c r="D40" i="67" s="1"/>
  <c r="M34" i="66"/>
  <c r="L34" i="66"/>
  <c r="K34" i="66"/>
  <c r="H34" i="66"/>
  <c r="F34" i="66"/>
  <c r="J33" i="66"/>
  <c r="I33" i="66"/>
  <c r="G33" i="66"/>
  <c r="G34" i="66" s="1"/>
  <c r="E33" i="66"/>
  <c r="E34" i="66" s="1"/>
  <c r="D33" i="66"/>
  <c r="C33" i="66"/>
  <c r="B33" i="66"/>
  <c r="J32" i="66"/>
  <c r="J31" i="66"/>
  <c r="I31" i="66"/>
  <c r="D31" i="66"/>
  <c r="C31" i="66"/>
  <c r="J30" i="66"/>
  <c r="I30" i="66"/>
  <c r="D30" i="66"/>
  <c r="D34" i="66" s="1"/>
  <c r="C30" i="66"/>
  <c r="B30" i="66"/>
  <c r="J29" i="66"/>
  <c r="J28" i="66"/>
  <c r="I28" i="66"/>
  <c r="J27" i="66"/>
  <c r="I27" i="66"/>
  <c r="J26" i="66"/>
  <c r="I26" i="66"/>
  <c r="C26" i="66"/>
  <c r="J25" i="66"/>
  <c r="I25" i="66"/>
  <c r="J24" i="66"/>
  <c r="I24" i="66"/>
  <c r="J23" i="66"/>
  <c r="I23" i="66"/>
  <c r="J22" i="66"/>
  <c r="I22" i="66"/>
  <c r="J21" i="66"/>
  <c r="I21" i="66"/>
  <c r="J20" i="66"/>
  <c r="I20" i="66"/>
  <c r="J19" i="66"/>
  <c r="I19" i="66"/>
  <c r="C19" i="66"/>
  <c r="C34" i="66" s="1"/>
  <c r="B19" i="66"/>
  <c r="J18" i="66"/>
  <c r="I18" i="66"/>
  <c r="M15" i="66"/>
  <c r="M36" i="66" s="1"/>
  <c r="M40" i="66" s="1"/>
  <c r="L15" i="66"/>
  <c r="K15" i="66"/>
  <c r="H15" i="66"/>
  <c r="G15" i="66"/>
  <c r="J14" i="66"/>
  <c r="I14" i="66"/>
  <c r="F14" i="66"/>
  <c r="F15" i="66" s="1"/>
  <c r="E14" i="66"/>
  <c r="E15" i="66" s="1"/>
  <c r="C14" i="66"/>
  <c r="B14" i="66"/>
  <c r="J12" i="66"/>
  <c r="J11" i="66"/>
  <c r="I11" i="66"/>
  <c r="J10" i="66"/>
  <c r="I10" i="66"/>
  <c r="J9" i="66"/>
  <c r="I9" i="66"/>
  <c r="J8" i="66"/>
  <c r="I8" i="66"/>
  <c r="C8" i="66"/>
  <c r="J7" i="66"/>
  <c r="I7" i="66"/>
  <c r="J6" i="66"/>
  <c r="I6" i="66"/>
  <c r="D6" i="66"/>
  <c r="D15" i="66" s="1"/>
  <c r="C6" i="66"/>
  <c r="B6" i="66"/>
  <c r="B34" i="66" l="1"/>
  <c r="B15" i="66"/>
  <c r="I36" i="67"/>
  <c r="I40" i="67" s="1"/>
  <c r="F36" i="66"/>
  <c r="F40" i="66" s="1"/>
  <c r="I34" i="66"/>
  <c r="G36" i="66"/>
  <c r="G40" i="66" s="1"/>
  <c r="H36" i="66"/>
  <c r="H40" i="66" s="1"/>
  <c r="I15" i="66"/>
  <c r="C15" i="66"/>
  <c r="J34" i="66"/>
  <c r="J15" i="66"/>
  <c r="B36" i="66"/>
  <c r="B40" i="66" s="1"/>
  <c r="L36" i="66"/>
  <c r="L40" i="66" s="1"/>
  <c r="K36" i="66"/>
  <c r="K40" i="66" s="1"/>
  <c r="D36" i="66"/>
  <c r="D40" i="66" s="1"/>
  <c r="C36" i="66"/>
  <c r="C40" i="66" s="1"/>
  <c r="E36" i="66"/>
  <c r="E40" i="66" s="1"/>
  <c r="M34" i="65"/>
  <c r="L34" i="65"/>
  <c r="K34" i="65"/>
  <c r="H34" i="65"/>
  <c r="F34" i="65"/>
  <c r="J33" i="65"/>
  <c r="I33" i="65"/>
  <c r="G33" i="65"/>
  <c r="G34" i="65" s="1"/>
  <c r="E33" i="65"/>
  <c r="E34" i="65" s="1"/>
  <c r="D33" i="65"/>
  <c r="C33" i="65"/>
  <c r="B33" i="65"/>
  <c r="J32" i="65"/>
  <c r="J31" i="65"/>
  <c r="I31" i="65"/>
  <c r="D31" i="65"/>
  <c r="C31" i="65"/>
  <c r="J30" i="65"/>
  <c r="I30" i="65"/>
  <c r="D30" i="65"/>
  <c r="C30" i="65"/>
  <c r="B30" i="65"/>
  <c r="J29" i="65"/>
  <c r="J28" i="65"/>
  <c r="I28" i="65"/>
  <c r="J27" i="65"/>
  <c r="I27" i="65"/>
  <c r="J26" i="65"/>
  <c r="I26" i="65"/>
  <c r="C26" i="65"/>
  <c r="J25" i="65"/>
  <c r="I25" i="65"/>
  <c r="J24" i="65"/>
  <c r="I24" i="65"/>
  <c r="J23" i="65"/>
  <c r="I23" i="65"/>
  <c r="J22" i="65"/>
  <c r="I22" i="65"/>
  <c r="J21" i="65"/>
  <c r="I21" i="65"/>
  <c r="J20" i="65"/>
  <c r="I20" i="65"/>
  <c r="J19" i="65"/>
  <c r="I19" i="65"/>
  <c r="C19" i="65"/>
  <c r="B19" i="65"/>
  <c r="J18" i="65"/>
  <c r="I18" i="65"/>
  <c r="M15" i="65"/>
  <c r="L15" i="65"/>
  <c r="K15" i="65"/>
  <c r="H15" i="65"/>
  <c r="G15" i="65"/>
  <c r="J14" i="65"/>
  <c r="I14" i="65"/>
  <c r="F14" i="65"/>
  <c r="F15" i="65" s="1"/>
  <c r="E14" i="65"/>
  <c r="E15" i="65" s="1"/>
  <c r="C14" i="65"/>
  <c r="B14" i="65"/>
  <c r="J12" i="65"/>
  <c r="J11" i="65"/>
  <c r="I11" i="65"/>
  <c r="J10" i="65"/>
  <c r="I10" i="65"/>
  <c r="J9" i="65"/>
  <c r="I9" i="65"/>
  <c r="J8" i="65"/>
  <c r="I8" i="65"/>
  <c r="C8" i="65"/>
  <c r="J7" i="65"/>
  <c r="I7" i="65"/>
  <c r="J6" i="65"/>
  <c r="I6" i="65"/>
  <c r="D6" i="65"/>
  <c r="D15" i="65" s="1"/>
  <c r="C6" i="65"/>
  <c r="B6" i="65"/>
  <c r="B15" i="65" s="1"/>
  <c r="D34" i="65" l="1"/>
  <c r="I36" i="66"/>
  <c r="I40" i="66" s="1"/>
  <c r="B34" i="65"/>
  <c r="B36" i="65" s="1"/>
  <c r="B40" i="65" s="1"/>
  <c r="J36" i="66"/>
  <c r="J40" i="66" s="1"/>
  <c r="G36" i="65"/>
  <c r="G40" i="65" s="1"/>
  <c r="F36" i="65"/>
  <c r="F40" i="65" s="1"/>
  <c r="H36" i="65"/>
  <c r="H40" i="65" s="1"/>
  <c r="I34" i="65"/>
  <c r="I36" i="65" s="1"/>
  <c r="I40" i="65" s="1"/>
  <c r="C15" i="65"/>
  <c r="J15" i="65"/>
  <c r="I15" i="65"/>
  <c r="M36" i="65"/>
  <c r="M40" i="65" s="1"/>
  <c r="C34" i="65"/>
  <c r="J34" i="65"/>
  <c r="J36" i="65" s="1"/>
  <c r="J40" i="65" s="1"/>
  <c r="E36" i="65"/>
  <c r="E40" i="65" s="1"/>
  <c r="L36" i="65"/>
  <c r="L40" i="65" s="1"/>
  <c r="K36" i="65"/>
  <c r="K40" i="65" s="1"/>
  <c r="D36" i="65"/>
  <c r="D40" i="65" s="1"/>
  <c r="M34" i="64"/>
  <c r="L34" i="64"/>
  <c r="K34" i="64"/>
  <c r="H34" i="64"/>
  <c r="F34" i="64"/>
  <c r="J33" i="64"/>
  <c r="I33" i="64"/>
  <c r="G33" i="64"/>
  <c r="G34" i="64" s="1"/>
  <c r="E33" i="64"/>
  <c r="E34" i="64" s="1"/>
  <c r="D33" i="64"/>
  <c r="C33" i="64"/>
  <c r="B33" i="64"/>
  <c r="J32" i="64"/>
  <c r="J31" i="64"/>
  <c r="I31" i="64"/>
  <c r="D31" i="64"/>
  <c r="C31" i="64"/>
  <c r="J30" i="64"/>
  <c r="I30" i="64"/>
  <c r="D30" i="64"/>
  <c r="D34" i="64" s="1"/>
  <c r="C30" i="64"/>
  <c r="B30" i="64"/>
  <c r="J29" i="64"/>
  <c r="J28" i="64"/>
  <c r="I28" i="64"/>
  <c r="J27" i="64"/>
  <c r="I27" i="64"/>
  <c r="J26" i="64"/>
  <c r="I26" i="64"/>
  <c r="C26" i="64"/>
  <c r="J25" i="64"/>
  <c r="I25" i="64"/>
  <c r="J24" i="64"/>
  <c r="I24" i="64"/>
  <c r="J23" i="64"/>
  <c r="I23" i="64"/>
  <c r="J22" i="64"/>
  <c r="I22" i="64"/>
  <c r="J21" i="64"/>
  <c r="I21" i="64"/>
  <c r="J20" i="64"/>
  <c r="I20" i="64"/>
  <c r="J19" i="64"/>
  <c r="I19" i="64"/>
  <c r="C19" i="64"/>
  <c r="C34" i="64" s="1"/>
  <c r="B19" i="64"/>
  <c r="J18" i="64"/>
  <c r="I18" i="64"/>
  <c r="M15" i="64"/>
  <c r="M36" i="64" s="1"/>
  <c r="M40" i="64" s="1"/>
  <c r="L15" i="64"/>
  <c r="K15" i="64"/>
  <c r="H15" i="64"/>
  <c r="G15" i="64"/>
  <c r="J14" i="64"/>
  <c r="I14" i="64"/>
  <c r="F14" i="64"/>
  <c r="F15" i="64" s="1"/>
  <c r="E14" i="64"/>
  <c r="E15" i="64" s="1"/>
  <c r="C14" i="64"/>
  <c r="B14" i="64"/>
  <c r="J12" i="64"/>
  <c r="J11" i="64"/>
  <c r="I11" i="64"/>
  <c r="J10" i="64"/>
  <c r="I10" i="64"/>
  <c r="J9" i="64"/>
  <c r="I9" i="64"/>
  <c r="J8" i="64"/>
  <c r="I8" i="64"/>
  <c r="C8" i="64"/>
  <c r="J7" i="64"/>
  <c r="I7" i="64"/>
  <c r="J6" i="64"/>
  <c r="I6" i="64"/>
  <c r="D6" i="64"/>
  <c r="D15" i="64" s="1"/>
  <c r="C6" i="64"/>
  <c r="B6" i="64"/>
  <c r="B34" i="64" l="1"/>
  <c r="C36" i="65"/>
  <c r="C40" i="65" s="1"/>
  <c r="B15" i="64"/>
  <c r="F36" i="64"/>
  <c r="F40" i="64" s="1"/>
  <c r="G36" i="64"/>
  <c r="G40" i="64" s="1"/>
  <c r="H36" i="64"/>
  <c r="H40" i="64" s="1"/>
  <c r="I15" i="64"/>
  <c r="C15" i="64"/>
  <c r="C36" i="64" s="1"/>
  <c r="C40" i="64" s="1"/>
  <c r="J34" i="64"/>
  <c r="I34" i="64"/>
  <c r="J15" i="64"/>
  <c r="L36" i="64"/>
  <c r="L40" i="64" s="1"/>
  <c r="K36" i="64"/>
  <c r="K40" i="64" s="1"/>
  <c r="D36" i="64"/>
  <c r="D40" i="64" s="1"/>
  <c r="E36" i="64"/>
  <c r="E40" i="64" s="1"/>
  <c r="M34" i="63"/>
  <c r="L34" i="63"/>
  <c r="K34" i="63"/>
  <c r="H34" i="63"/>
  <c r="F34" i="63"/>
  <c r="J33" i="63"/>
  <c r="I33" i="63"/>
  <c r="G33" i="63"/>
  <c r="G34" i="63" s="1"/>
  <c r="E33" i="63"/>
  <c r="E34" i="63" s="1"/>
  <c r="D33" i="63"/>
  <c r="C33" i="63"/>
  <c r="B33" i="63"/>
  <c r="J32" i="63"/>
  <c r="J31" i="63"/>
  <c r="I31" i="63"/>
  <c r="D31" i="63"/>
  <c r="C31" i="63"/>
  <c r="J30" i="63"/>
  <c r="I30" i="63"/>
  <c r="D30" i="63"/>
  <c r="C30" i="63"/>
  <c r="B30" i="63"/>
  <c r="J29" i="63"/>
  <c r="J28" i="63"/>
  <c r="I28" i="63"/>
  <c r="J27" i="63"/>
  <c r="I27" i="63"/>
  <c r="J26" i="63"/>
  <c r="I26" i="63"/>
  <c r="C26" i="63"/>
  <c r="J25" i="63"/>
  <c r="I25" i="63"/>
  <c r="J24" i="63"/>
  <c r="I24" i="63"/>
  <c r="J23" i="63"/>
  <c r="I23" i="63"/>
  <c r="J22" i="63"/>
  <c r="I22" i="63"/>
  <c r="J21" i="63"/>
  <c r="I21" i="63"/>
  <c r="J20" i="63"/>
  <c r="I20" i="63"/>
  <c r="J19" i="63"/>
  <c r="I19" i="63"/>
  <c r="C19" i="63"/>
  <c r="B19" i="63"/>
  <c r="J18" i="63"/>
  <c r="I18" i="63"/>
  <c r="M15" i="63"/>
  <c r="L15" i="63"/>
  <c r="K15" i="63"/>
  <c r="H15" i="63"/>
  <c r="G15" i="63"/>
  <c r="J14" i="63"/>
  <c r="I14" i="63"/>
  <c r="F14" i="63"/>
  <c r="F15" i="63" s="1"/>
  <c r="E14" i="63"/>
  <c r="E15" i="63" s="1"/>
  <c r="C14" i="63"/>
  <c r="B14" i="63"/>
  <c r="J12" i="63"/>
  <c r="J11" i="63"/>
  <c r="I11" i="63"/>
  <c r="J10" i="63"/>
  <c r="I10" i="63"/>
  <c r="J9" i="63"/>
  <c r="I9" i="63"/>
  <c r="J8" i="63"/>
  <c r="I8" i="63"/>
  <c r="C8" i="63"/>
  <c r="J7" i="63"/>
  <c r="I7" i="63"/>
  <c r="J6" i="63"/>
  <c r="I6" i="63"/>
  <c r="D6" i="63"/>
  <c r="D15" i="63" s="1"/>
  <c r="C6" i="63"/>
  <c r="B6" i="63"/>
  <c r="D34" i="63" l="1"/>
  <c r="J36" i="64"/>
  <c r="J40" i="64" s="1"/>
  <c r="B36" i="64"/>
  <c r="B40" i="64" s="1"/>
  <c r="B34" i="63"/>
  <c r="G36" i="63"/>
  <c r="G40" i="63" s="1"/>
  <c r="I36" i="64"/>
  <c r="I40" i="64" s="1"/>
  <c r="I15" i="63"/>
  <c r="C15" i="63"/>
  <c r="H36" i="63"/>
  <c r="H40" i="63" s="1"/>
  <c r="B15" i="63"/>
  <c r="J15" i="63"/>
  <c r="M36" i="63"/>
  <c r="M40" i="63" s="1"/>
  <c r="C34" i="63"/>
  <c r="J34" i="63"/>
  <c r="E36" i="63"/>
  <c r="E40" i="63" s="1"/>
  <c r="I34" i="63"/>
  <c r="I36" i="63" s="1"/>
  <c r="I40" i="63" s="1"/>
  <c r="L36" i="63"/>
  <c r="L40" i="63" s="1"/>
  <c r="K36" i="63"/>
  <c r="K40" i="63" s="1"/>
  <c r="D36" i="63"/>
  <c r="D40" i="63" s="1"/>
  <c r="F36" i="63"/>
  <c r="F40" i="63" s="1"/>
  <c r="J33" i="62"/>
  <c r="J32" i="62"/>
  <c r="J31" i="62"/>
  <c r="J30" i="62"/>
  <c r="J29" i="62"/>
  <c r="J28" i="62"/>
  <c r="J27" i="62"/>
  <c r="J26" i="62"/>
  <c r="J25" i="62"/>
  <c r="J24" i="62"/>
  <c r="J23" i="62"/>
  <c r="J22" i="62"/>
  <c r="J21" i="62"/>
  <c r="J20" i="62"/>
  <c r="J19" i="62"/>
  <c r="J18" i="62"/>
  <c r="J14" i="62"/>
  <c r="J12" i="62"/>
  <c r="J11" i="62"/>
  <c r="J10" i="62"/>
  <c r="J9" i="62"/>
  <c r="J8" i="62"/>
  <c r="J7" i="62"/>
  <c r="J6" i="62"/>
  <c r="B36" i="63" l="1"/>
  <c r="B40" i="63" s="1"/>
  <c r="J36" i="63"/>
  <c r="J40" i="63" s="1"/>
  <c r="C36" i="63"/>
  <c r="C40" i="63" s="1"/>
  <c r="J15" i="62"/>
  <c r="J34" i="62"/>
  <c r="J36" i="62" s="1"/>
  <c r="J40" i="62" s="1"/>
  <c r="L34" i="62"/>
  <c r="L15" i="62"/>
  <c r="M34" i="62"/>
  <c r="M15" i="62"/>
  <c r="H34" i="62"/>
  <c r="F34" i="62"/>
  <c r="I33" i="62"/>
  <c r="G33" i="62"/>
  <c r="G34" i="62" s="1"/>
  <c r="E33" i="62"/>
  <c r="E34" i="62" s="1"/>
  <c r="D33" i="62"/>
  <c r="C33" i="62"/>
  <c r="B33" i="62"/>
  <c r="I31" i="62"/>
  <c r="D31" i="62"/>
  <c r="C31" i="62"/>
  <c r="I30" i="62"/>
  <c r="D30" i="62"/>
  <c r="C30" i="62"/>
  <c r="B30" i="62"/>
  <c r="I28" i="62"/>
  <c r="I27" i="62"/>
  <c r="I26" i="62"/>
  <c r="C26" i="62"/>
  <c r="I25" i="62"/>
  <c r="I24" i="62"/>
  <c r="I23" i="62"/>
  <c r="I22" i="62"/>
  <c r="I21" i="62"/>
  <c r="K34" i="62"/>
  <c r="I20" i="62"/>
  <c r="I19" i="62"/>
  <c r="C19" i="62"/>
  <c r="B19" i="62"/>
  <c r="I18" i="62"/>
  <c r="H15" i="62"/>
  <c r="G15" i="62"/>
  <c r="I14" i="62"/>
  <c r="F14" i="62"/>
  <c r="F15" i="62" s="1"/>
  <c r="E14" i="62"/>
  <c r="E15" i="62" s="1"/>
  <c r="C14" i="62"/>
  <c r="B14" i="62"/>
  <c r="I11" i="62"/>
  <c r="I10" i="62"/>
  <c r="I9" i="62"/>
  <c r="I8" i="62"/>
  <c r="C8" i="62"/>
  <c r="I7" i="62"/>
  <c r="K15" i="62"/>
  <c r="I6" i="62"/>
  <c r="D6" i="62"/>
  <c r="D15" i="62" s="1"/>
  <c r="C6" i="62"/>
  <c r="B6" i="62"/>
  <c r="K34" i="61"/>
  <c r="H34" i="61"/>
  <c r="F34" i="61"/>
  <c r="J33" i="61"/>
  <c r="I33" i="61"/>
  <c r="G33" i="61"/>
  <c r="G34" i="61" s="1"/>
  <c r="E33" i="61"/>
  <c r="E34" i="61" s="1"/>
  <c r="D33" i="61"/>
  <c r="C33" i="61"/>
  <c r="B33" i="61"/>
  <c r="J32" i="61"/>
  <c r="J31" i="61"/>
  <c r="I31" i="61"/>
  <c r="D31" i="61"/>
  <c r="C31" i="61"/>
  <c r="J30" i="61"/>
  <c r="I30" i="61"/>
  <c r="D30" i="61"/>
  <c r="C30" i="61"/>
  <c r="B30" i="61"/>
  <c r="J29" i="61"/>
  <c r="J28" i="61"/>
  <c r="I28" i="61"/>
  <c r="J27" i="61"/>
  <c r="I27" i="61"/>
  <c r="J26" i="61"/>
  <c r="I26" i="61"/>
  <c r="C26" i="61"/>
  <c r="J25" i="61"/>
  <c r="I25" i="61"/>
  <c r="J24" i="61"/>
  <c r="I24" i="61"/>
  <c r="J23" i="61"/>
  <c r="I23" i="61"/>
  <c r="J22" i="61"/>
  <c r="I22" i="61"/>
  <c r="J21" i="61"/>
  <c r="I21" i="61"/>
  <c r="J20" i="61"/>
  <c r="I20" i="61"/>
  <c r="J19" i="61"/>
  <c r="I19" i="61"/>
  <c r="C19" i="61"/>
  <c r="B19" i="61"/>
  <c r="J18" i="61"/>
  <c r="I18" i="61"/>
  <c r="K15" i="61"/>
  <c r="H15" i="61"/>
  <c r="G15" i="61"/>
  <c r="J14" i="61"/>
  <c r="I14" i="61"/>
  <c r="F14" i="61"/>
  <c r="F15" i="61" s="1"/>
  <c r="E14" i="61"/>
  <c r="E15" i="61" s="1"/>
  <c r="C14" i="61"/>
  <c r="B14" i="61"/>
  <c r="J12" i="61"/>
  <c r="J11" i="61"/>
  <c r="I11" i="61"/>
  <c r="J10" i="61"/>
  <c r="I10" i="61"/>
  <c r="J9" i="61"/>
  <c r="I9" i="61"/>
  <c r="J8" i="61"/>
  <c r="I8" i="61"/>
  <c r="C8" i="61"/>
  <c r="J7" i="61"/>
  <c r="I7" i="61"/>
  <c r="J6" i="61"/>
  <c r="I6" i="61"/>
  <c r="D6" i="61"/>
  <c r="D15" i="61" s="1"/>
  <c r="C6" i="61"/>
  <c r="B6" i="61"/>
  <c r="L36" i="62" l="1"/>
  <c r="L40" i="62" s="1"/>
  <c r="B15" i="61"/>
  <c r="H36" i="61"/>
  <c r="H40" i="61" s="1"/>
  <c r="B34" i="62"/>
  <c r="F36" i="61"/>
  <c r="F40" i="61" s="1"/>
  <c r="E36" i="61"/>
  <c r="E40" i="61" s="1"/>
  <c r="I15" i="62"/>
  <c r="J15" i="61"/>
  <c r="J36" i="61" s="1"/>
  <c r="J40" i="61" s="1"/>
  <c r="I34" i="61"/>
  <c r="D34" i="61"/>
  <c r="D36" i="61" s="1"/>
  <c r="D40" i="61" s="1"/>
  <c r="B34" i="61"/>
  <c r="B36" i="61" s="1"/>
  <c r="B40" i="61" s="1"/>
  <c r="G36" i="61"/>
  <c r="G40" i="61" s="1"/>
  <c r="F36" i="62"/>
  <c r="F40" i="62" s="1"/>
  <c r="C34" i="61"/>
  <c r="C15" i="62"/>
  <c r="C15" i="61"/>
  <c r="I15" i="61"/>
  <c r="J34" i="61"/>
  <c r="I34" i="62"/>
  <c r="D34" i="62"/>
  <c r="D36" i="62" s="1"/>
  <c r="D40" i="62" s="1"/>
  <c r="C34" i="62"/>
  <c r="G36" i="62"/>
  <c r="G40" i="62" s="1"/>
  <c r="B15" i="62"/>
  <c r="B36" i="62" s="1"/>
  <c r="B40" i="62" s="1"/>
  <c r="H36" i="62"/>
  <c r="H40" i="62" s="1"/>
  <c r="M36" i="62"/>
  <c r="M40" i="62" s="1"/>
  <c r="E36" i="62"/>
  <c r="E40" i="62" s="1"/>
  <c r="K36" i="62"/>
  <c r="K40" i="62" s="1"/>
  <c r="K36" i="61"/>
  <c r="K40" i="61" s="1"/>
  <c r="I36" i="62" l="1"/>
  <c r="I40" i="62" s="1"/>
  <c r="C36" i="62"/>
  <c r="C40" i="62" s="1"/>
  <c r="I36" i="61"/>
  <c r="I40" i="61" s="1"/>
  <c r="C36" i="61"/>
  <c r="C40" i="61" s="1"/>
  <c r="K34" i="60"/>
  <c r="H34" i="60"/>
  <c r="F34" i="60"/>
  <c r="J33" i="60"/>
  <c r="I33" i="60"/>
  <c r="G33" i="60"/>
  <c r="G34" i="60" s="1"/>
  <c r="E33" i="60"/>
  <c r="E34" i="60" s="1"/>
  <c r="D33" i="60"/>
  <c r="C33" i="60"/>
  <c r="B33" i="60"/>
  <c r="J32" i="60"/>
  <c r="J31" i="60"/>
  <c r="I31" i="60"/>
  <c r="D31" i="60"/>
  <c r="C31" i="60"/>
  <c r="J30" i="60"/>
  <c r="I30" i="60"/>
  <c r="D30" i="60"/>
  <c r="C30" i="60"/>
  <c r="B30" i="60"/>
  <c r="J29" i="60"/>
  <c r="J28" i="60"/>
  <c r="I28" i="60"/>
  <c r="J27" i="60"/>
  <c r="I27" i="60"/>
  <c r="J26" i="60"/>
  <c r="I26" i="60"/>
  <c r="C26" i="60"/>
  <c r="J25" i="60"/>
  <c r="I25" i="60"/>
  <c r="J24" i="60"/>
  <c r="I24" i="60"/>
  <c r="J23" i="60"/>
  <c r="I23" i="60"/>
  <c r="J22" i="60"/>
  <c r="I22" i="60"/>
  <c r="J21" i="60"/>
  <c r="I21" i="60"/>
  <c r="J20" i="60"/>
  <c r="I20" i="60"/>
  <c r="J19" i="60"/>
  <c r="I19" i="60"/>
  <c r="C19" i="60"/>
  <c r="B19" i="60"/>
  <c r="J18" i="60"/>
  <c r="I18" i="60"/>
  <c r="K15" i="60"/>
  <c r="H15" i="60"/>
  <c r="G15" i="60"/>
  <c r="J14" i="60"/>
  <c r="I14" i="60"/>
  <c r="F14" i="60"/>
  <c r="F15" i="60" s="1"/>
  <c r="E14" i="60"/>
  <c r="E15" i="60" s="1"/>
  <c r="C14" i="60"/>
  <c r="B14" i="60"/>
  <c r="J12" i="60"/>
  <c r="J11" i="60"/>
  <c r="I11" i="60"/>
  <c r="J10" i="60"/>
  <c r="I10" i="60"/>
  <c r="J9" i="60"/>
  <c r="I9" i="60"/>
  <c r="J8" i="60"/>
  <c r="I8" i="60"/>
  <c r="C8" i="60"/>
  <c r="J7" i="60"/>
  <c r="I7" i="60"/>
  <c r="J6" i="60"/>
  <c r="I6" i="60"/>
  <c r="D6" i="60"/>
  <c r="D15" i="60" s="1"/>
  <c r="C6" i="60"/>
  <c r="B6" i="60"/>
  <c r="K34" i="59"/>
  <c r="H34" i="59"/>
  <c r="F34" i="59"/>
  <c r="J33" i="59"/>
  <c r="I33" i="59"/>
  <c r="G33" i="59"/>
  <c r="G34" i="59" s="1"/>
  <c r="E33" i="59"/>
  <c r="E34" i="59" s="1"/>
  <c r="D33" i="59"/>
  <c r="C33" i="59"/>
  <c r="B33" i="59"/>
  <c r="J32" i="59"/>
  <c r="J31" i="59"/>
  <c r="I31" i="59"/>
  <c r="D31" i="59"/>
  <c r="C31" i="59"/>
  <c r="J30" i="59"/>
  <c r="I30" i="59"/>
  <c r="D30" i="59"/>
  <c r="C30" i="59"/>
  <c r="B30" i="59"/>
  <c r="J29" i="59"/>
  <c r="J28" i="59"/>
  <c r="I28" i="59"/>
  <c r="J27" i="59"/>
  <c r="I27" i="59"/>
  <c r="J26" i="59"/>
  <c r="I26" i="59"/>
  <c r="C26" i="59"/>
  <c r="J25" i="59"/>
  <c r="I25" i="59"/>
  <c r="J24" i="59"/>
  <c r="I24" i="59"/>
  <c r="J23" i="59"/>
  <c r="I23" i="59"/>
  <c r="J22" i="59"/>
  <c r="I22" i="59"/>
  <c r="J21" i="59"/>
  <c r="I21" i="59"/>
  <c r="J20" i="59"/>
  <c r="I20" i="59"/>
  <c r="J19" i="59"/>
  <c r="I19" i="59"/>
  <c r="C19" i="59"/>
  <c r="B19" i="59"/>
  <c r="B34" i="59" s="1"/>
  <c r="J18" i="59"/>
  <c r="I18" i="59"/>
  <c r="K15" i="59"/>
  <c r="H15" i="59"/>
  <c r="G15" i="59"/>
  <c r="J14" i="59"/>
  <c r="I14" i="59"/>
  <c r="F14" i="59"/>
  <c r="F15" i="59" s="1"/>
  <c r="F36" i="59" s="1"/>
  <c r="F40" i="59" s="1"/>
  <c r="E14" i="59"/>
  <c r="E15" i="59" s="1"/>
  <c r="C14" i="59"/>
  <c r="B14" i="59"/>
  <c r="J12" i="59"/>
  <c r="J11" i="59"/>
  <c r="I11" i="59"/>
  <c r="J10" i="59"/>
  <c r="I10" i="59"/>
  <c r="J9" i="59"/>
  <c r="I9" i="59"/>
  <c r="J8" i="59"/>
  <c r="I8" i="59"/>
  <c r="C8" i="59"/>
  <c r="J7" i="59"/>
  <c r="I7" i="59"/>
  <c r="J6" i="59"/>
  <c r="I6" i="59"/>
  <c r="D6" i="59"/>
  <c r="D15" i="59" s="1"/>
  <c r="C6" i="59"/>
  <c r="B6" i="59"/>
  <c r="E28" i="57"/>
  <c r="E30" i="57" s="1"/>
  <c r="C28" i="57"/>
  <c r="C30" i="57" s="1"/>
  <c r="D27" i="57"/>
  <c r="D28" i="57" s="1"/>
  <c r="D30" i="57" s="1"/>
  <c r="E19" i="57"/>
  <c r="C19" i="57"/>
  <c r="D18" i="57"/>
  <c r="D19" i="57" s="1"/>
  <c r="E15" i="57"/>
  <c r="C15" i="57"/>
  <c r="D14" i="57"/>
  <c r="D13" i="57"/>
  <c r="D12" i="57"/>
  <c r="D11" i="57"/>
  <c r="E8" i="57"/>
  <c r="D8" i="57"/>
  <c r="C8" i="57"/>
  <c r="B15" i="59" l="1"/>
  <c r="H36" i="59"/>
  <c r="H40" i="59" s="1"/>
  <c r="B15" i="60"/>
  <c r="D34" i="60"/>
  <c r="G36" i="60"/>
  <c r="G40" i="60" s="1"/>
  <c r="H36" i="60"/>
  <c r="H40" i="60" s="1"/>
  <c r="E36" i="59"/>
  <c r="E40" i="59" s="1"/>
  <c r="K36" i="59"/>
  <c r="K40" i="59" s="1"/>
  <c r="C34" i="59"/>
  <c r="J34" i="59"/>
  <c r="J15" i="59"/>
  <c r="D34" i="59"/>
  <c r="C15" i="60"/>
  <c r="C15" i="59"/>
  <c r="C34" i="60"/>
  <c r="K36" i="60"/>
  <c r="K40" i="60" s="1"/>
  <c r="I34" i="60"/>
  <c r="J15" i="60"/>
  <c r="J34" i="60"/>
  <c r="B34" i="60"/>
  <c r="B36" i="60" s="1"/>
  <c r="B40" i="60" s="1"/>
  <c r="I15" i="60"/>
  <c r="E36" i="60"/>
  <c r="E40" i="60" s="1"/>
  <c r="F36" i="60"/>
  <c r="F40" i="60" s="1"/>
  <c r="D36" i="60"/>
  <c r="D40" i="60" s="1"/>
  <c r="E21" i="57"/>
  <c r="C21" i="57"/>
  <c r="D15" i="57"/>
  <c r="D36" i="59"/>
  <c r="D40" i="59" s="1"/>
  <c r="G36" i="59"/>
  <c r="G40" i="59" s="1"/>
  <c r="I15" i="59"/>
  <c r="I34" i="59"/>
  <c r="B36" i="59"/>
  <c r="B40" i="59" s="1"/>
  <c r="J36" i="59" l="1"/>
  <c r="J40" i="59" s="1"/>
  <c r="I36" i="59"/>
  <c r="I40" i="59" s="1"/>
  <c r="I36" i="60"/>
  <c r="I40" i="60" s="1"/>
  <c r="C36" i="60"/>
  <c r="C40" i="60" s="1"/>
  <c r="C36" i="59"/>
  <c r="C40" i="59" s="1"/>
  <c r="D21" i="57"/>
  <c r="J36" i="60"/>
  <c r="J40" i="60" s="1"/>
  <c r="J26" i="55"/>
  <c r="J14" i="55"/>
  <c r="J21" i="55"/>
  <c r="J19" i="55"/>
  <c r="J27" i="55" l="1"/>
  <c r="J8" i="55"/>
  <c r="J23" i="55"/>
  <c r="J7" i="55"/>
  <c r="J28" i="55"/>
  <c r="J29" i="55"/>
  <c r="J25" i="55" l="1"/>
  <c r="J20" i="55"/>
  <c r="L34" i="55"/>
  <c r="K34" i="55"/>
  <c r="H34" i="55"/>
  <c r="F34" i="55"/>
  <c r="J33" i="55"/>
  <c r="I33" i="55"/>
  <c r="G33" i="55"/>
  <c r="G34" i="55" s="1"/>
  <c r="E33" i="55"/>
  <c r="E34" i="55" s="1"/>
  <c r="D33" i="55"/>
  <c r="C33" i="55"/>
  <c r="B33" i="55"/>
  <c r="J32" i="55"/>
  <c r="J31" i="55"/>
  <c r="I31" i="55"/>
  <c r="D31" i="55"/>
  <c r="C31" i="55"/>
  <c r="J30" i="55"/>
  <c r="I30" i="55"/>
  <c r="D30" i="55"/>
  <c r="C30" i="55"/>
  <c r="B30" i="55"/>
  <c r="I28" i="55"/>
  <c r="I27" i="55"/>
  <c r="I26" i="55"/>
  <c r="C26" i="55"/>
  <c r="I25" i="55"/>
  <c r="J24" i="55"/>
  <c r="I24" i="55"/>
  <c r="I23" i="55"/>
  <c r="J22" i="55"/>
  <c r="I22" i="55"/>
  <c r="I21" i="55"/>
  <c r="I20" i="55"/>
  <c r="I19" i="55"/>
  <c r="C19" i="55"/>
  <c r="B19" i="55"/>
  <c r="J18" i="55"/>
  <c r="I18" i="55"/>
  <c r="L15" i="55"/>
  <c r="K15" i="55"/>
  <c r="H15" i="55"/>
  <c r="G15" i="55"/>
  <c r="I14" i="55"/>
  <c r="F14" i="55"/>
  <c r="F15" i="55" s="1"/>
  <c r="E14" i="55"/>
  <c r="E15" i="55" s="1"/>
  <c r="C14" i="55"/>
  <c r="B14" i="55"/>
  <c r="J12" i="55"/>
  <c r="J11" i="55"/>
  <c r="I11" i="55"/>
  <c r="J10" i="55"/>
  <c r="I10" i="55"/>
  <c r="J9" i="55"/>
  <c r="I9" i="55"/>
  <c r="I15" i="55" s="1"/>
  <c r="I8" i="55"/>
  <c r="C8" i="55"/>
  <c r="I7" i="55"/>
  <c r="J6" i="55"/>
  <c r="I6" i="55"/>
  <c r="D6" i="55"/>
  <c r="D15" i="55" s="1"/>
  <c r="C6" i="55"/>
  <c r="B6" i="55"/>
  <c r="B15" i="55" s="1"/>
  <c r="G36" i="55" l="1"/>
  <c r="G40" i="55" s="1"/>
  <c r="E36" i="55"/>
  <c r="E40" i="55" s="1"/>
  <c r="F36" i="55"/>
  <c r="F40" i="55" s="1"/>
  <c r="C15" i="55"/>
  <c r="L36" i="55"/>
  <c r="L40" i="55" s="1"/>
  <c r="C34" i="55"/>
  <c r="I34" i="55"/>
  <c r="I36" i="55" s="1"/>
  <c r="I40" i="55" s="1"/>
  <c r="H36" i="55"/>
  <c r="H40" i="55" s="1"/>
  <c r="B34" i="55"/>
  <c r="B36" i="55" s="1"/>
  <c r="B40" i="55" s="1"/>
  <c r="D34" i="55"/>
  <c r="D36" i="55" s="1"/>
  <c r="D40" i="55" s="1"/>
  <c r="K36" i="55"/>
  <c r="K40" i="55" s="1"/>
  <c r="J15" i="55"/>
  <c r="J34" i="55"/>
  <c r="J14" i="54"/>
  <c r="J21" i="54"/>
  <c r="J9" i="54"/>
  <c r="J23" i="54"/>
  <c r="J8" i="54"/>
  <c r="J26" i="54"/>
  <c r="J25" i="54"/>
  <c r="J19" i="54"/>
  <c r="J20" i="54"/>
  <c r="J24" i="54"/>
  <c r="L34" i="54"/>
  <c r="K34" i="54"/>
  <c r="H34" i="54"/>
  <c r="F34" i="54"/>
  <c r="J33" i="54"/>
  <c r="I33" i="54"/>
  <c r="G33" i="54"/>
  <c r="G34" i="54" s="1"/>
  <c r="E33" i="54"/>
  <c r="E34" i="54" s="1"/>
  <c r="D33" i="54"/>
  <c r="C33" i="54"/>
  <c r="B33" i="54"/>
  <c r="J32" i="54"/>
  <c r="J31" i="54"/>
  <c r="I31" i="54"/>
  <c r="D31" i="54"/>
  <c r="C31" i="54"/>
  <c r="J30" i="54"/>
  <c r="I30" i="54"/>
  <c r="D30" i="54"/>
  <c r="C30" i="54"/>
  <c r="B30" i="54"/>
  <c r="I28" i="54"/>
  <c r="J27" i="54"/>
  <c r="I27" i="54"/>
  <c r="I26" i="54"/>
  <c r="C26" i="54"/>
  <c r="I25" i="54"/>
  <c r="I24" i="54"/>
  <c r="I23" i="54"/>
  <c r="J22" i="54"/>
  <c r="I22" i="54"/>
  <c r="I21" i="54"/>
  <c r="I20" i="54"/>
  <c r="I19" i="54"/>
  <c r="C19" i="54"/>
  <c r="B19" i="54"/>
  <c r="J18" i="54"/>
  <c r="I18" i="54"/>
  <c r="L15" i="54"/>
  <c r="K15" i="54"/>
  <c r="H15" i="54"/>
  <c r="G15" i="54"/>
  <c r="I14" i="54"/>
  <c r="F14" i="54"/>
  <c r="F15" i="54" s="1"/>
  <c r="F36" i="54" s="1"/>
  <c r="F40" i="54" s="1"/>
  <c r="E14" i="54"/>
  <c r="E15" i="54" s="1"/>
  <c r="C14" i="54"/>
  <c r="B14" i="54"/>
  <c r="J12" i="54"/>
  <c r="J11" i="54"/>
  <c r="I11" i="54"/>
  <c r="J10" i="54"/>
  <c r="I10" i="54"/>
  <c r="I9" i="54"/>
  <c r="I8" i="54"/>
  <c r="C8" i="54"/>
  <c r="J7" i="54"/>
  <c r="I7" i="54"/>
  <c r="I15" i="54" s="1"/>
  <c r="J6" i="54"/>
  <c r="I6" i="54"/>
  <c r="D6" i="54"/>
  <c r="D15" i="54" s="1"/>
  <c r="C6" i="54"/>
  <c r="B6" i="54"/>
  <c r="D34" i="54" l="1"/>
  <c r="C36" i="55"/>
  <c r="C40" i="55" s="1"/>
  <c r="C15" i="54"/>
  <c r="K36" i="54"/>
  <c r="K40" i="54" s="1"/>
  <c r="B34" i="54"/>
  <c r="B15" i="54"/>
  <c r="B36" i="54" s="1"/>
  <c r="B40" i="54" s="1"/>
  <c r="L36" i="54"/>
  <c r="L40" i="54" s="1"/>
  <c r="G36" i="54"/>
  <c r="G40" i="54" s="1"/>
  <c r="E36" i="54"/>
  <c r="E40" i="54" s="1"/>
  <c r="C34" i="54"/>
  <c r="C36" i="54" s="1"/>
  <c r="C40" i="54" s="1"/>
  <c r="D36" i="54"/>
  <c r="D40" i="54" s="1"/>
  <c r="I34" i="54"/>
  <c r="I36" i="54" s="1"/>
  <c r="I40" i="54" s="1"/>
  <c r="H36" i="54"/>
  <c r="H40" i="54" s="1"/>
  <c r="J36" i="55"/>
  <c r="J40" i="55" s="1"/>
  <c r="J15" i="54"/>
  <c r="J34" i="54"/>
  <c r="J8" i="53"/>
  <c r="J6" i="53"/>
  <c r="J10" i="53"/>
  <c r="J23" i="53"/>
  <c r="J26" i="53"/>
  <c r="J22" i="53"/>
  <c r="J9" i="53"/>
  <c r="J12" i="53"/>
  <c r="J19" i="53"/>
  <c r="J18" i="53"/>
  <c r="J25" i="53"/>
  <c r="L34" i="53"/>
  <c r="K34" i="53"/>
  <c r="H34" i="53"/>
  <c r="F34" i="53"/>
  <c r="J33" i="53"/>
  <c r="I33" i="53"/>
  <c r="G33" i="53"/>
  <c r="G34" i="53" s="1"/>
  <c r="E33" i="53"/>
  <c r="E34" i="53" s="1"/>
  <c r="D33" i="53"/>
  <c r="C33" i="53"/>
  <c r="B33" i="53"/>
  <c r="J32" i="53"/>
  <c r="J31" i="53"/>
  <c r="I31" i="53"/>
  <c r="D31" i="53"/>
  <c r="C31" i="53"/>
  <c r="J30" i="53"/>
  <c r="I30" i="53"/>
  <c r="D30" i="53"/>
  <c r="C30" i="53"/>
  <c r="B30" i="53"/>
  <c r="I28" i="53"/>
  <c r="J27" i="53"/>
  <c r="I27" i="53"/>
  <c r="I26" i="53"/>
  <c r="C26" i="53"/>
  <c r="I25" i="53"/>
  <c r="I24" i="53"/>
  <c r="I23" i="53"/>
  <c r="I22" i="53"/>
  <c r="J21" i="53"/>
  <c r="I21" i="53"/>
  <c r="J20" i="53"/>
  <c r="I20" i="53"/>
  <c r="I19" i="53"/>
  <c r="C19" i="53"/>
  <c r="B19" i="53"/>
  <c r="I18" i="53"/>
  <c r="L15" i="53"/>
  <c r="K15" i="53"/>
  <c r="H15" i="53"/>
  <c r="G15" i="53"/>
  <c r="J14" i="53"/>
  <c r="I14" i="53"/>
  <c r="F14" i="53"/>
  <c r="F15" i="53" s="1"/>
  <c r="E14" i="53"/>
  <c r="E15" i="53" s="1"/>
  <c r="C14" i="53"/>
  <c r="B14" i="53"/>
  <c r="J11" i="53"/>
  <c r="I11" i="53"/>
  <c r="I10" i="53"/>
  <c r="I9" i="53"/>
  <c r="I8" i="53"/>
  <c r="C8" i="53"/>
  <c r="J7" i="53"/>
  <c r="I7" i="53"/>
  <c r="I6" i="53"/>
  <c r="D6" i="53"/>
  <c r="D15" i="53" s="1"/>
  <c r="C6" i="53"/>
  <c r="C15" i="53" s="1"/>
  <c r="B6" i="53"/>
  <c r="B15" i="53" s="1"/>
  <c r="B34" i="53" l="1"/>
  <c r="I34" i="53"/>
  <c r="C34" i="53"/>
  <c r="L36" i="53"/>
  <c r="L40" i="53" s="1"/>
  <c r="B36" i="53"/>
  <c r="B40" i="53" s="1"/>
  <c r="H36" i="53"/>
  <c r="H40" i="53" s="1"/>
  <c r="C36" i="53"/>
  <c r="C40" i="53" s="1"/>
  <c r="E36" i="53"/>
  <c r="E40" i="53" s="1"/>
  <c r="I15" i="53"/>
  <c r="D34" i="53"/>
  <c r="D36" i="53" s="1"/>
  <c r="D40" i="53" s="1"/>
  <c r="G36" i="53"/>
  <c r="G40" i="53" s="1"/>
  <c r="F36" i="53"/>
  <c r="F40" i="53" s="1"/>
  <c r="J36" i="54"/>
  <c r="J40" i="54" s="1"/>
  <c r="K36" i="53"/>
  <c r="K40" i="53" s="1"/>
  <c r="J15" i="53"/>
  <c r="J34" i="53"/>
  <c r="J12" i="52"/>
  <c r="I36" i="53" l="1"/>
  <c r="I40" i="53" s="1"/>
  <c r="J36" i="53"/>
  <c r="J40" i="53" s="1"/>
  <c r="J6" i="52"/>
  <c r="J18" i="52"/>
  <c r="J8" i="52"/>
  <c r="J19" i="52"/>
  <c r="J20" i="52"/>
  <c r="J21" i="52"/>
  <c r="J26" i="52"/>
  <c r="J9" i="52"/>
  <c r="J23" i="52"/>
  <c r="J22" i="52"/>
  <c r="J7" i="52"/>
  <c r="J25" i="52"/>
  <c r="J10" i="52"/>
  <c r="J31" i="52"/>
  <c r="L34" i="52" l="1"/>
  <c r="K34" i="52"/>
  <c r="H34" i="52"/>
  <c r="F34" i="52"/>
  <c r="J33" i="52"/>
  <c r="I33" i="52"/>
  <c r="G33" i="52"/>
  <c r="G34" i="52" s="1"/>
  <c r="E33" i="52"/>
  <c r="E34" i="52" s="1"/>
  <c r="D33" i="52"/>
  <c r="C33" i="52"/>
  <c r="B33" i="52"/>
  <c r="J32" i="52"/>
  <c r="I31" i="52"/>
  <c r="D31" i="52"/>
  <c r="C31" i="52"/>
  <c r="J30" i="52"/>
  <c r="I30" i="52"/>
  <c r="D30" i="52"/>
  <c r="C30" i="52"/>
  <c r="B30" i="52"/>
  <c r="I28" i="52"/>
  <c r="J27" i="52"/>
  <c r="I27" i="52"/>
  <c r="I26" i="52"/>
  <c r="C26" i="52"/>
  <c r="I25" i="52"/>
  <c r="I24" i="52"/>
  <c r="I23" i="52"/>
  <c r="I22" i="52"/>
  <c r="I21" i="52"/>
  <c r="I20" i="52"/>
  <c r="I19" i="52"/>
  <c r="C19" i="52"/>
  <c r="B19" i="52"/>
  <c r="I18" i="52"/>
  <c r="L15" i="52"/>
  <c r="K15" i="52"/>
  <c r="H15" i="52"/>
  <c r="G15" i="52"/>
  <c r="J14" i="52"/>
  <c r="I14" i="52"/>
  <c r="F14" i="52"/>
  <c r="F15" i="52" s="1"/>
  <c r="E14" i="52"/>
  <c r="E15" i="52" s="1"/>
  <c r="C14" i="52"/>
  <c r="B14" i="52"/>
  <c r="J11" i="52"/>
  <c r="I11" i="52"/>
  <c r="I10" i="52"/>
  <c r="I9" i="52"/>
  <c r="I8" i="52"/>
  <c r="C8" i="52"/>
  <c r="I7" i="52"/>
  <c r="I6" i="52"/>
  <c r="D6" i="52"/>
  <c r="D15" i="52" s="1"/>
  <c r="C6" i="52"/>
  <c r="B6" i="52"/>
  <c r="B15" i="52" s="1"/>
  <c r="J15" i="52" l="1"/>
  <c r="L36" i="52"/>
  <c r="L40" i="52" s="1"/>
  <c r="D34" i="52"/>
  <c r="D36" i="52" s="1"/>
  <c r="D40" i="52" s="1"/>
  <c r="H36" i="52"/>
  <c r="H40" i="52" s="1"/>
  <c r="B34" i="52"/>
  <c r="B36" i="52" s="1"/>
  <c r="B40" i="52" s="1"/>
  <c r="J34" i="52"/>
  <c r="J36" i="52" s="1"/>
  <c r="J40" i="52" s="1"/>
  <c r="C34" i="52"/>
  <c r="I15" i="52"/>
  <c r="F36" i="52"/>
  <c r="F40" i="52" s="1"/>
  <c r="I34" i="52"/>
  <c r="C15" i="52"/>
  <c r="G36" i="52"/>
  <c r="G40" i="52" s="1"/>
  <c r="K36" i="52"/>
  <c r="K40" i="52" s="1"/>
  <c r="E36" i="52"/>
  <c r="E40" i="52" s="1"/>
  <c r="J31" i="51"/>
  <c r="I36" i="52" l="1"/>
  <c r="I40" i="52" s="1"/>
  <c r="C36" i="52"/>
  <c r="C40" i="52" s="1"/>
  <c r="J12" i="51"/>
  <c r="J23" i="51"/>
  <c r="J7" i="51"/>
  <c r="J8" i="51"/>
  <c r="J19" i="51" l="1"/>
  <c r="J21" i="51"/>
  <c r="J20" i="51"/>
  <c r="J11" i="51"/>
  <c r="J9" i="51"/>
  <c r="J33" i="51"/>
  <c r="J26" i="51"/>
  <c r="J22" i="51"/>
  <c r="J25" i="51"/>
  <c r="L34" i="51" l="1"/>
  <c r="K34" i="51"/>
  <c r="H34" i="51"/>
  <c r="F34" i="51"/>
  <c r="I33" i="51"/>
  <c r="G33" i="51"/>
  <c r="G34" i="51" s="1"/>
  <c r="E33" i="51"/>
  <c r="E34" i="51" s="1"/>
  <c r="D33" i="51"/>
  <c r="C33" i="51"/>
  <c r="B33" i="51"/>
  <c r="J32" i="51"/>
  <c r="I31" i="51"/>
  <c r="D31" i="51"/>
  <c r="C31" i="51"/>
  <c r="J30" i="51"/>
  <c r="I30" i="51"/>
  <c r="D30" i="51"/>
  <c r="C30" i="51"/>
  <c r="B30" i="51"/>
  <c r="I28" i="51"/>
  <c r="J27" i="51"/>
  <c r="I27" i="51"/>
  <c r="I26" i="51"/>
  <c r="C26" i="51"/>
  <c r="I25" i="51"/>
  <c r="I24" i="51"/>
  <c r="I23" i="51"/>
  <c r="I22" i="51"/>
  <c r="I21" i="51"/>
  <c r="I20" i="51"/>
  <c r="I19" i="51"/>
  <c r="C19" i="51"/>
  <c r="B19" i="51"/>
  <c r="J18" i="51"/>
  <c r="I18" i="51"/>
  <c r="L15" i="51"/>
  <c r="L36" i="51" s="1"/>
  <c r="L40" i="51" s="1"/>
  <c r="K15" i="51"/>
  <c r="H15" i="51"/>
  <c r="G15" i="51"/>
  <c r="J14" i="51"/>
  <c r="I14" i="51"/>
  <c r="F14" i="51"/>
  <c r="F15" i="51" s="1"/>
  <c r="E14" i="51"/>
  <c r="E15" i="51" s="1"/>
  <c r="C14" i="51"/>
  <c r="B14" i="51"/>
  <c r="I11" i="51"/>
  <c r="J10" i="51"/>
  <c r="I10" i="51"/>
  <c r="I9" i="51"/>
  <c r="I8" i="51"/>
  <c r="C8" i="51"/>
  <c r="I7" i="51"/>
  <c r="J6" i="51"/>
  <c r="I6" i="51"/>
  <c r="D6" i="51"/>
  <c r="D15" i="51" s="1"/>
  <c r="C6" i="51"/>
  <c r="B6" i="51"/>
  <c r="B15" i="51" l="1"/>
  <c r="C34" i="51"/>
  <c r="D34" i="51"/>
  <c r="D36" i="51" s="1"/>
  <c r="D40" i="51" s="1"/>
  <c r="H36" i="51"/>
  <c r="H40" i="51" s="1"/>
  <c r="J15" i="51"/>
  <c r="F36" i="51"/>
  <c r="F40" i="51" s="1"/>
  <c r="J34" i="51"/>
  <c r="C15" i="51"/>
  <c r="C36" i="51" s="1"/>
  <c r="C40" i="51" s="1"/>
  <c r="B34" i="51"/>
  <c r="B36" i="51" s="1"/>
  <c r="B40" i="51" s="1"/>
  <c r="I15" i="51"/>
  <c r="I34" i="51"/>
  <c r="I36" i="51" s="1"/>
  <c r="I40" i="51" s="1"/>
  <c r="K36" i="51"/>
  <c r="K40" i="51" s="1"/>
  <c r="E36" i="51"/>
  <c r="E40" i="51" s="1"/>
  <c r="G36" i="51"/>
  <c r="G40" i="51" s="1"/>
  <c r="J8" i="50"/>
  <c r="J22" i="50"/>
  <c r="J17" i="50"/>
  <c r="J10" i="50"/>
  <c r="J18" i="50"/>
  <c r="J24" i="50"/>
  <c r="J32" i="50"/>
  <c r="J7" i="50"/>
  <c r="J25" i="50"/>
  <c r="J19" i="50"/>
  <c r="J26" i="50"/>
  <c r="L33" i="50"/>
  <c r="K33" i="50"/>
  <c r="H33" i="50"/>
  <c r="F33" i="50"/>
  <c r="E33" i="50"/>
  <c r="I32" i="50"/>
  <c r="G32" i="50"/>
  <c r="G33" i="50" s="1"/>
  <c r="E32" i="50"/>
  <c r="D32" i="50"/>
  <c r="C32" i="50"/>
  <c r="B32" i="50"/>
  <c r="J31" i="50"/>
  <c r="I30" i="50"/>
  <c r="D30" i="50"/>
  <c r="C30" i="50"/>
  <c r="J29" i="50"/>
  <c r="I29" i="50"/>
  <c r="D29" i="50"/>
  <c r="C29" i="50"/>
  <c r="B29" i="50"/>
  <c r="I27" i="50"/>
  <c r="I26" i="50"/>
  <c r="I25" i="50"/>
  <c r="C25" i="50"/>
  <c r="I24" i="50"/>
  <c r="I23" i="50"/>
  <c r="I22" i="50"/>
  <c r="J21" i="50"/>
  <c r="I21" i="50"/>
  <c r="J20" i="50"/>
  <c r="I20" i="50"/>
  <c r="I19" i="50"/>
  <c r="I18" i="50"/>
  <c r="C18" i="50"/>
  <c r="B18" i="50"/>
  <c r="I17" i="50"/>
  <c r="L14" i="50"/>
  <c r="L35" i="50" s="1"/>
  <c r="L39" i="50" s="1"/>
  <c r="K14" i="50"/>
  <c r="K35" i="50" s="1"/>
  <c r="K39" i="50" s="1"/>
  <c r="H14" i="50"/>
  <c r="H35" i="50" s="1"/>
  <c r="H39" i="50" s="1"/>
  <c r="G14" i="50"/>
  <c r="J13" i="50"/>
  <c r="I13" i="50"/>
  <c r="F13" i="50"/>
  <c r="F14" i="50" s="1"/>
  <c r="E13" i="50"/>
  <c r="E14" i="50" s="1"/>
  <c r="C13" i="50"/>
  <c r="B13" i="50"/>
  <c r="I11" i="50"/>
  <c r="I10" i="50"/>
  <c r="J9" i="50"/>
  <c r="I9" i="50"/>
  <c r="I8" i="50"/>
  <c r="C8" i="50"/>
  <c r="I7" i="50"/>
  <c r="J6" i="50"/>
  <c r="I6" i="50"/>
  <c r="D6" i="50"/>
  <c r="D14" i="50" s="1"/>
  <c r="C6" i="50"/>
  <c r="B6" i="50"/>
  <c r="B14" i="50" l="1"/>
  <c r="C33" i="50"/>
  <c r="D33" i="50"/>
  <c r="F35" i="50"/>
  <c r="F39" i="50" s="1"/>
  <c r="B33" i="50"/>
  <c r="B35" i="50" s="1"/>
  <c r="B39" i="50" s="1"/>
  <c r="J36" i="51"/>
  <c r="J40" i="51" s="1"/>
  <c r="I14" i="50"/>
  <c r="I33" i="50"/>
  <c r="I35" i="50" s="1"/>
  <c r="I39" i="50" s="1"/>
  <c r="C14" i="50"/>
  <c r="G35" i="50"/>
  <c r="G39" i="50" s="1"/>
  <c r="J14" i="50"/>
  <c r="J33" i="50"/>
  <c r="E35" i="50"/>
  <c r="E39" i="50" s="1"/>
  <c r="D35" i="50"/>
  <c r="D39" i="50" s="1"/>
  <c r="J8" i="49"/>
  <c r="J18" i="49"/>
  <c r="J19" i="49"/>
  <c r="J7" i="49"/>
  <c r="J22" i="49"/>
  <c r="J25" i="49"/>
  <c r="J17" i="49"/>
  <c r="J9" i="49"/>
  <c r="J10" i="49"/>
  <c r="J20" i="49"/>
  <c r="J6" i="49"/>
  <c r="J32" i="49"/>
  <c r="J24" i="49"/>
  <c r="C35" i="50" l="1"/>
  <c r="C39" i="50" s="1"/>
  <c r="J35" i="50"/>
  <c r="J39" i="50" s="1"/>
  <c r="L33" i="49"/>
  <c r="K33" i="49"/>
  <c r="H33" i="49"/>
  <c r="F33" i="49"/>
  <c r="I32" i="49"/>
  <c r="G32" i="49"/>
  <c r="G33" i="49" s="1"/>
  <c r="E32" i="49"/>
  <c r="E33" i="49" s="1"/>
  <c r="D32" i="49"/>
  <c r="C32" i="49"/>
  <c r="B32" i="49"/>
  <c r="J31" i="49"/>
  <c r="I30" i="49"/>
  <c r="D30" i="49"/>
  <c r="C30" i="49"/>
  <c r="J29" i="49"/>
  <c r="I29" i="49"/>
  <c r="D29" i="49"/>
  <c r="C29" i="49"/>
  <c r="B29" i="49"/>
  <c r="I27" i="49"/>
  <c r="I26" i="49"/>
  <c r="I25" i="49"/>
  <c r="C25" i="49"/>
  <c r="I24" i="49"/>
  <c r="I23" i="49"/>
  <c r="I22" i="49"/>
  <c r="J21" i="49"/>
  <c r="I21" i="49"/>
  <c r="I20" i="49"/>
  <c r="I19" i="49"/>
  <c r="I18" i="49"/>
  <c r="C18" i="49"/>
  <c r="B18" i="49"/>
  <c r="I17" i="49"/>
  <c r="L14" i="49"/>
  <c r="L35" i="49" s="1"/>
  <c r="L39" i="49" s="1"/>
  <c r="K14" i="49"/>
  <c r="H14" i="49"/>
  <c r="G14" i="49"/>
  <c r="J13" i="49"/>
  <c r="J14" i="49" s="1"/>
  <c r="I13" i="49"/>
  <c r="F13" i="49"/>
  <c r="F14" i="49" s="1"/>
  <c r="E13" i="49"/>
  <c r="E14" i="49" s="1"/>
  <c r="C13" i="49"/>
  <c r="B13" i="49"/>
  <c r="I11" i="49"/>
  <c r="I10" i="49"/>
  <c r="I9" i="49"/>
  <c r="I8" i="49"/>
  <c r="C8" i="49"/>
  <c r="I7" i="49"/>
  <c r="I6" i="49"/>
  <c r="D6" i="49"/>
  <c r="D14" i="49" s="1"/>
  <c r="C6" i="49"/>
  <c r="B6" i="49"/>
  <c r="J33" i="49" l="1"/>
  <c r="D33" i="49"/>
  <c r="I14" i="49"/>
  <c r="C14" i="49"/>
  <c r="B14" i="49"/>
  <c r="F35" i="49"/>
  <c r="F39" i="49" s="1"/>
  <c r="C33" i="49"/>
  <c r="E35" i="49"/>
  <c r="E39" i="49" s="1"/>
  <c r="I33" i="49"/>
  <c r="B33" i="49"/>
  <c r="G35" i="49"/>
  <c r="G39" i="49" s="1"/>
  <c r="H35" i="49"/>
  <c r="H39" i="49" s="1"/>
  <c r="K35" i="49"/>
  <c r="K39" i="49" s="1"/>
  <c r="J35" i="49"/>
  <c r="J39" i="49" s="1"/>
  <c r="D35" i="49"/>
  <c r="D39" i="49" s="1"/>
  <c r="J18" i="48"/>
  <c r="J22" i="48"/>
  <c r="J13" i="48"/>
  <c r="J20" i="48"/>
  <c r="J24" i="48"/>
  <c r="J25" i="48"/>
  <c r="L33" i="48"/>
  <c r="K33" i="48"/>
  <c r="H33" i="48"/>
  <c r="F33" i="48"/>
  <c r="J32" i="48"/>
  <c r="I32" i="48"/>
  <c r="G32" i="48"/>
  <c r="G33" i="48" s="1"/>
  <c r="E32" i="48"/>
  <c r="E33" i="48" s="1"/>
  <c r="D32" i="48"/>
  <c r="C32" i="48"/>
  <c r="B32" i="48"/>
  <c r="J31" i="48"/>
  <c r="I30" i="48"/>
  <c r="D30" i="48"/>
  <c r="C30" i="48"/>
  <c r="J29" i="48"/>
  <c r="I29" i="48"/>
  <c r="D29" i="48"/>
  <c r="C29" i="48"/>
  <c r="B29" i="48"/>
  <c r="I27" i="48"/>
  <c r="I26" i="48"/>
  <c r="I25" i="48"/>
  <c r="C25" i="48"/>
  <c r="I24" i="48"/>
  <c r="I23" i="48"/>
  <c r="I22" i="48"/>
  <c r="J21" i="48"/>
  <c r="I21" i="48"/>
  <c r="I20" i="48"/>
  <c r="I19" i="48"/>
  <c r="I18" i="48"/>
  <c r="C18" i="48"/>
  <c r="B18" i="48"/>
  <c r="J17" i="48"/>
  <c r="I17" i="48"/>
  <c r="L14" i="48"/>
  <c r="K14" i="48"/>
  <c r="H14" i="48"/>
  <c r="G14" i="48"/>
  <c r="I13" i="48"/>
  <c r="F13" i="48"/>
  <c r="F14" i="48" s="1"/>
  <c r="E13" i="48"/>
  <c r="E14" i="48" s="1"/>
  <c r="C13" i="48"/>
  <c r="B13" i="48"/>
  <c r="I11" i="48"/>
  <c r="J10" i="48"/>
  <c r="I10" i="48"/>
  <c r="I9" i="48"/>
  <c r="I8" i="48"/>
  <c r="C8" i="48"/>
  <c r="I7" i="48"/>
  <c r="I6" i="48"/>
  <c r="D6" i="48"/>
  <c r="D14" i="48" s="1"/>
  <c r="C6" i="48"/>
  <c r="B6" i="48"/>
  <c r="I35" i="49" l="1"/>
  <c r="I39" i="49" s="1"/>
  <c r="H35" i="48"/>
  <c r="H39" i="48" s="1"/>
  <c r="L35" i="48"/>
  <c r="L39" i="48" s="1"/>
  <c r="B35" i="49"/>
  <c r="B39" i="49" s="1"/>
  <c r="C14" i="48"/>
  <c r="J14" i="48"/>
  <c r="C35" i="49"/>
  <c r="C39" i="49" s="1"/>
  <c r="F35" i="48"/>
  <c r="F39" i="48" s="1"/>
  <c r="E35" i="48"/>
  <c r="E39" i="48" s="1"/>
  <c r="C33" i="48"/>
  <c r="G35" i="48"/>
  <c r="G39" i="48" s="1"/>
  <c r="I14" i="48"/>
  <c r="B33" i="48"/>
  <c r="D33" i="48"/>
  <c r="D35" i="48" s="1"/>
  <c r="D39" i="48" s="1"/>
  <c r="I33" i="48"/>
  <c r="B14" i="48"/>
  <c r="K35" i="48"/>
  <c r="K39" i="48" s="1"/>
  <c r="J33" i="48"/>
  <c r="J13" i="46"/>
  <c r="J18" i="46"/>
  <c r="J24" i="46"/>
  <c r="J25" i="46"/>
  <c r="J10" i="46"/>
  <c r="J17" i="46"/>
  <c r="J29" i="46"/>
  <c r="J31" i="46"/>
  <c r="J21" i="46"/>
  <c r="J32" i="46"/>
  <c r="J35" i="48" l="1"/>
  <c r="J39" i="48" s="1"/>
  <c r="C35" i="48"/>
  <c r="C39" i="48" s="1"/>
  <c r="I35" i="48"/>
  <c r="I39" i="48" s="1"/>
  <c r="B35" i="48"/>
  <c r="B39" i="48" s="1"/>
  <c r="I32" i="46"/>
  <c r="I30" i="46"/>
  <c r="I29" i="46"/>
  <c r="I27" i="46"/>
  <c r="I26" i="46"/>
  <c r="I25" i="46"/>
  <c r="I24" i="46"/>
  <c r="I23" i="46"/>
  <c r="I22" i="46"/>
  <c r="I21" i="46"/>
  <c r="I20" i="46"/>
  <c r="I19" i="46"/>
  <c r="I18" i="46"/>
  <c r="I17" i="46"/>
  <c r="I13" i="46"/>
  <c r="I11" i="46"/>
  <c r="I10" i="46"/>
  <c r="I9" i="46"/>
  <c r="I8" i="46"/>
  <c r="I7" i="46"/>
  <c r="I6" i="46"/>
  <c r="L33" i="46"/>
  <c r="K33" i="46"/>
  <c r="H33" i="46"/>
  <c r="F33" i="46"/>
  <c r="G32" i="46"/>
  <c r="G33" i="46" s="1"/>
  <c r="E32" i="46"/>
  <c r="E33" i="46" s="1"/>
  <c r="D32" i="46"/>
  <c r="C32" i="46"/>
  <c r="B32" i="46"/>
  <c r="D30" i="46"/>
  <c r="C30" i="46"/>
  <c r="D29" i="46"/>
  <c r="C29" i="46"/>
  <c r="B29" i="46"/>
  <c r="C25" i="46"/>
  <c r="C18" i="46"/>
  <c r="B18" i="46"/>
  <c r="J33" i="46"/>
  <c r="L14" i="46"/>
  <c r="K14" i="46"/>
  <c r="H14" i="46"/>
  <c r="G14" i="46"/>
  <c r="F13" i="46"/>
  <c r="F14" i="46" s="1"/>
  <c r="E13" i="46"/>
  <c r="E14" i="46" s="1"/>
  <c r="C13" i="46"/>
  <c r="B13" i="46"/>
  <c r="C8" i="46"/>
  <c r="J14" i="46"/>
  <c r="D6" i="46"/>
  <c r="D14" i="46" s="1"/>
  <c r="C6" i="46"/>
  <c r="B6" i="46"/>
  <c r="I13" i="41"/>
  <c r="I12" i="42"/>
  <c r="I13" i="42"/>
  <c r="B33" i="46" l="1"/>
  <c r="D33" i="46"/>
  <c r="D35" i="46" s="1"/>
  <c r="D39" i="46" s="1"/>
  <c r="B14" i="46"/>
  <c r="F35" i="46"/>
  <c r="F39" i="46" s="1"/>
  <c r="H35" i="46"/>
  <c r="H39" i="46" s="1"/>
  <c r="C14" i="46"/>
  <c r="G35" i="46"/>
  <c r="G39" i="46" s="1"/>
  <c r="C33" i="46"/>
  <c r="C35" i="46" s="1"/>
  <c r="C39" i="46" s="1"/>
  <c r="I33" i="46"/>
  <c r="I14" i="46"/>
  <c r="L35" i="46"/>
  <c r="L39" i="46" s="1"/>
  <c r="K35" i="46"/>
  <c r="K39" i="46" s="1"/>
  <c r="J35" i="46"/>
  <c r="J39" i="46" s="1"/>
  <c r="E35" i="46"/>
  <c r="E39" i="46" s="1"/>
  <c r="I13" i="43"/>
  <c r="J14" i="45"/>
  <c r="J33" i="45"/>
  <c r="H33" i="45"/>
  <c r="F33" i="45"/>
  <c r="I32" i="45"/>
  <c r="G32" i="45"/>
  <c r="G33" i="45" s="1"/>
  <c r="E32" i="45"/>
  <c r="E33" i="45" s="1"/>
  <c r="D32" i="45"/>
  <c r="C32" i="45"/>
  <c r="B32" i="45"/>
  <c r="I30" i="45"/>
  <c r="D30" i="45"/>
  <c r="C30" i="45"/>
  <c r="I29" i="45"/>
  <c r="D29" i="45"/>
  <c r="C29" i="45"/>
  <c r="B29" i="45"/>
  <c r="I27" i="45"/>
  <c r="I26" i="45"/>
  <c r="I25" i="45"/>
  <c r="C25" i="45"/>
  <c r="I24" i="45"/>
  <c r="I23" i="45"/>
  <c r="I22" i="45"/>
  <c r="I21" i="45"/>
  <c r="I20" i="45"/>
  <c r="I19" i="45"/>
  <c r="I18" i="45"/>
  <c r="C18" i="45"/>
  <c r="B18" i="45"/>
  <c r="I17" i="45"/>
  <c r="H14" i="45"/>
  <c r="G14" i="45"/>
  <c r="I13" i="45"/>
  <c r="F13" i="45"/>
  <c r="F14" i="45" s="1"/>
  <c r="E13" i="45"/>
  <c r="E14" i="45" s="1"/>
  <c r="C13" i="45"/>
  <c r="B13" i="45"/>
  <c r="I11" i="45"/>
  <c r="I10" i="45"/>
  <c r="I9" i="45"/>
  <c r="I8" i="45"/>
  <c r="C8" i="45"/>
  <c r="I7" i="45"/>
  <c r="I6" i="45"/>
  <c r="D6" i="45"/>
  <c r="D14" i="45" s="1"/>
  <c r="C6" i="45"/>
  <c r="B6" i="45"/>
  <c r="E29" i="44"/>
  <c r="E31" i="44" s="1"/>
  <c r="C29" i="44"/>
  <c r="C31" i="44" s="1"/>
  <c r="D28" i="44"/>
  <c r="D29" i="44" s="1"/>
  <c r="D31" i="44" s="1"/>
  <c r="E20" i="44"/>
  <c r="C20" i="44"/>
  <c r="D19" i="44"/>
  <c r="D20" i="44" s="1"/>
  <c r="C16" i="44"/>
  <c r="D15" i="44"/>
  <c r="D14" i="44"/>
  <c r="D13" i="44"/>
  <c r="D9" i="44"/>
  <c r="C9" i="44"/>
  <c r="E8" i="44"/>
  <c r="E9" i="44" s="1"/>
  <c r="J33" i="43"/>
  <c r="H33" i="43"/>
  <c r="F33" i="43"/>
  <c r="I32" i="43"/>
  <c r="G32" i="43"/>
  <c r="G33" i="43" s="1"/>
  <c r="E32" i="43"/>
  <c r="E33" i="43" s="1"/>
  <c r="D32" i="43"/>
  <c r="C32" i="43"/>
  <c r="B32" i="43"/>
  <c r="I30" i="43"/>
  <c r="D30" i="43"/>
  <c r="C30" i="43"/>
  <c r="I29" i="43"/>
  <c r="D29" i="43"/>
  <c r="C29" i="43"/>
  <c r="B29" i="43"/>
  <c r="I27" i="43"/>
  <c r="I26" i="43"/>
  <c r="I25" i="43"/>
  <c r="C25" i="43"/>
  <c r="I24" i="43"/>
  <c r="I23" i="43"/>
  <c r="I22" i="43"/>
  <c r="I21" i="43"/>
  <c r="I20" i="43"/>
  <c r="I19" i="43"/>
  <c r="I18" i="43"/>
  <c r="C18" i="43"/>
  <c r="B18" i="43"/>
  <c r="I17" i="43"/>
  <c r="J14" i="43"/>
  <c r="H14" i="43"/>
  <c r="G14" i="43"/>
  <c r="F13" i="43"/>
  <c r="F14" i="43" s="1"/>
  <c r="E13" i="43"/>
  <c r="E14" i="43" s="1"/>
  <c r="C13" i="43"/>
  <c r="B13" i="43"/>
  <c r="I11" i="43"/>
  <c r="I10" i="43"/>
  <c r="I9" i="43"/>
  <c r="I8" i="43"/>
  <c r="C8" i="43"/>
  <c r="I7" i="43"/>
  <c r="I6" i="43"/>
  <c r="D6" i="43"/>
  <c r="D14" i="43" s="1"/>
  <c r="C6" i="43"/>
  <c r="B6" i="43"/>
  <c r="D33" i="45" l="1"/>
  <c r="B33" i="45"/>
  <c r="C33" i="45"/>
  <c r="J35" i="45"/>
  <c r="J39" i="45" s="1"/>
  <c r="I35" i="46"/>
  <c r="I39" i="46" s="1"/>
  <c r="B35" i="46"/>
  <c r="B39" i="46" s="1"/>
  <c r="C14" i="45"/>
  <c r="C35" i="45" s="1"/>
  <c r="C39" i="45" s="1"/>
  <c r="H35" i="43"/>
  <c r="H39" i="43" s="1"/>
  <c r="C33" i="43"/>
  <c r="F35" i="45"/>
  <c r="F39" i="45" s="1"/>
  <c r="G35" i="45"/>
  <c r="G39" i="45" s="1"/>
  <c r="I14" i="45"/>
  <c r="B14" i="45"/>
  <c r="B35" i="45" s="1"/>
  <c r="B39" i="45" s="1"/>
  <c r="H35" i="45"/>
  <c r="H39" i="45" s="1"/>
  <c r="I33" i="45"/>
  <c r="I35" i="45" s="1"/>
  <c r="I39" i="45" s="1"/>
  <c r="D35" i="45"/>
  <c r="D39" i="45" s="1"/>
  <c r="E35" i="45"/>
  <c r="E39" i="45" s="1"/>
  <c r="C22" i="44"/>
  <c r="B33" i="43"/>
  <c r="J35" i="43"/>
  <c r="J39" i="43" s="1"/>
  <c r="I14" i="43"/>
  <c r="B14" i="43"/>
  <c r="I33" i="43"/>
  <c r="D33" i="43"/>
  <c r="D35" i="43" s="1"/>
  <c r="D39" i="43" s="1"/>
  <c r="E35" i="43"/>
  <c r="E39" i="43" s="1"/>
  <c r="C14" i="43"/>
  <c r="G35" i="43"/>
  <c r="G39" i="43" s="1"/>
  <c r="F35" i="43"/>
  <c r="F39" i="43" s="1"/>
  <c r="J33" i="42"/>
  <c r="H33" i="42"/>
  <c r="F33" i="42"/>
  <c r="I32" i="42"/>
  <c r="G32" i="42"/>
  <c r="G33" i="42" s="1"/>
  <c r="E32" i="42"/>
  <c r="E33" i="42" s="1"/>
  <c r="D32" i="42"/>
  <c r="C32" i="42"/>
  <c r="B32" i="42"/>
  <c r="I30" i="42"/>
  <c r="D30" i="42"/>
  <c r="C30" i="42"/>
  <c r="I29" i="42"/>
  <c r="D29" i="42"/>
  <c r="C29" i="42"/>
  <c r="B29" i="42"/>
  <c r="I27" i="42"/>
  <c r="I26" i="42"/>
  <c r="I25" i="42"/>
  <c r="C25" i="42"/>
  <c r="I24" i="42"/>
  <c r="I23" i="42"/>
  <c r="I22" i="42"/>
  <c r="I21" i="42"/>
  <c r="I20" i="42"/>
  <c r="I19" i="42"/>
  <c r="I18" i="42"/>
  <c r="C18" i="42"/>
  <c r="B18" i="42"/>
  <c r="I17" i="42"/>
  <c r="J14" i="42"/>
  <c r="H14" i="42"/>
  <c r="G14" i="42"/>
  <c r="F13" i="42"/>
  <c r="F14" i="42" s="1"/>
  <c r="E13" i="42"/>
  <c r="E14" i="42" s="1"/>
  <c r="C13" i="42"/>
  <c r="B13" i="42"/>
  <c r="I11" i="42"/>
  <c r="I10" i="42"/>
  <c r="I9" i="42"/>
  <c r="I8" i="42"/>
  <c r="C8" i="42"/>
  <c r="I7" i="42"/>
  <c r="I6" i="42"/>
  <c r="D6" i="42"/>
  <c r="D14" i="42" s="1"/>
  <c r="C6" i="42"/>
  <c r="B6" i="42"/>
  <c r="B33" i="42" l="1"/>
  <c r="C35" i="43"/>
  <c r="C39" i="43" s="1"/>
  <c r="C33" i="42"/>
  <c r="F35" i="42"/>
  <c r="F39" i="42" s="1"/>
  <c r="D33" i="42"/>
  <c r="D35" i="42" s="1"/>
  <c r="D39" i="42" s="1"/>
  <c r="B35" i="43"/>
  <c r="B39" i="43" s="1"/>
  <c r="B14" i="42"/>
  <c r="B35" i="42" s="1"/>
  <c r="B39" i="42" s="1"/>
  <c r="I35" i="43"/>
  <c r="I39" i="43" s="1"/>
  <c r="J35" i="42"/>
  <c r="J39" i="42" s="1"/>
  <c r="H35" i="42"/>
  <c r="H39" i="42" s="1"/>
  <c r="I14" i="42"/>
  <c r="C14" i="42"/>
  <c r="C35" i="42" s="1"/>
  <c r="C39" i="42" s="1"/>
  <c r="G35" i="42"/>
  <c r="G39" i="42" s="1"/>
  <c r="I33" i="42"/>
  <c r="E35" i="42"/>
  <c r="E39" i="42" s="1"/>
  <c r="J32" i="41"/>
  <c r="J33" i="41" s="1"/>
  <c r="I21" i="41"/>
  <c r="I18" i="41"/>
  <c r="I20" i="41"/>
  <c r="I10" i="41"/>
  <c r="I27" i="41"/>
  <c r="I26" i="41"/>
  <c r="I22" i="41"/>
  <c r="I7" i="41"/>
  <c r="I24" i="41"/>
  <c r="I25" i="41"/>
  <c r="I32" i="41"/>
  <c r="K33" i="41"/>
  <c r="H33" i="41"/>
  <c r="F33" i="41"/>
  <c r="G32" i="41"/>
  <c r="G33" i="41" s="1"/>
  <c r="E32" i="41"/>
  <c r="E33" i="41" s="1"/>
  <c r="D32" i="41"/>
  <c r="C32" i="41"/>
  <c r="B32" i="41"/>
  <c r="I30" i="41"/>
  <c r="D30" i="41"/>
  <c r="C30" i="41"/>
  <c r="I29" i="41"/>
  <c r="D29" i="41"/>
  <c r="C29" i="41"/>
  <c r="B29" i="41"/>
  <c r="C25" i="41"/>
  <c r="I23" i="41"/>
  <c r="I19" i="41"/>
  <c r="C18" i="41"/>
  <c r="B18" i="41"/>
  <c r="I17" i="41"/>
  <c r="K14" i="41"/>
  <c r="J14" i="41"/>
  <c r="H14" i="41"/>
  <c r="G14" i="41"/>
  <c r="F13" i="41"/>
  <c r="F14" i="41" s="1"/>
  <c r="E13" i="41"/>
  <c r="E14" i="41" s="1"/>
  <c r="C13" i="41"/>
  <c r="B13" i="41"/>
  <c r="I11" i="41"/>
  <c r="I9" i="41"/>
  <c r="I8" i="41"/>
  <c r="C8" i="41"/>
  <c r="I6" i="41"/>
  <c r="D6" i="41"/>
  <c r="D14" i="41" s="1"/>
  <c r="C6" i="41"/>
  <c r="B6" i="41"/>
  <c r="B14" i="41" s="1"/>
  <c r="K35" i="41" l="1"/>
  <c r="K39" i="41" s="1"/>
  <c r="D33" i="41"/>
  <c r="D35" i="41" s="1"/>
  <c r="D39" i="41" s="1"/>
  <c r="C14" i="41"/>
  <c r="B33" i="41"/>
  <c r="B35" i="41" s="1"/>
  <c r="B39" i="41" s="1"/>
  <c r="C33" i="41"/>
  <c r="C35" i="41" s="1"/>
  <c r="C39" i="41" s="1"/>
  <c r="H35" i="41"/>
  <c r="H39" i="41" s="1"/>
  <c r="F35" i="41"/>
  <c r="F39" i="41" s="1"/>
  <c r="G35" i="41"/>
  <c r="G39" i="41" s="1"/>
  <c r="I35" i="42"/>
  <c r="I39" i="42" s="1"/>
  <c r="J35" i="41"/>
  <c r="J39" i="41" s="1"/>
  <c r="I14" i="41"/>
  <c r="I33" i="41"/>
  <c r="E35" i="41"/>
  <c r="E39" i="41" s="1"/>
  <c r="I35" i="41" l="1"/>
  <c r="I39" i="41" s="1"/>
  <c r="I8" i="40" l="1"/>
  <c r="I22" i="40"/>
  <c r="J32" i="40" l="1"/>
  <c r="J33" i="40" s="1"/>
  <c r="I6" i="40"/>
  <c r="I25" i="40"/>
  <c r="I13" i="40"/>
  <c r="I19" i="40"/>
  <c r="I18" i="40"/>
  <c r="I24" i="40"/>
  <c r="I32" i="40"/>
  <c r="K33" i="40"/>
  <c r="H33" i="40"/>
  <c r="F33" i="40"/>
  <c r="G32" i="40"/>
  <c r="G33" i="40" s="1"/>
  <c r="E32" i="40"/>
  <c r="E33" i="40" s="1"/>
  <c r="D32" i="40"/>
  <c r="C32" i="40"/>
  <c r="B32" i="40"/>
  <c r="I30" i="40"/>
  <c r="D30" i="40"/>
  <c r="C30" i="40"/>
  <c r="I29" i="40"/>
  <c r="D29" i="40"/>
  <c r="C29" i="40"/>
  <c r="B29" i="40"/>
  <c r="I26" i="40"/>
  <c r="C25" i="40"/>
  <c r="I23" i="40"/>
  <c r="I21" i="40"/>
  <c r="I20" i="40"/>
  <c r="C18" i="40"/>
  <c r="B18" i="40"/>
  <c r="I17" i="40"/>
  <c r="K14" i="40"/>
  <c r="J14" i="40"/>
  <c r="H14" i="40"/>
  <c r="G14" i="40"/>
  <c r="F13" i="40"/>
  <c r="F14" i="40" s="1"/>
  <c r="E13" i="40"/>
  <c r="E14" i="40" s="1"/>
  <c r="C13" i="40"/>
  <c r="B13" i="40"/>
  <c r="I11" i="40"/>
  <c r="I10" i="40"/>
  <c r="I9" i="40"/>
  <c r="C8" i="40"/>
  <c r="I7" i="40"/>
  <c r="D6" i="40"/>
  <c r="D14" i="40" s="1"/>
  <c r="C6" i="40"/>
  <c r="B6" i="40"/>
  <c r="B33" i="40" l="1"/>
  <c r="C33" i="40"/>
  <c r="D33" i="40"/>
  <c r="I14" i="40"/>
  <c r="F35" i="40"/>
  <c r="F39" i="40" s="1"/>
  <c r="E35" i="40"/>
  <c r="E39" i="40" s="1"/>
  <c r="D35" i="40"/>
  <c r="D39" i="40" s="1"/>
  <c r="G35" i="40"/>
  <c r="G39" i="40" s="1"/>
  <c r="J35" i="40"/>
  <c r="J39" i="40" s="1"/>
  <c r="H35" i="40"/>
  <c r="H39" i="40" s="1"/>
  <c r="C14" i="40"/>
  <c r="B14" i="40"/>
  <c r="B35" i="40" s="1"/>
  <c r="B39" i="40" s="1"/>
  <c r="K35" i="40"/>
  <c r="K39" i="40" s="1"/>
  <c r="I33" i="40"/>
  <c r="C35" i="40"/>
  <c r="C39" i="40" s="1"/>
  <c r="I35" i="40" l="1"/>
  <c r="I39" i="40" s="1"/>
  <c r="K33" i="39"/>
  <c r="H33" i="39"/>
  <c r="F33" i="39"/>
  <c r="E32" i="39"/>
  <c r="E33" i="39" s="1"/>
  <c r="B32" i="39"/>
  <c r="J32" i="39"/>
  <c r="J33" i="39" s="1"/>
  <c r="G32" i="39"/>
  <c r="G33" i="39" s="1"/>
  <c r="F13" i="39"/>
  <c r="E13" i="39"/>
  <c r="I24" i="39" l="1"/>
  <c r="I25" i="39"/>
  <c r="I18" i="39"/>
  <c r="I10" i="39"/>
  <c r="I9" i="39"/>
  <c r="I8" i="39"/>
  <c r="I21" i="39"/>
  <c r="I22" i="39"/>
  <c r="I6" i="39"/>
  <c r="I17" i="39"/>
  <c r="I30" i="39" l="1"/>
  <c r="D30" i="39"/>
  <c r="C30" i="39"/>
  <c r="C18" i="39"/>
  <c r="B18" i="39"/>
  <c r="I26" i="39"/>
  <c r="C25" i="39"/>
  <c r="I19" i="39"/>
  <c r="I33" i="39" s="1"/>
  <c r="I23" i="39"/>
  <c r="I20" i="39"/>
  <c r="I32" i="39"/>
  <c r="D32" i="39"/>
  <c r="C32" i="39"/>
  <c r="I29" i="39"/>
  <c r="D29" i="39"/>
  <c r="C29" i="39"/>
  <c r="B29" i="39"/>
  <c r="K14" i="39"/>
  <c r="J14" i="39"/>
  <c r="H14" i="39"/>
  <c r="G14" i="39"/>
  <c r="F14" i="39"/>
  <c r="E14" i="39"/>
  <c r="I13" i="39"/>
  <c r="C13" i="39"/>
  <c r="B13" i="39"/>
  <c r="C8" i="39"/>
  <c r="I7" i="39"/>
  <c r="I11" i="39"/>
  <c r="D6" i="39"/>
  <c r="D14" i="39" s="1"/>
  <c r="C6" i="39"/>
  <c r="B6" i="39"/>
  <c r="D33" i="39" l="1"/>
  <c r="D35" i="39" s="1"/>
  <c r="D39" i="39" s="1"/>
  <c r="B33" i="39"/>
  <c r="C33" i="39"/>
  <c r="F35" i="39"/>
  <c r="F39" i="39" s="1"/>
  <c r="B14" i="39"/>
  <c r="C14" i="39"/>
  <c r="K35" i="39"/>
  <c r="K39" i="39" s="1"/>
  <c r="G35" i="39"/>
  <c r="G39" i="39" s="1"/>
  <c r="I14" i="39"/>
  <c r="H35" i="39"/>
  <c r="H39" i="39" s="1"/>
  <c r="E35" i="39"/>
  <c r="E39" i="39" s="1"/>
  <c r="J35" i="39"/>
  <c r="J39" i="39" s="1"/>
  <c r="I33" i="38"/>
  <c r="I8" i="38"/>
  <c r="I9" i="38"/>
  <c r="B35" i="39" l="1"/>
  <c r="B39" i="39" s="1"/>
  <c r="I35" i="39"/>
  <c r="I39" i="39" s="1"/>
  <c r="C35" i="39"/>
  <c r="C39" i="39" s="1"/>
  <c r="I34" i="38"/>
  <c r="I26" i="38"/>
  <c r="I32" i="38"/>
  <c r="I28" i="38"/>
  <c r="I6" i="38"/>
  <c r="K36" i="38"/>
  <c r="J36" i="38"/>
  <c r="H36" i="38"/>
  <c r="G36" i="38"/>
  <c r="F36" i="38"/>
  <c r="E36" i="38"/>
  <c r="D34" i="38"/>
  <c r="C34" i="38"/>
  <c r="C33" i="38"/>
  <c r="B33" i="38"/>
  <c r="I30" i="38"/>
  <c r="I29" i="38"/>
  <c r="C29" i="38"/>
  <c r="I27" i="38"/>
  <c r="I25" i="38"/>
  <c r="I23" i="38"/>
  <c r="I22" i="38"/>
  <c r="I21" i="38"/>
  <c r="D21" i="38"/>
  <c r="C21" i="38"/>
  <c r="I19" i="38"/>
  <c r="D19" i="38"/>
  <c r="C19" i="38"/>
  <c r="B19" i="38"/>
  <c r="B36" i="38" s="1"/>
  <c r="K15" i="38"/>
  <c r="K38" i="38" s="1"/>
  <c r="K42" i="38" s="1"/>
  <c r="J15" i="38"/>
  <c r="H15" i="38"/>
  <c r="G15" i="38"/>
  <c r="F15" i="38"/>
  <c r="E15" i="38"/>
  <c r="I14" i="38"/>
  <c r="C14" i="38"/>
  <c r="B14" i="38"/>
  <c r="I11" i="38"/>
  <c r="I10" i="38"/>
  <c r="C9" i="38"/>
  <c r="I7" i="38"/>
  <c r="D6" i="38"/>
  <c r="D15" i="38" s="1"/>
  <c r="C6" i="38"/>
  <c r="B6" i="38"/>
  <c r="I15" i="38" l="1"/>
  <c r="D36" i="38"/>
  <c r="H38" i="38"/>
  <c r="H42" i="38" s="1"/>
  <c r="E38" i="38"/>
  <c r="E42" i="38" s="1"/>
  <c r="B15" i="38"/>
  <c r="C15" i="38"/>
  <c r="C36" i="38"/>
  <c r="F38" i="38"/>
  <c r="F42" i="38" s="1"/>
  <c r="D38" i="38"/>
  <c r="D42" i="38" s="1"/>
  <c r="G38" i="38"/>
  <c r="G42" i="38" s="1"/>
  <c r="J38" i="38"/>
  <c r="J42" i="38" s="1"/>
  <c r="I36" i="38"/>
  <c r="B38" i="38"/>
  <c r="B42" i="38" s="1"/>
  <c r="I33" i="37"/>
  <c r="I26" i="37"/>
  <c r="I23" i="37"/>
  <c r="I9" i="37"/>
  <c r="I29" i="37"/>
  <c r="M42" i="37"/>
  <c r="K36" i="37"/>
  <c r="J36" i="37"/>
  <c r="H36" i="37"/>
  <c r="G36" i="37"/>
  <c r="F36" i="37"/>
  <c r="E36" i="37"/>
  <c r="I34" i="37"/>
  <c r="D34" i="37"/>
  <c r="C34" i="37"/>
  <c r="C33" i="37"/>
  <c r="B33" i="37"/>
  <c r="I32" i="37"/>
  <c r="I30" i="37"/>
  <c r="C29" i="37"/>
  <c r="I28" i="37"/>
  <c r="I27" i="37"/>
  <c r="I25" i="37"/>
  <c r="I22" i="37"/>
  <c r="I21" i="37"/>
  <c r="D21" i="37"/>
  <c r="C21" i="37"/>
  <c r="I19" i="37"/>
  <c r="D19" i="37"/>
  <c r="C19" i="37"/>
  <c r="B19" i="37"/>
  <c r="K15" i="37"/>
  <c r="K38" i="37" s="1"/>
  <c r="K42" i="37" s="1"/>
  <c r="J15" i="37"/>
  <c r="H15" i="37"/>
  <c r="G15" i="37"/>
  <c r="F15" i="37"/>
  <c r="E15" i="37"/>
  <c r="I14" i="37"/>
  <c r="C14" i="37"/>
  <c r="B14" i="37"/>
  <c r="I11" i="37"/>
  <c r="I10" i="37"/>
  <c r="C9" i="37"/>
  <c r="I8" i="37"/>
  <c r="I7" i="37"/>
  <c r="I6" i="37"/>
  <c r="D6" i="37"/>
  <c r="D15" i="37" s="1"/>
  <c r="C6" i="37"/>
  <c r="B6" i="37"/>
  <c r="I38" i="38" l="1"/>
  <c r="I42" i="38" s="1"/>
  <c r="C15" i="37"/>
  <c r="E38" i="37"/>
  <c r="E42" i="37" s="1"/>
  <c r="B36" i="37"/>
  <c r="C36" i="37"/>
  <c r="G38" i="37"/>
  <c r="G42" i="37" s="1"/>
  <c r="B15" i="37"/>
  <c r="B38" i="37" s="1"/>
  <c r="B42" i="37" s="1"/>
  <c r="H38" i="37"/>
  <c r="H42" i="37" s="1"/>
  <c r="C38" i="38"/>
  <c r="C42" i="38" s="1"/>
  <c r="F38" i="37"/>
  <c r="F42" i="37" s="1"/>
  <c r="D36" i="37"/>
  <c r="J38" i="37"/>
  <c r="J42" i="37" s="1"/>
  <c r="I36" i="37"/>
  <c r="I15" i="37"/>
  <c r="D38" i="37"/>
  <c r="D42" i="37" s="1"/>
  <c r="I6" i="36"/>
  <c r="I9" i="36"/>
  <c r="I33" i="36"/>
  <c r="I8" i="36"/>
  <c r="I14" i="36"/>
  <c r="I34" i="36"/>
  <c r="I22" i="36"/>
  <c r="I23" i="36"/>
  <c r="I7" i="36"/>
  <c r="I21" i="36"/>
  <c r="I29" i="36"/>
  <c r="I28" i="36"/>
  <c r="I26" i="36"/>
  <c r="I25" i="36"/>
  <c r="I27" i="36"/>
  <c r="I11" i="36"/>
  <c r="I30" i="36"/>
  <c r="I32" i="36"/>
  <c r="I10" i="36"/>
  <c r="C38" i="37" l="1"/>
  <c r="C42" i="37" s="1"/>
  <c r="I38" i="37"/>
  <c r="I42" i="37" s="1"/>
  <c r="J54" i="36"/>
  <c r="J36" i="36"/>
  <c r="J15" i="36"/>
  <c r="J38" i="36" l="1"/>
  <c r="J42" i="36" s="1"/>
  <c r="M42" i="36"/>
  <c r="K36" i="36"/>
  <c r="H36" i="36"/>
  <c r="G36" i="36"/>
  <c r="F36" i="36"/>
  <c r="E36" i="36"/>
  <c r="D34" i="36"/>
  <c r="C34" i="36"/>
  <c r="C33" i="36"/>
  <c r="B33" i="36"/>
  <c r="C29" i="36"/>
  <c r="D21" i="36"/>
  <c r="C21" i="36"/>
  <c r="I19" i="36"/>
  <c r="D19" i="36"/>
  <c r="D36" i="36" s="1"/>
  <c r="C19" i="36"/>
  <c r="B19" i="36"/>
  <c r="K15" i="36"/>
  <c r="H15" i="36"/>
  <c r="G15" i="36"/>
  <c r="F15" i="36"/>
  <c r="F38" i="36" s="1"/>
  <c r="F42" i="36" s="1"/>
  <c r="E15" i="36"/>
  <c r="C14" i="36"/>
  <c r="B14" i="36"/>
  <c r="C9" i="36"/>
  <c r="D6" i="36"/>
  <c r="D15" i="36" s="1"/>
  <c r="C6" i="36"/>
  <c r="B6" i="36"/>
  <c r="B15" i="36" s="1"/>
  <c r="G38" i="36" l="1"/>
  <c r="G42" i="36" s="1"/>
  <c r="E38" i="36"/>
  <c r="E42" i="36" s="1"/>
  <c r="B36" i="36"/>
  <c r="B38" i="36" s="1"/>
  <c r="B42" i="36" s="1"/>
  <c r="C36" i="36"/>
  <c r="C15" i="36"/>
  <c r="K38" i="36"/>
  <c r="K42" i="36" s="1"/>
  <c r="H38" i="36"/>
  <c r="H42" i="36" s="1"/>
  <c r="I15" i="36"/>
  <c r="I36" i="36"/>
  <c r="D38" i="36"/>
  <c r="D42" i="36" s="1"/>
  <c r="I32" i="35"/>
  <c r="I26" i="35"/>
  <c r="I33" i="35"/>
  <c r="I6" i="35"/>
  <c r="I25" i="35"/>
  <c r="I23" i="35"/>
  <c r="I29" i="35"/>
  <c r="I19" i="35"/>
  <c r="I10" i="35"/>
  <c r="C38" i="36" l="1"/>
  <c r="C42" i="36" s="1"/>
  <c r="I38" i="36"/>
  <c r="I42" i="36" s="1"/>
  <c r="G36" i="35"/>
  <c r="G15" i="35"/>
  <c r="L42" i="35"/>
  <c r="J36" i="35"/>
  <c r="H36" i="35"/>
  <c r="F36" i="35"/>
  <c r="F38" i="35" s="1"/>
  <c r="F42" i="35" s="1"/>
  <c r="E36" i="35"/>
  <c r="D34" i="35"/>
  <c r="C34" i="35"/>
  <c r="C33" i="35"/>
  <c r="B33" i="35"/>
  <c r="C29" i="35"/>
  <c r="D21" i="35"/>
  <c r="C21" i="35"/>
  <c r="I36" i="35"/>
  <c r="D19" i="35"/>
  <c r="C19" i="35"/>
  <c r="B19" i="35"/>
  <c r="J15" i="35"/>
  <c r="H15" i="35"/>
  <c r="F15" i="35"/>
  <c r="E15" i="35"/>
  <c r="C14" i="35"/>
  <c r="B14" i="35"/>
  <c r="C9" i="35"/>
  <c r="I15" i="35"/>
  <c r="D6" i="35"/>
  <c r="D15" i="35" s="1"/>
  <c r="C6" i="35"/>
  <c r="B6" i="35"/>
  <c r="B15" i="35" s="1"/>
  <c r="B36" i="35" l="1"/>
  <c r="C15" i="35"/>
  <c r="C36" i="35"/>
  <c r="G38" i="35"/>
  <c r="G42" i="35" s="1"/>
  <c r="D36" i="35"/>
  <c r="D38" i="35" s="1"/>
  <c r="D42" i="35" s="1"/>
  <c r="E38" i="35"/>
  <c r="E42" i="35" s="1"/>
  <c r="B38" i="35"/>
  <c r="B42" i="35" s="1"/>
  <c r="I38" i="35"/>
  <c r="I42" i="35" s="1"/>
  <c r="J38" i="35"/>
  <c r="J42" i="35" s="1"/>
  <c r="H38" i="35"/>
  <c r="H42" i="35" s="1"/>
  <c r="C38" i="35"/>
  <c r="C42" i="35" s="1"/>
  <c r="I33" i="33"/>
  <c r="I30" i="33"/>
  <c r="K42" i="33"/>
  <c r="G36" i="33"/>
  <c r="F36" i="33"/>
  <c r="E36" i="33"/>
  <c r="H34" i="33"/>
  <c r="D34" i="33"/>
  <c r="C34" i="33"/>
  <c r="H33" i="33"/>
  <c r="C33" i="33"/>
  <c r="B33" i="33"/>
  <c r="H32" i="33"/>
  <c r="H31" i="33"/>
  <c r="H30" i="33"/>
  <c r="H29" i="33"/>
  <c r="C29" i="33"/>
  <c r="H28" i="33"/>
  <c r="H27" i="33"/>
  <c r="H26" i="33"/>
  <c r="H25" i="33"/>
  <c r="H23" i="33"/>
  <c r="H22" i="33"/>
  <c r="H21" i="33"/>
  <c r="D21" i="33"/>
  <c r="C21" i="33"/>
  <c r="H20" i="33"/>
  <c r="H19" i="33"/>
  <c r="D19" i="33"/>
  <c r="C19" i="33"/>
  <c r="B19" i="33"/>
  <c r="I15" i="33"/>
  <c r="G15" i="33"/>
  <c r="F15" i="33"/>
  <c r="E15" i="33"/>
  <c r="H14" i="33"/>
  <c r="C14" i="33"/>
  <c r="B14" i="33"/>
  <c r="H13" i="33"/>
  <c r="H11" i="33"/>
  <c r="H10" i="33"/>
  <c r="H9" i="33"/>
  <c r="C9" i="33"/>
  <c r="H8" i="33"/>
  <c r="H6" i="33"/>
  <c r="D6" i="33"/>
  <c r="D15" i="33" s="1"/>
  <c r="C6" i="33"/>
  <c r="B6" i="33"/>
  <c r="B36" i="33" l="1"/>
  <c r="F38" i="33"/>
  <c r="F42" i="33" s="1"/>
  <c r="B15" i="33"/>
  <c r="C15" i="33"/>
  <c r="C36" i="33"/>
  <c r="H36" i="33"/>
  <c r="G38" i="33"/>
  <c r="G42" i="33" s="1"/>
  <c r="H15" i="33"/>
  <c r="D36" i="33"/>
  <c r="D38" i="33" s="1"/>
  <c r="D42" i="33" s="1"/>
  <c r="E38" i="33"/>
  <c r="E42" i="33" s="1"/>
  <c r="I36" i="33"/>
  <c r="I38" i="33"/>
  <c r="I42" i="33" s="1"/>
  <c r="B38" i="33"/>
  <c r="B42" i="33" s="1"/>
  <c r="I36" i="32"/>
  <c r="G36" i="32"/>
  <c r="F36" i="32"/>
  <c r="E36" i="32"/>
  <c r="H34" i="32"/>
  <c r="D34" i="32"/>
  <c r="C34" i="32"/>
  <c r="H33" i="32"/>
  <c r="C33" i="32"/>
  <c r="B33" i="32"/>
  <c r="H32" i="32"/>
  <c r="H31" i="32"/>
  <c r="H30" i="32"/>
  <c r="H29" i="32"/>
  <c r="C29" i="32"/>
  <c r="H28" i="32"/>
  <c r="H27" i="32"/>
  <c r="H26" i="32"/>
  <c r="H25" i="32"/>
  <c r="H23" i="32"/>
  <c r="H22" i="32"/>
  <c r="H21" i="32"/>
  <c r="D21" i="32"/>
  <c r="C21" i="32"/>
  <c r="H20" i="32"/>
  <c r="H19" i="32"/>
  <c r="D19" i="32"/>
  <c r="C19" i="32"/>
  <c r="B19" i="32"/>
  <c r="I15" i="32"/>
  <c r="G15" i="32"/>
  <c r="F15" i="32"/>
  <c r="E15" i="32"/>
  <c r="H14" i="32"/>
  <c r="C14" i="32"/>
  <c r="B14" i="32"/>
  <c r="H13" i="32"/>
  <c r="H11" i="32"/>
  <c r="H10" i="32"/>
  <c r="H9" i="32"/>
  <c r="C9" i="32"/>
  <c r="H8" i="32"/>
  <c r="H6" i="32"/>
  <c r="D6" i="32"/>
  <c r="D15" i="32" s="1"/>
  <c r="C6" i="32"/>
  <c r="B6" i="32"/>
  <c r="C38" i="33" l="1"/>
  <c r="C42" i="33" s="1"/>
  <c r="B36" i="32"/>
  <c r="F38" i="32"/>
  <c r="F42" i="32" s="1"/>
  <c r="B15" i="32"/>
  <c r="B38" i="32" s="1"/>
  <c r="B42" i="32" s="1"/>
  <c r="D36" i="32"/>
  <c r="D38" i="32" s="1"/>
  <c r="D42" i="32" s="1"/>
  <c r="C15" i="32"/>
  <c r="C36" i="32"/>
  <c r="G38" i="32"/>
  <c r="G42" i="32" s="1"/>
  <c r="H36" i="32"/>
  <c r="H15" i="32"/>
  <c r="E38" i="32"/>
  <c r="E42" i="32" s="1"/>
  <c r="H38" i="33"/>
  <c r="H42" i="33" s="1"/>
  <c r="I38" i="32"/>
  <c r="I42" i="32" s="1"/>
  <c r="K42" i="31"/>
  <c r="I36" i="31"/>
  <c r="G36" i="31"/>
  <c r="F36" i="31"/>
  <c r="E36" i="31"/>
  <c r="H34" i="31"/>
  <c r="D34" i="31"/>
  <c r="C34" i="31"/>
  <c r="H33" i="31"/>
  <c r="C33" i="31"/>
  <c r="B33" i="31"/>
  <c r="H32" i="31"/>
  <c r="H31" i="31"/>
  <c r="H30" i="31"/>
  <c r="H29" i="31"/>
  <c r="C29" i="31"/>
  <c r="H28" i="31"/>
  <c r="H27" i="31"/>
  <c r="H26" i="31"/>
  <c r="H25" i="31"/>
  <c r="H23" i="31"/>
  <c r="H22" i="31"/>
  <c r="H21" i="31"/>
  <c r="D21" i="31"/>
  <c r="C21" i="31"/>
  <c r="H20" i="31"/>
  <c r="H19" i="31"/>
  <c r="D19" i="31"/>
  <c r="C19" i="31"/>
  <c r="B19" i="31"/>
  <c r="I15" i="31"/>
  <c r="G15" i="31"/>
  <c r="F15" i="31"/>
  <c r="E15" i="31"/>
  <c r="H14" i="31"/>
  <c r="C14" i="31"/>
  <c r="B14" i="31"/>
  <c r="H13" i="31"/>
  <c r="H11" i="31"/>
  <c r="H10" i="31"/>
  <c r="H9" i="31"/>
  <c r="C9" i="31"/>
  <c r="H8" i="31"/>
  <c r="H6" i="31"/>
  <c r="D6" i="31"/>
  <c r="D15" i="31" s="1"/>
  <c r="C6" i="31"/>
  <c r="B6" i="31"/>
  <c r="C38" i="32" l="1"/>
  <c r="C42" i="32" s="1"/>
  <c r="C15" i="31"/>
  <c r="H38" i="32"/>
  <c r="H42" i="32" s="1"/>
  <c r="F38" i="31"/>
  <c r="F42" i="31" s="1"/>
  <c r="B15" i="31"/>
  <c r="I38" i="31"/>
  <c r="I42" i="31" s="1"/>
  <c r="H36" i="31"/>
  <c r="G38" i="31"/>
  <c r="G42" i="31" s="1"/>
  <c r="B36" i="31"/>
  <c r="E38" i="31"/>
  <c r="E42" i="31" s="1"/>
  <c r="H15" i="31"/>
  <c r="D36" i="31"/>
  <c r="D38" i="31" s="1"/>
  <c r="D42" i="31" s="1"/>
  <c r="C36" i="31"/>
  <c r="C38" i="31" s="1"/>
  <c r="C42" i="31" s="1"/>
  <c r="H13" i="28"/>
  <c r="H20" i="28"/>
  <c r="E30" i="30"/>
  <c r="E32" i="30" s="1"/>
  <c r="C30" i="30"/>
  <c r="C32" i="30" s="1"/>
  <c r="D29" i="30"/>
  <c r="D30" i="30" s="1"/>
  <c r="D32" i="30" s="1"/>
  <c r="E21" i="30"/>
  <c r="C21" i="30"/>
  <c r="D20" i="30"/>
  <c r="D21" i="30" s="1"/>
  <c r="C17" i="30"/>
  <c r="D16" i="30"/>
  <c r="D15" i="30"/>
  <c r="D14" i="30"/>
  <c r="D13" i="30"/>
  <c r="E12" i="30"/>
  <c r="E17" i="30" s="1"/>
  <c r="D12" i="30"/>
  <c r="D9" i="30"/>
  <c r="C9" i="30"/>
  <c r="E8" i="30"/>
  <c r="E9" i="30" s="1"/>
  <c r="L30" i="29"/>
  <c r="L29" i="29"/>
  <c r="L28" i="29"/>
  <c r="L27" i="29"/>
  <c r="J26" i="29"/>
  <c r="F26" i="29"/>
  <c r="J25" i="29"/>
  <c r="H25" i="29"/>
  <c r="F25" i="29"/>
  <c r="J24" i="29"/>
  <c r="H24" i="29"/>
  <c r="F24" i="29"/>
  <c r="J23" i="29"/>
  <c r="H23" i="29"/>
  <c r="F23" i="29"/>
  <c r="H22" i="29"/>
  <c r="F22" i="29"/>
  <c r="J21" i="29"/>
  <c r="H21" i="29"/>
  <c r="F21" i="29"/>
  <c r="L20" i="29"/>
  <c r="J20" i="29"/>
  <c r="H20" i="29"/>
  <c r="F20" i="29"/>
  <c r="J19" i="29"/>
  <c r="H19" i="29"/>
  <c r="F19" i="29"/>
  <c r="J18" i="29"/>
  <c r="H18" i="29"/>
  <c r="F18" i="29"/>
  <c r="J17" i="29"/>
  <c r="H17" i="29"/>
  <c r="F17" i="29"/>
  <c r="J16" i="29"/>
  <c r="H16" i="29"/>
  <c r="F16" i="29"/>
  <c r="H15" i="29"/>
  <c r="F15" i="29"/>
  <c r="B38" i="31" l="1"/>
  <c r="B42" i="31" s="1"/>
  <c r="F31" i="29"/>
  <c r="F32" i="29" s="1"/>
  <c r="E3" i="29" s="1"/>
  <c r="J31" i="29"/>
  <c r="J32" i="29" s="1"/>
  <c r="E4" i="29" s="1"/>
  <c r="H31" i="29"/>
  <c r="H32" i="29" s="1"/>
  <c r="E5" i="29" s="1"/>
  <c r="L31" i="29"/>
  <c r="L32" i="29" s="1"/>
  <c r="E6" i="29" s="1"/>
  <c r="H38" i="31"/>
  <c r="H42" i="31" s="1"/>
  <c r="E23" i="30"/>
  <c r="C23" i="30"/>
  <c r="D17" i="30"/>
  <c r="D23" i="30" l="1"/>
  <c r="H35" i="23"/>
  <c r="H18" i="23"/>
  <c r="H7" i="23" l="1"/>
  <c r="H4" i="23"/>
  <c r="H20" i="23"/>
  <c r="H19" i="23"/>
  <c r="H13" i="23"/>
  <c r="H36" i="23"/>
  <c r="H27" i="23"/>
  <c r="H11" i="23"/>
  <c r="H10" i="23"/>
  <c r="H38" i="23"/>
  <c r="H24" i="23"/>
  <c r="H32" i="23"/>
  <c r="H42" i="23"/>
  <c r="I28" i="23"/>
  <c r="H28" i="23"/>
  <c r="I41" i="23"/>
  <c r="H41" i="23"/>
  <c r="H17" i="23"/>
  <c r="I17" i="23"/>
  <c r="I6" i="23"/>
  <c r="H6" i="23"/>
  <c r="I37" i="23"/>
  <c r="H37" i="23"/>
  <c r="I3" i="23"/>
  <c r="H3" i="23"/>
  <c r="H22" i="28"/>
  <c r="H29" i="28"/>
  <c r="H8" i="28"/>
  <c r="H33" i="28"/>
  <c r="H28" i="28"/>
  <c r="J41" i="23" l="1"/>
  <c r="J17" i="23"/>
  <c r="J3" i="23"/>
  <c r="H25" i="28"/>
  <c r="H30" i="28"/>
  <c r="H14" i="28"/>
  <c r="H6" i="28"/>
  <c r="H31" i="28"/>
  <c r="H21" i="28"/>
  <c r="H26" i="28"/>
  <c r="H23" i="28"/>
  <c r="I54" i="28" l="1"/>
  <c r="J36" i="28"/>
  <c r="I36" i="28"/>
  <c r="G36" i="28"/>
  <c r="F36" i="28"/>
  <c r="E36" i="28"/>
  <c r="H34" i="28"/>
  <c r="D34" i="28"/>
  <c r="C34" i="28"/>
  <c r="C33" i="28"/>
  <c r="B33" i="28"/>
  <c r="H32" i="28"/>
  <c r="C29" i="28"/>
  <c r="H27" i="28"/>
  <c r="D21" i="28"/>
  <c r="C21" i="28"/>
  <c r="H19" i="28"/>
  <c r="D19" i="28"/>
  <c r="C19" i="28"/>
  <c r="B19" i="28"/>
  <c r="J15" i="28"/>
  <c r="J38" i="28" s="1"/>
  <c r="J42" i="28" s="1"/>
  <c r="I15" i="28"/>
  <c r="G15" i="28"/>
  <c r="F15" i="28"/>
  <c r="E15" i="28"/>
  <c r="C14" i="28"/>
  <c r="B14" i="28"/>
  <c r="H11" i="28"/>
  <c r="H10" i="28"/>
  <c r="H9" i="28"/>
  <c r="C9" i="28"/>
  <c r="D6" i="28"/>
  <c r="D15" i="28" s="1"/>
  <c r="C6" i="28"/>
  <c r="B6" i="28"/>
  <c r="G38" i="28" l="1"/>
  <c r="G42" i="28" s="1"/>
  <c r="B15" i="28"/>
  <c r="H36" i="28"/>
  <c r="H15" i="28"/>
  <c r="E38" i="28"/>
  <c r="E42" i="28" s="1"/>
  <c r="C15" i="28"/>
  <c r="B36" i="28"/>
  <c r="B38" i="28" s="1"/>
  <c r="B42" i="28" s="1"/>
  <c r="F38" i="28"/>
  <c r="F42" i="28" s="1"/>
  <c r="C36" i="28"/>
  <c r="D36" i="28"/>
  <c r="D38" i="28" s="1"/>
  <c r="D42" i="28" s="1"/>
  <c r="I38" i="28"/>
  <c r="I42" i="28" s="1"/>
  <c r="H38" i="28"/>
  <c r="H42" i="28" s="1"/>
  <c r="H21" i="27"/>
  <c r="H33" i="27"/>
  <c r="H28" i="27"/>
  <c r="H23" i="27"/>
  <c r="H10" i="27"/>
  <c r="H25" i="27"/>
  <c r="H9" i="27"/>
  <c r="H26" i="27"/>
  <c r="H32" i="27"/>
  <c r="I54" i="27"/>
  <c r="J36" i="27"/>
  <c r="I36" i="27"/>
  <c r="G36" i="27"/>
  <c r="F36" i="27"/>
  <c r="E36" i="27"/>
  <c r="H34" i="27"/>
  <c r="D34" i="27"/>
  <c r="C34" i="27"/>
  <c r="C33" i="27"/>
  <c r="B33" i="27"/>
  <c r="H30" i="27"/>
  <c r="H29" i="27"/>
  <c r="C29" i="27"/>
  <c r="H27" i="27"/>
  <c r="H22" i="27"/>
  <c r="D21" i="27"/>
  <c r="C21" i="27"/>
  <c r="H19" i="27"/>
  <c r="D19" i="27"/>
  <c r="C19" i="27"/>
  <c r="B19" i="27"/>
  <c r="J15" i="27"/>
  <c r="I15" i="27"/>
  <c r="G15" i="27"/>
  <c r="F15" i="27"/>
  <c r="E15" i="27"/>
  <c r="E38" i="27" s="1"/>
  <c r="E42" i="27" s="1"/>
  <c r="H14" i="27"/>
  <c r="C14" i="27"/>
  <c r="B14" i="27"/>
  <c r="H11" i="27"/>
  <c r="C9" i="27"/>
  <c r="H8" i="27"/>
  <c r="H6" i="27"/>
  <c r="D6" i="27"/>
  <c r="D15" i="27" s="1"/>
  <c r="C6" i="27"/>
  <c r="B6" i="27"/>
  <c r="B15" i="27" l="1"/>
  <c r="J38" i="27"/>
  <c r="J42" i="27" s="1"/>
  <c r="C15" i="27"/>
  <c r="F38" i="27"/>
  <c r="F42" i="27" s="1"/>
  <c r="C38" i="28"/>
  <c r="C42" i="28" s="1"/>
  <c r="B36" i="27"/>
  <c r="B38" i="27" s="1"/>
  <c r="B42" i="27" s="1"/>
  <c r="C36" i="27"/>
  <c r="C38" i="27" s="1"/>
  <c r="C42" i="27" s="1"/>
  <c r="D36" i="27"/>
  <c r="D38" i="27" s="1"/>
  <c r="D42" i="27" s="1"/>
  <c r="G38" i="27"/>
  <c r="G42" i="27" s="1"/>
  <c r="I38" i="27"/>
  <c r="I42" i="27" s="1"/>
  <c r="H15" i="27"/>
  <c r="H36" i="27"/>
  <c r="H26" i="26"/>
  <c r="H23" i="26"/>
  <c r="H32" i="26"/>
  <c r="H33" i="26"/>
  <c r="H8" i="26"/>
  <c r="I54" i="26"/>
  <c r="J36" i="26"/>
  <c r="I36" i="26"/>
  <c r="G36" i="26"/>
  <c r="F36" i="26"/>
  <c r="E36" i="26"/>
  <c r="H34" i="26"/>
  <c r="D34" i="26"/>
  <c r="C34" i="26"/>
  <c r="C33" i="26"/>
  <c r="B33" i="26"/>
  <c r="H30" i="26"/>
  <c r="H29" i="26"/>
  <c r="C29" i="26"/>
  <c r="H28" i="26"/>
  <c r="H27" i="26"/>
  <c r="H25" i="26"/>
  <c r="H22" i="26"/>
  <c r="H21" i="26"/>
  <c r="D21" i="26"/>
  <c r="C21" i="26"/>
  <c r="H19" i="26"/>
  <c r="D19" i="26"/>
  <c r="C19" i="26"/>
  <c r="B19" i="26"/>
  <c r="J15" i="26"/>
  <c r="I15" i="26"/>
  <c r="G15" i="26"/>
  <c r="F15" i="26"/>
  <c r="E15" i="26"/>
  <c r="H14" i="26"/>
  <c r="C14" i="26"/>
  <c r="B14" i="26"/>
  <c r="H11" i="26"/>
  <c r="H10" i="26"/>
  <c r="C9" i="26"/>
  <c r="H6" i="26"/>
  <c r="D6" i="26"/>
  <c r="D15" i="26" s="1"/>
  <c r="C6" i="26"/>
  <c r="B6" i="26"/>
  <c r="B15" i="26" l="1"/>
  <c r="B36" i="26"/>
  <c r="B38" i="26" s="1"/>
  <c r="B42" i="26" s="1"/>
  <c r="E38" i="26"/>
  <c r="E42" i="26" s="1"/>
  <c r="C15" i="26"/>
  <c r="D36" i="26"/>
  <c r="D38" i="26" s="1"/>
  <c r="D42" i="26" s="1"/>
  <c r="G38" i="26"/>
  <c r="G42" i="26" s="1"/>
  <c r="C36" i="26"/>
  <c r="F38" i="26"/>
  <c r="F42" i="26" s="1"/>
  <c r="J38" i="26"/>
  <c r="J42" i="26" s="1"/>
  <c r="H38" i="27"/>
  <c r="H42" i="27" s="1"/>
  <c r="I38" i="26"/>
  <c r="I42" i="26" s="1"/>
  <c r="H36" i="26"/>
  <c r="H15" i="26"/>
  <c r="H32" i="25"/>
  <c r="C38" i="26" l="1"/>
  <c r="C42" i="26" s="1"/>
  <c r="H38" i="26"/>
  <c r="H42" i="26" s="1"/>
  <c r="H6" i="25"/>
  <c r="H23" i="25"/>
  <c r="H8" i="25"/>
  <c r="H26" i="25"/>
  <c r="H33" i="25"/>
  <c r="H22" i="25"/>
  <c r="H34" i="25"/>
  <c r="I54" i="25"/>
  <c r="J36" i="25"/>
  <c r="I36" i="25"/>
  <c r="G36" i="25"/>
  <c r="F36" i="25"/>
  <c r="E36" i="25"/>
  <c r="D34" i="25"/>
  <c r="C34" i="25"/>
  <c r="C33" i="25"/>
  <c r="B33" i="25"/>
  <c r="H30" i="25"/>
  <c r="H29" i="25"/>
  <c r="C29" i="25"/>
  <c r="H28" i="25"/>
  <c r="H27" i="25"/>
  <c r="H25" i="25"/>
  <c r="H21" i="25"/>
  <c r="D21" i="25"/>
  <c r="C21" i="25"/>
  <c r="H19" i="25"/>
  <c r="D19" i="25"/>
  <c r="C19" i="25"/>
  <c r="B19" i="25"/>
  <c r="J15" i="25"/>
  <c r="I15" i="25"/>
  <c r="G15" i="25"/>
  <c r="F15" i="25"/>
  <c r="E15" i="25"/>
  <c r="H14" i="25"/>
  <c r="C14" i="25"/>
  <c r="B14" i="25"/>
  <c r="H11" i="25"/>
  <c r="H10" i="25"/>
  <c r="C9" i="25"/>
  <c r="D6" i="25"/>
  <c r="D15" i="25" s="1"/>
  <c r="C6" i="25"/>
  <c r="B6" i="25"/>
  <c r="C15" i="25" l="1"/>
  <c r="G38" i="25"/>
  <c r="G42" i="25" s="1"/>
  <c r="E38" i="25"/>
  <c r="E42" i="25" s="1"/>
  <c r="B15" i="25"/>
  <c r="H15" i="25"/>
  <c r="C36" i="25"/>
  <c r="F38" i="25"/>
  <c r="F42" i="25" s="1"/>
  <c r="D36" i="25"/>
  <c r="D38" i="25" s="1"/>
  <c r="D42" i="25" s="1"/>
  <c r="B36" i="25"/>
  <c r="J38" i="25"/>
  <c r="J42" i="25" s="1"/>
  <c r="I38" i="25"/>
  <c r="I42" i="25" s="1"/>
  <c r="H36" i="25"/>
  <c r="C38" i="25" l="1"/>
  <c r="C42" i="25" s="1"/>
  <c r="B38" i="25"/>
  <c r="B42" i="25" s="1"/>
  <c r="H38" i="25"/>
  <c r="H42" i="25" s="1"/>
  <c r="H34" i="24"/>
  <c r="H33" i="24"/>
  <c r="H28" i="24"/>
  <c r="H29" i="24"/>
  <c r="H8" i="24"/>
  <c r="H22" i="24"/>
  <c r="H26" i="24"/>
  <c r="H23" i="24"/>
  <c r="H32" i="24"/>
  <c r="H25" i="24"/>
  <c r="H27" i="24"/>
  <c r="H6" i="24"/>
  <c r="I54" i="24" l="1"/>
  <c r="J36" i="24"/>
  <c r="I36" i="24"/>
  <c r="G36" i="24"/>
  <c r="F36" i="24"/>
  <c r="E36" i="24"/>
  <c r="D34" i="24"/>
  <c r="C34" i="24"/>
  <c r="C33" i="24"/>
  <c r="B33" i="24"/>
  <c r="H30" i="24"/>
  <c r="C29" i="24"/>
  <c r="H21" i="24"/>
  <c r="D21" i="24"/>
  <c r="C21" i="24"/>
  <c r="H19" i="24"/>
  <c r="D19" i="24"/>
  <c r="C19" i="24"/>
  <c r="B19" i="24"/>
  <c r="J15" i="24"/>
  <c r="I15" i="24"/>
  <c r="G15" i="24"/>
  <c r="F15" i="24"/>
  <c r="E15" i="24"/>
  <c r="H14" i="24"/>
  <c r="C14" i="24"/>
  <c r="B14" i="24"/>
  <c r="H11" i="24"/>
  <c r="H10" i="24"/>
  <c r="C9" i="24"/>
  <c r="D6" i="24"/>
  <c r="D15" i="24" s="1"/>
  <c r="C6" i="24"/>
  <c r="B6" i="24"/>
  <c r="H36" i="24" l="1"/>
  <c r="J38" i="24"/>
  <c r="J42" i="24" s="1"/>
  <c r="C15" i="24"/>
  <c r="B15" i="24"/>
  <c r="G38" i="24"/>
  <c r="G42" i="24" s="1"/>
  <c r="C36" i="24"/>
  <c r="C38" i="24" s="1"/>
  <c r="C42" i="24" s="1"/>
  <c r="D36" i="24"/>
  <c r="D38" i="24" s="1"/>
  <c r="D42" i="24" s="1"/>
  <c r="H15" i="24"/>
  <c r="E38" i="24"/>
  <c r="E42" i="24" s="1"/>
  <c r="F38" i="24"/>
  <c r="F42" i="24" s="1"/>
  <c r="B36" i="24"/>
  <c r="I38" i="24"/>
  <c r="I42" i="24" s="1"/>
  <c r="H43" i="23"/>
  <c r="I43" i="23"/>
  <c r="J27" i="23"/>
  <c r="H33" i="23"/>
  <c r="I8" i="23"/>
  <c r="H8" i="23"/>
  <c r="J37" i="23"/>
  <c r="I9" i="23"/>
  <c r="H9" i="23"/>
  <c r="I22" i="23"/>
  <c r="H22" i="23"/>
  <c r="I31" i="23"/>
  <c r="H31" i="23"/>
  <c r="I29" i="23"/>
  <c r="H29" i="23"/>
  <c r="H5" i="23"/>
  <c r="H26" i="23"/>
  <c r="H23" i="23"/>
  <c r="H30" i="23"/>
  <c r="J30" i="23" s="1"/>
  <c r="J36" i="23"/>
  <c r="J4" i="23"/>
  <c r="J7" i="23"/>
  <c r="H34" i="23"/>
  <c r="J34" i="23" s="1"/>
  <c r="J24" i="23"/>
  <c r="H16" i="23"/>
  <c r="J16" i="23" s="1"/>
  <c r="H25" i="23"/>
  <c r="J32" i="23"/>
  <c r="J11" i="23"/>
  <c r="J18" i="23"/>
  <c r="J13" i="23"/>
  <c r="J19" i="23"/>
  <c r="J38" i="23"/>
  <c r="J10" i="23"/>
  <c r="J42" i="23"/>
  <c r="J20" i="23"/>
  <c r="B38" i="24" l="1"/>
  <c r="B42" i="24" s="1"/>
  <c r="H38" i="24"/>
  <c r="H42" i="24" s="1"/>
  <c r="I44" i="23"/>
  <c r="J25" i="23"/>
  <c r="J23" i="23"/>
  <c r="J35" i="23"/>
  <c r="J33" i="23"/>
  <c r="H44" i="23"/>
  <c r="J31" i="23"/>
  <c r="J43" i="23"/>
  <c r="J60" i="23"/>
  <c r="J59" i="23"/>
  <c r="J58" i="23"/>
  <c r="J26" i="23"/>
  <c r="J57" i="23"/>
  <c r="J56" i="23"/>
  <c r="J55" i="23"/>
  <c r="J54" i="23"/>
  <c r="J52" i="23"/>
  <c r="J51" i="23"/>
  <c r="J50" i="23"/>
  <c r="J6" i="23"/>
  <c r="J49" i="23"/>
  <c r="J48" i="23"/>
  <c r="J8" i="23" l="1"/>
  <c r="J9" i="23"/>
  <c r="J53" i="23"/>
  <c r="J22" i="23"/>
  <c r="J28" i="23"/>
  <c r="J29" i="23"/>
  <c r="J5" i="23"/>
  <c r="H11" i="22"/>
  <c r="H30" i="22"/>
  <c r="H8" i="22"/>
  <c r="H33" i="22"/>
  <c r="H26" i="22"/>
  <c r="H14" i="22"/>
  <c r="H6" i="22"/>
  <c r="H28" i="22"/>
  <c r="I54" i="22"/>
  <c r="J36" i="22"/>
  <c r="I36" i="22"/>
  <c r="G36" i="22"/>
  <c r="F36" i="22"/>
  <c r="E36" i="22"/>
  <c r="D34" i="22"/>
  <c r="C34" i="22"/>
  <c r="C33" i="22"/>
  <c r="B33" i="22"/>
  <c r="H32" i="22"/>
  <c r="H29" i="22"/>
  <c r="C29" i="22"/>
  <c r="H25" i="22"/>
  <c r="H23" i="22"/>
  <c r="H22" i="22"/>
  <c r="H21" i="22"/>
  <c r="D21" i="22"/>
  <c r="C21" i="22"/>
  <c r="H19" i="22"/>
  <c r="D19" i="22"/>
  <c r="C19" i="22"/>
  <c r="B19" i="22"/>
  <c r="J15" i="22"/>
  <c r="J38" i="22" s="1"/>
  <c r="J42" i="22" s="1"/>
  <c r="I15" i="22"/>
  <c r="G15" i="22"/>
  <c r="F15" i="22"/>
  <c r="E15" i="22"/>
  <c r="C14" i="22"/>
  <c r="B14" i="22"/>
  <c r="H10" i="22"/>
  <c r="C9" i="22"/>
  <c r="D6" i="22"/>
  <c r="D15" i="22" s="1"/>
  <c r="C6" i="22"/>
  <c r="B6" i="22"/>
  <c r="B36" i="22" l="1"/>
  <c r="G38" i="22"/>
  <c r="G42" i="22" s="1"/>
  <c r="C15" i="22"/>
  <c r="B15" i="22"/>
  <c r="C36" i="22"/>
  <c r="D36" i="22"/>
  <c r="D38" i="22" s="1"/>
  <c r="D42" i="22" s="1"/>
  <c r="H15" i="22"/>
  <c r="E38" i="22"/>
  <c r="E42" i="22" s="1"/>
  <c r="F38" i="22"/>
  <c r="F42" i="22" s="1"/>
  <c r="J44" i="23"/>
  <c r="I38" i="22"/>
  <c r="I42" i="22" s="1"/>
  <c r="H36" i="22"/>
  <c r="H8" i="21"/>
  <c r="H26" i="21"/>
  <c r="H33" i="21"/>
  <c r="H11" i="21"/>
  <c r="H29" i="21"/>
  <c r="H10" i="21"/>
  <c r="H23" i="21"/>
  <c r="H22" i="21"/>
  <c r="H32" i="21"/>
  <c r="H25" i="21"/>
  <c r="H14" i="21"/>
  <c r="H6" i="21"/>
  <c r="H21" i="21"/>
  <c r="H19" i="21"/>
  <c r="G15" i="21"/>
  <c r="G36" i="21"/>
  <c r="J36" i="21"/>
  <c r="J15" i="21"/>
  <c r="J38" i="21" l="1"/>
  <c r="J42" i="21" s="1"/>
  <c r="H38" i="22"/>
  <c r="H42" i="22" s="1"/>
  <c r="B38" i="22"/>
  <c r="B42" i="22" s="1"/>
  <c r="G38" i="21"/>
  <c r="G42" i="21" s="1"/>
  <c r="C38" i="22"/>
  <c r="C42" i="22" s="1"/>
  <c r="I54" i="21"/>
  <c r="F36" i="21"/>
  <c r="E36" i="21"/>
  <c r="D34" i="21"/>
  <c r="C34" i="21"/>
  <c r="C33" i="21"/>
  <c r="B33" i="21"/>
  <c r="C29" i="21"/>
  <c r="D21" i="21"/>
  <c r="C21" i="21"/>
  <c r="D19" i="21"/>
  <c r="C19" i="21"/>
  <c r="B19" i="21"/>
  <c r="F15" i="21"/>
  <c r="E15" i="21"/>
  <c r="C14" i="21"/>
  <c r="B14" i="21"/>
  <c r="C9" i="21"/>
  <c r="D6" i="21"/>
  <c r="D15" i="21" s="1"/>
  <c r="C6" i="21"/>
  <c r="B6" i="21"/>
  <c r="B15" i="21" l="1"/>
  <c r="H15" i="21"/>
  <c r="C36" i="21"/>
  <c r="D36" i="21"/>
  <c r="D38" i="21" s="1"/>
  <c r="D42" i="21" s="1"/>
  <c r="E38" i="21"/>
  <c r="E42" i="21" s="1"/>
  <c r="F38" i="21"/>
  <c r="F42" i="21" s="1"/>
  <c r="H36" i="21"/>
  <c r="C15" i="21"/>
  <c r="C38" i="21" s="1"/>
  <c r="C42" i="21" s="1"/>
  <c r="B36" i="21"/>
  <c r="B38" i="21" s="1"/>
  <c r="B42" i="21" s="1"/>
  <c r="I15" i="21"/>
  <c r="I36" i="21"/>
  <c r="H15" i="19"/>
  <c r="G36" i="19"/>
  <c r="G15" i="19"/>
  <c r="F36" i="19"/>
  <c r="F15" i="19"/>
  <c r="H36" i="19"/>
  <c r="E36" i="19"/>
  <c r="D34" i="19"/>
  <c r="C34" i="19"/>
  <c r="C33" i="19"/>
  <c r="B33" i="19"/>
  <c r="C29" i="19"/>
  <c r="D21" i="19"/>
  <c r="C21" i="19"/>
  <c r="D19" i="19"/>
  <c r="C19" i="19"/>
  <c r="B19" i="19"/>
  <c r="E15" i="19"/>
  <c r="C14" i="19"/>
  <c r="B14" i="19"/>
  <c r="C9" i="19"/>
  <c r="D6" i="19"/>
  <c r="D15" i="19" s="1"/>
  <c r="C6" i="19"/>
  <c r="B6" i="19"/>
  <c r="E12" i="18"/>
  <c r="D13" i="18"/>
  <c r="G7" i="17"/>
  <c r="G22" i="17"/>
  <c r="G8" i="17"/>
  <c r="G11" i="17"/>
  <c r="G33" i="17"/>
  <c r="G35" i="17"/>
  <c r="G9" i="17"/>
  <c r="H35" i="17"/>
  <c r="G38" i="19" l="1"/>
  <c r="G42" i="19" s="1"/>
  <c r="H38" i="21"/>
  <c r="H42" i="21" s="1"/>
  <c r="I38" i="21"/>
  <c r="I42" i="21" s="1"/>
  <c r="H38" i="19"/>
  <c r="H42" i="19" s="1"/>
  <c r="B36" i="19"/>
  <c r="F38" i="19"/>
  <c r="F42" i="19" s="1"/>
  <c r="B15" i="19"/>
  <c r="C36" i="19"/>
  <c r="C15" i="19"/>
  <c r="D36" i="19"/>
  <c r="E38" i="19"/>
  <c r="E42" i="19" s="1"/>
  <c r="D38" i="19"/>
  <c r="D42" i="19" s="1"/>
  <c r="I54" i="17"/>
  <c r="E30" i="18"/>
  <c r="E32" i="18" s="1"/>
  <c r="C30" i="18"/>
  <c r="C32" i="18" s="1"/>
  <c r="D29" i="18"/>
  <c r="D30" i="18" s="1"/>
  <c r="D32" i="18" s="1"/>
  <c r="E21" i="18"/>
  <c r="C21" i="18"/>
  <c r="D20" i="18"/>
  <c r="D21" i="18" s="1"/>
  <c r="C17" i="18"/>
  <c r="D16" i="18"/>
  <c r="D15" i="18"/>
  <c r="D14" i="18"/>
  <c r="D12" i="18"/>
  <c r="D9" i="18"/>
  <c r="C9" i="18"/>
  <c r="E8" i="18"/>
  <c r="E9" i="18" s="1"/>
  <c r="D17" i="18" l="1"/>
  <c r="C38" i="19"/>
  <c r="C42" i="19" s="1"/>
  <c r="B38" i="19"/>
  <c r="B42" i="19" s="1"/>
  <c r="C23" i="18"/>
  <c r="E17" i="18"/>
  <c r="E23" i="18" s="1"/>
  <c r="H33" i="17"/>
  <c r="G23" i="17"/>
  <c r="G10" i="17"/>
  <c r="G32" i="17"/>
  <c r="H32" i="17"/>
  <c r="G29" i="17"/>
  <c r="G6" i="17"/>
  <c r="D23" i="18" l="1"/>
  <c r="I40" i="17"/>
  <c r="I35" i="17"/>
  <c r="I33" i="17"/>
  <c r="I32" i="17"/>
  <c r="I31" i="17"/>
  <c r="I29" i="17"/>
  <c r="I27" i="17"/>
  <c r="I24" i="17"/>
  <c r="I23" i="17"/>
  <c r="I22" i="17"/>
  <c r="I20" i="17"/>
  <c r="I18" i="17"/>
  <c r="I14" i="17"/>
  <c r="I13" i="17"/>
  <c r="I12" i="17"/>
  <c r="I11" i="17"/>
  <c r="I10" i="17"/>
  <c r="I9" i="17"/>
  <c r="I8" i="17"/>
  <c r="I7" i="17"/>
  <c r="I6" i="17"/>
  <c r="H36" i="17"/>
  <c r="H15" i="17"/>
  <c r="J42" i="17"/>
  <c r="J36" i="17"/>
  <c r="F36" i="17"/>
  <c r="E36" i="17"/>
  <c r="G34" i="17"/>
  <c r="I34" i="17" s="1"/>
  <c r="D34" i="17"/>
  <c r="C34" i="17"/>
  <c r="C33" i="17"/>
  <c r="B33" i="17"/>
  <c r="G30" i="17"/>
  <c r="I30" i="17" s="1"/>
  <c r="C29" i="17"/>
  <c r="G28" i="17"/>
  <c r="I28" i="17" s="1"/>
  <c r="G26" i="17"/>
  <c r="I26" i="17" s="1"/>
  <c r="G25" i="17"/>
  <c r="I25" i="17" s="1"/>
  <c r="G21" i="17"/>
  <c r="I21" i="17" s="1"/>
  <c r="D21" i="17"/>
  <c r="C21" i="17"/>
  <c r="G19" i="17"/>
  <c r="D19" i="17"/>
  <c r="C19" i="17"/>
  <c r="B19" i="17"/>
  <c r="B36" i="17" s="1"/>
  <c r="F15" i="17"/>
  <c r="E15" i="17"/>
  <c r="C14" i="17"/>
  <c r="B14" i="17"/>
  <c r="C9" i="17"/>
  <c r="G15" i="17"/>
  <c r="D6" i="17"/>
  <c r="D15" i="17" s="1"/>
  <c r="C6" i="17"/>
  <c r="B6" i="17"/>
  <c r="D36" i="17" l="1"/>
  <c r="D38" i="17" s="1"/>
  <c r="D42" i="17" s="1"/>
  <c r="B15" i="17"/>
  <c r="F38" i="17"/>
  <c r="F42" i="17" s="1"/>
  <c r="G36" i="17"/>
  <c r="G38" i="17" s="1"/>
  <c r="G42" i="17" s="1"/>
  <c r="C15" i="17"/>
  <c r="C36" i="17"/>
  <c r="E38" i="17"/>
  <c r="E42" i="17" s="1"/>
  <c r="I19" i="17"/>
  <c r="I36" i="17" s="1"/>
  <c r="H38" i="17"/>
  <c r="H42" i="17" s="1"/>
  <c r="I15" i="17"/>
  <c r="B38" i="17"/>
  <c r="B42" i="17" s="1"/>
  <c r="C38" i="17" l="1"/>
  <c r="C42" i="17" s="1"/>
  <c r="I38" i="17"/>
  <c r="I42" i="17" s="1"/>
  <c r="I16" i="13" l="1"/>
  <c r="H16" i="13"/>
  <c r="H12" i="13"/>
  <c r="H2" i="13"/>
  <c r="H17" i="13"/>
  <c r="H7" i="13"/>
  <c r="J7" i="13" s="1"/>
  <c r="H6" i="13"/>
  <c r="H4" i="13"/>
  <c r="I18" i="13"/>
  <c r="H18" i="13"/>
  <c r="J18" i="13" s="1"/>
  <c r="J19" i="13"/>
  <c r="I6" i="13"/>
  <c r="H11" i="13"/>
  <c r="I11" i="13"/>
  <c r="H23" i="13" l="1"/>
  <c r="J23" i="13" s="1"/>
  <c r="I9" i="13"/>
  <c r="H9" i="13"/>
  <c r="H5" i="13"/>
  <c r="J5" i="13" s="1"/>
  <c r="I20" i="13"/>
  <c r="H20" i="13"/>
  <c r="H10" i="13"/>
  <c r="J10" i="13" s="1"/>
  <c r="H22" i="13"/>
  <c r="J22" i="13" s="1"/>
  <c r="H8" i="13"/>
  <c r="J8" i="13" s="1"/>
  <c r="H14" i="13"/>
  <c r="J14" i="13" s="1"/>
  <c r="H13" i="13"/>
  <c r="J13" i="13" s="1"/>
  <c r="H21" i="13"/>
  <c r="J21" i="13" s="1"/>
  <c r="J4" i="13"/>
  <c r="H15" i="13"/>
  <c r="J15" i="13" s="1"/>
  <c r="H3" i="13"/>
  <c r="J3" i="13" s="1"/>
  <c r="J12" i="13"/>
  <c r="J17" i="13"/>
  <c r="J11" i="13"/>
  <c r="J31" i="12"/>
  <c r="J30" i="12"/>
  <c r="J29" i="12"/>
  <c r="J28" i="12"/>
  <c r="H27" i="12"/>
  <c r="J27" i="12" s="1"/>
  <c r="H26" i="12"/>
  <c r="J26" i="12" s="1"/>
  <c r="I25" i="12"/>
  <c r="H25" i="12"/>
  <c r="J25" i="12" s="1"/>
  <c r="J24" i="12"/>
  <c r="J23" i="12"/>
  <c r="J22" i="12"/>
  <c r="H21" i="12"/>
  <c r="J21" i="12" s="1"/>
  <c r="I20" i="12"/>
  <c r="H20" i="12"/>
  <c r="J20" i="12" s="1"/>
  <c r="J19" i="12"/>
  <c r="J18" i="12"/>
  <c r="J17" i="12"/>
  <c r="J16" i="12"/>
  <c r="H15" i="12"/>
  <c r="J15" i="12" s="1"/>
  <c r="J14" i="12"/>
  <c r="J13" i="12"/>
  <c r="H12" i="12"/>
  <c r="J12" i="12" s="1"/>
  <c r="J11" i="12"/>
  <c r="J10" i="12"/>
  <c r="J9" i="12"/>
  <c r="I8" i="12"/>
  <c r="H8" i="12"/>
  <c r="J7" i="12"/>
  <c r="J6" i="12"/>
  <c r="J5" i="12"/>
  <c r="J4" i="12"/>
  <c r="J3" i="12"/>
  <c r="J2" i="12"/>
  <c r="J8" i="12" l="1"/>
  <c r="I24" i="13"/>
  <c r="H24" i="13"/>
  <c r="J16" i="13"/>
  <c r="J2" i="13"/>
  <c r="J9" i="13"/>
  <c r="J6" i="13"/>
  <c r="J20" i="13"/>
  <c r="J24" i="13" l="1"/>
  <c r="C33" i="7" l="1"/>
  <c r="D32" i="7"/>
  <c r="D21" i="7"/>
  <c r="E14" i="6"/>
  <c r="D14" i="6" s="1"/>
  <c r="C18" i="6"/>
  <c r="C22" i="6" s="1"/>
  <c r="D17" i="6"/>
  <c r="D16" i="6"/>
  <c r="D15" i="6"/>
  <c r="E8" i="6"/>
  <c r="G5" i="3"/>
  <c r="E18" i="6" l="1"/>
  <c r="D33" i="7"/>
  <c r="C35" i="7"/>
  <c r="E22" i="6"/>
  <c r="D18" i="6"/>
  <c r="D22" i="6" s="1"/>
  <c r="F23" i="3"/>
  <c r="F28" i="3"/>
  <c r="F7" i="3"/>
  <c r="F5" i="3"/>
  <c r="G20" i="3"/>
  <c r="G15" i="3"/>
  <c r="F3" i="3"/>
  <c r="G3" i="3"/>
  <c r="F4" i="3"/>
  <c r="G4" i="3"/>
  <c r="F6" i="3"/>
  <c r="G6" i="3"/>
  <c r="G7" i="3"/>
  <c r="F8" i="3"/>
  <c r="G8" i="3"/>
  <c r="F9" i="3"/>
  <c r="G9" i="3"/>
  <c r="F10" i="3"/>
  <c r="G10" i="3"/>
  <c r="F11" i="3"/>
  <c r="G11" i="3"/>
  <c r="F15" i="3"/>
  <c r="F16" i="3"/>
  <c r="G16" i="3"/>
  <c r="F17" i="3"/>
  <c r="G17" i="3"/>
  <c r="F18" i="3"/>
  <c r="G18" i="3"/>
  <c r="F19" i="3"/>
  <c r="G19" i="3"/>
  <c r="F20" i="3"/>
  <c r="F21" i="3"/>
  <c r="G21" i="3"/>
  <c r="F22" i="3"/>
  <c r="G22" i="3"/>
  <c r="F24" i="3"/>
  <c r="G24" i="3"/>
  <c r="F25" i="3"/>
  <c r="G25" i="3"/>
  <c r="F26" i="3"/>
  <c r="G26" i="3"/>
  <c r="F27" i="3"/>
  <c r="G28" i="3"/>
  <c r="F29" i="3"/>
  <c r="G29" i="3"/>
  <c r="F30" i="3"/>
  <c r="G30" i="3"/>
  <c r="F35" i="3"/>
  <c r="G35" i="3"/>
  <c r="G1" i="3"/>
  <c r="F1" i="3"/>
  <c r="L31" i="3"/>
  <c r="M30" i="3"/>
  <c r="G27" i="3" s="1"/>
  <c r="M19" i="3"/>
  <c r="M31" i="3" s="1"/>
  <c r="C29" i="2"/>
  <c r="C12" i="2"/>
  <c r="D31" i="3"/>
  <c r="C31" i="3"/>
  <c r="C33" i="3" s="1"/>
  <c r="C37" i="3" s="1"/>
  <c r="B31" i="3"/>
  <c r="D12" i="3"/>
  <c r="C12" i="3"/>
  <c r="B12" i="3"/>
  <c r="D33" i="3" l="1"/>
  <c r="D37" i="3" s="1"/>
  <c r="L33" i="3"/>
  <c r="G12" i="3"/>
  <c r="G23" i="3"/>
  <c r="G31" i="3" s="1"/>
  <c r="G33" i="3" s="1"/>
  <c r="G37" i="3" s="1"/>
  <c r="F31" i="3"/>
  <c r="F12" i="3"/>
  <c r="B33" i="3"/>
  <c r="B37" i="3" s="1"/>
  <c r="C31" i="2"/>
  <c r="C35" i="2" s="1"/>
  <c r="D12" i="44"/>
  <c r="D16" i="44" s="1"/>
  <c r="E16" i="44"/>
  <c r="E22" i="44" s="1"/>
  <c r="D22" i="44" s="1"/>
  <c r="F33" i="3" l="1"/>
  <c r="F37" i="3" s="1"/>
</calcChain>
</file>

<file path=xl/sharedStrings.xml><?xml version="1.0" encoding="utf-8"?>
<sst xmlns="http://schemas.openxmlformats.org/spreadsheetml/2006/main" count="18976" uniqueCount="2915">
  <si>
    <t>Ing saldo</t>
  </si>
  <si>
    <t>förändring</t>
  </si>
  <si>
    <t>Utg saldo</t>
  </si>
  <si>
    <t>Tillgångar</t>
  </si>
  <si>
    <t>Materiella anläggningstillgångar</t>
  </si>
  <si>
    <t>Inventarier</t>
  </si>
  <si>
    <t>Ackumulerade avskrivningar på Inventarier</t>
  </si>
  <si>
    <t>Summa Materiella anläggningstillgångar</t>
  </si>
  <si>
    <t>Eget kapital</t>
  </si>
  <si>
    <t>Kassa och bank</t>
  </si>
  <si>
    <t>Kassa</t>
  </si>
  <si>
    <t>plusgiro</t>
  </si>
  <si>
    <t>Bank Företagskonto</t>
  </si>
  <si>
    <t>Bank Sparkapitalkonto</t>
  </si>
  <si>
    <t>Summa Kassa och bank</t>
  </si>
  <si>
    <t>Summa TILLGÅNGAR</t>
  </si>
  <si>
    <t>2013 Budget</t>
  </si>
  <si>
    <t>2012 res</t>
  </si>
  <si>
    <t>2011 res</t>
  </si>
  <si>
    <t>Intäkter</t>
  </si>
  <si>
    <t>Aktivitetsstöd</t>
  </si>
  <si>
    <t>Deltagaravgifter</t>
  </si>
  <si>
    <t>Spelaravgift</t>
  </si>
  <si>
    <t>Cafeteriaintäkter</t>
  </si>
  <si>
    <t>Sponsring</t>
  </si>
  <si>
    <t>Utb bidrag</t>
  </si>
  <si>
    <t>Anmälan</t>
  </si>
  <si>
    <t>Sparränta</t>
  </si>
  <si>
    <t>Övr</t>
  </si>
  <si>
    <t>Intäkter Summa</t>
  </si>
  <si>
    <t>Utgifter</t>
  </si>
  <si>
    <t>reseersättning</t>
  </si>
  <si>
    <t>Årsavgifter</t>
  </si>
  <si>
    <t>Skatt</t>
  </si>
  <si>
    <t>Div</t>
  </si>
  <si>
    <t>Spelarutbildning</t>
  </si>
  <si>
    <t>Cupanmälan</t>
  </si>
  <si>
    <t>Bidrag lagaktivitet</t>
  </si>
  <si>
    <t>Ledarutbildning</t>
  </si>
  <si>
    <t>Domararvode</t>
  </si>
  <si>
    <t>Domarutbildning</t>
  </si>
  <si>
    <t>Cafeteriainköp</t>
  </si>
  <si>
    <t>Serianmälan</t>
  </si>
  <si>
    <t>Licensavgift</t>
  </si>
  <si>
    <t>Ledararvode</t>
  </si>
  <si>
    <t>Planhyra</t>
  </si>
  <si>
    <t>Material</t>
  </si>
  <si>
    <t>Utgifter Summa</t>
  </si>
  <si>
    <t>Totalt</t>
  </si>
  <si>
    <t>Avskrivn fotbplan</t>
  </si>
  <si>
    <t>Resultat före avskr</t>
  </si>
  <si>
    <t>Resultat</t>
  </si>
  <si>
    <t>Spelaravgifter</t>
  </si>
  <si>
    <t>ST-cupen</t>
  </si>
  <si>
    <t>Skyltar mm</t>
  </si>
  <si>
    <t>Choklad</t>
  </si>
  <si>
    <t>Reseersättning</t>
  </si>
  <si>
    <t>Bonus Intersport</t>
  </si>
  <si>
    <t>?</t>
  </si>
  <si>
    <t>Johan Woldén</t>
  </si>
  <si>
    <t>Domarersättningar</t>
  </si>
  <si>
    <t>Ledarersättningar</t>
  </si>
  <si>
    <t>Jakob Maximurad 27/8</t>
  </si>
  <si>
    <t>Gabriek Ünesi 24/8</t>
  </si>
  <si>
    <t>Jakob Maximurad 3/9</t>
  </si>
  <si>
    <t>Tävlingar</t>
  </si>
  <si>
    <t>Hugo Wennström 13/9</t>
  </si>
  <si>
    <t>Serie</t>
  </si>
  <si>
    <t>Hugo Wennström 10/9</t>
  </si>
  <si>
    <t>DM + cuper</t>
  </si>
  <si>
    <t>Aslan Aslan 24/9</t>
  </si>
  <si>
    <t>Adli Assali 28/6</t>
  </si>
  <si>
    <t>Gabriel Rubio 27/4</t>
  </si>
  <si>
    <t>Spelarövergångar</t>
  </si>
  <si>
    <t>Matz Sahlström</t>
  </si>
  <si>
    <t>Gustav Widuss</t>
  </si>
  <si>
    <t>Axel Lundqvist</t>
  </si>
  <si>
    <t>Greger Lexell</t>
  </si>
  <si>
    <t>Tito Fiori</t>
  </si>
  <si>
    <t>Alexander Lagerqvist</t>
  </si>
  <si>
    <t>Martin Sjöberg</t>
  </si>
  <si>
    <t>Kvar i handkassa</t>
  </si>
  <si>
    <t>Chokladförsälning</t>
  </si>
  <si>
    <t>Totalt före avskrivn</t>
  </si>
  <si>
    <t>Totalt Resultat</t>
  </si>
  <si>
    <t>Balansräkning IFK Mariefred Fotboll 2012</t>
  </si>
  <si>
    <t>Resultaträkning IFK Mariefred Fotboll 2012</t>
  </si>
  <si>
    <t>Resultaträkning Herrlag 2012</t>
  </si>
  <si>
    <t>Totalt inkl avskr.</t>
  </si>
  <si>
    <t>Radnr</t>
  </si>
  <si>
    <t>Bokfdag</t>
  </si>
  <si>
    <t>Referens</t>
  </si>
  <si>
    <t>Text</t>
  </si>
  <si>
    <t>Belopp</t>
  </si>
  <si>
    <t>Konto</t>
  </si>
  <si>
    <t>Kst</t>
  </si>
  <si>
    <t>Typ</t>
  </si>
  <si>
    <t>konto</t>
  </si>
  <si>
    <t>1</t>
  </si>
  <si>
    <t>2012-01-04</t>
  </si>
  <si>
    <t>alag material</t>
  </si>
  <si>
    <t>Bg-bet. via internet</t>
  </si>
  <si>
    <t>Alag</t>
  </si>
  <si>
    <t>FSB konto</t>
  </si>
  <si>
    <t>2</t>
  </si>
  <si>
    <t>2012-01-20</t>
  </si>
  <si>
    <t>Pris enligt avisering</t>
  </si>
  <si>
    <t>Allmänt</t>
  </si>
  <si>
    <t>Bank</t>
  </si>
  <si>
    <t>3</t>
  </si>
  <si>
    <t>2012-01-23</t>
  </si>
  <si>
    <t>mtrl ungdom</t>
  </si>
  <si>
    <t>Ungdomslag</t>
  </si>
  <si>
    <t>4</t>
  </si>
  <si>
    <t>5</t>
  </si>
  <si>
    <t>2012-01-26</t>
  </si>
  <si>
    <t>ledaroverall f00</t>
  </si>
  <si>
    <t>Ledaroverall</t>
  </si>
  <si>
    <t>F00</t>
  </si>
  <si>
    <t>6</t>
  </si>
  <si>
    <t>2012-01-30</t>
  </si>
  <si>
    <t>SVFF</t>
  </si>
  <si>
    <t>Pg-bet. via internet</t>
  </si>
  <si>
    <t>7</t>
  </si>
  <si>
    <t>2012-02-27</t>
  </si>
  <si>
    <t>Spelarlicens+Dom</t>
  </si>
  <si>
    <t>Överföring via internet</t>
  </si>
  <si>
    <t>8</t>
  </si>
  <si>
    <t>Cupavgift (P98 2</t>
  </si>
  <si>
    <t>P98</t>
  </si>
  <si>
    <t>9</t>
  </si>
  <si>
    <t>Alag Matchställ</t>
  </si>
  <si>
    <t>Matchställ</t>
  </si>
  <si>
    <t>10</t>
  </si>
  <si>
    <t>2012-02-28</t>
  </si>
  <si>
    <t>Domaravgift</t>
  </si>
  <si>
    <t>domararvode</t>
  </si>
  <si>
    <t>Domarförmedling</t>
  </si>
  <si>
    <t>11</t>
  </si>
  <si>
    <t>2012-03-14</t>
  </si>
  <si>
    <t>cafeteria</t>
  </si>
  <si>
    <t>12</t>
  </si>
  <si>
    <t>13</t>
  </si>
  <si>
    <t>2012-04-03</t>
  </si>
  <si>
    <t xml:space="preserve">        57579997</t>
  </si>
  <si>
    <t>Bankgiro inbetalning</t>
  </si>
  <si>
    <t>14</t>
  </si>
  <si>
    <t>2012-04-04</t>
  </si>
  <si>
    <t>15</t>
  </si>
  <si>
    <t>2012-04-26</t>
  </si>
  <si>
    <t>Anmavg Cup F98</t>
  </si>
  <si>
    <t>F98</t>
  </si>
  <si>
    <t>16</t>
  </si>
  <si>
    <t>serie ungd</t>
  </si>
  <si>
    <t>Serieanmälan</t>
  </si>
  <si>
    <t>17</t>
  </si>
  <si>
    <t>Torghallen</t>
  </si>
  <si>
    <t>18</t>
  </si>
  <si>
    <t>licensavgifter</t>
  </si>
  <si>
    <t>19</t>
  </si>
  <si>
    <t>kansliavgift</t>
  </si>
  <si>
    <t>SöFF Kansliavg</t>
  </si>
  <si>
    <t>20</t>
  </si>
  <si>
    <t>Förbundstr ungdo</t>
  </si>
  <si>
    <t>21</t>
  </si>
  <si>
    <t>mtr alag</t>
  </si>
  <si>
    <t>22</t>
  </si>
  <si>
    <t>mtrl alag</t>
  </si>
  <si>
    <t>23</t>
  </si>
  <si>
    <t>2012-04-27</t>
  </si>
  <si>
    <t>24</t>
  </si>
  <si>
    <t>2012-04-30</t>
  </si>
  <si>
    <t>25</t>
  </si>
  <si>
    <t>2012-05-03</t>
  </si>
  <si>
    <t>26</t>
  </si>
  <si>
    <t>2012-05-04</t>
  </si>
  <si>
    <t>27</t>
  </si>
  <si>
    <t>2012-05-08</t>
  </si>
  <si>
    <t>Vintercupen p02</t>
  </si>
  <si>
    <t>p02</t>
  </si>
  <si>
    <t>28</t>
  </si>
  <si>
    <t>Ifk mariefred do</t>
  </si>
  <si>
    <t>29</t>
  </si>
  <si>
    <t>30</t>
  </si>
  <si>
    <t>2012-05-09</t>
  </si>
  <si>
    <t>31</t>
  </si>
  <si>
    <t>2012-05-11</t>
  </si>
  <si>
    <t>32</t>
  </si>
  <si>
    <t>2012-05-14</t>
  </si>
  <si>
    <t>ledaroverall pf0</t>
  </si>
  <si>
    <t>ledaroverall</t>
  </si>
  <si>
    <t>pf05</t>
  </si>
  <si>
    <t>33</t>
  </si>
  <si>
    <t>34</t>
  </si>
  <si>
    <t>Torghallenanmälan</t>
  </si>
  <si>
    <t>35</t>
  </si>
  <si>
    <t>2012-05-15</t>
  </si>
  <si>
    <t>torghallen cup t</t>
  </si>
  <si>
    <t>Div utg</t>
  </si>
  <si>
    <t>Cupregistrering</t>
  </si>
  <si>
    <t>36</t>
  </si>
  <si>
    <t>37</t>
  </si>
  <si>
    <t>38</t>
  </si>
  <si>
    <t>cafeteriainköp</t>
  </si>
  <si>
    <t>39</t>
  </si>
  <si>
    <t>2012-05-16</t>
  </si>
  <si>
    <t>alag planhyra</t>
  </si>
  <si>
    <t>40</t>
  </si>
  <si>
    <t>2012-05-18</t>
  </si>
  <si>
    <t>Alag material</t>
  </si>
  <si>
    <t>41</t>
  </si>
  <si>
    <t>alag domare</t>
  </si>
  <si>
    <t>42</t>
  </si>
  <si>
    <t>43</t>
  </si>
  <si>
    <t>44</t>
  </si>
  <si>
    <t>2012-05-22</t>
  </si>
  <si>
    <t>45</t>
  </si>
  <si>
    <t>2012-05-28</t>
  </si>
  <si>
    <t>div mtrl(boll u</t>
  </si>
  <si>
    <t>Ej spec</t>
  </si>
  <si>
    <t>46</t>
  </si>
  <si>
    <t>ldaroverall f00</t>
  </si>
  <si>
    <t>47</t>
  </si>
  <si>
    <t>serieanmälan(ala</t>
  </si>
  <si>
    <t>48</t>
  </si>
  <si>
    <t>2012-05-30</t>
  </si>
  <si>
    <t>alag torghallen</t>
  </si>
  <si>
    <t>49</t>
  </si>
  <si>
    <t>50</t>
  </si>
  <si>
    <t>2012-05-31</t>
  </si>
  <si>
    <t>nycklar</t>
  </si>
  <si>
    <t>Nycklar</t>
  </si>
  <si>
    <t>51</t>
  </si>
  <si>
    <t>52</t>
  </si>
  <si>
    <t>2012-06-01</t>
  </si>
  <si>
    <t>53</t>
  </si>
  <si>
    <t>2012-06-04</t>
  </si>
  <si>
    <t>alag domarv</t>
  </si>
  <si>
    <t>54</t>
  </si>
  <si>
    <t>55</t>
  </si>
  <si>
    <t>2012-06-05</t>
  </si>
  <si>
    <t>56</t>
  </si>
  <si>
    <t>2012-06-07</t>
  </si>
  <si>
    <t>ledaroverall p98</t>
  </si>
  <si>
    <t>57</t>
  </si>
  <si>
    <t>material div</t>
  </si>
  <si>
    <t>alag</t>
  </si>
  <si>
    <t>58</t>
  </si>
  <si>
    <t>materialink stäl</t>
  </si>
  <si>
    <t>59</t>
  </si>
  <si>
    <t>ledaroverall p01</t>
  </si>
  <si>
    <t>P01</t>
  </si>
  <si>
    <t>60</t>
  </si>
  <si>
    <t>2012-06-08</t>
  </si>
  <si>
    <t>61</t>
  </si>
  <si>
    <t>2012-06-11</t>
  </si>
  <si>
    <t>inköp cafeteria</t>
  </si>
  <si>
    <t>62</t>
  </si>
  <si>
    <t>inköp fotbllskol</t>
  </si>
  <si>
    <t>Fotbollskolan</t>
  </si>
  <si>
    <t>Jonglör</t>
  </si>
  <si>
    <t>63</t>
  </si>
  <si>
    <t>2012-06-15</t>
  </si>
  <si>
    <t>64</t>
  </si>
  <si>
    <t>2012-06-18</t>
  </si>
  <si>
    <t>fotbollskolan le</t>
  </si>
  <si>
    <t>65</t>
  </si>
  <si>
    <t>66</t>
  </si>
  <si>
    <t>67</t>
  </si>
  <si>
    <t>68</t>
  </si>
  <si>
    <t>69</t>
  </si>
  <si>
    <t>Fotbollskolan le</t>
  </si>
  <si>
    <t>70</t>
  </si>
  <si>
    <t>Sparkonto</t>
  </si>
  <si>
    <t>71</t>
  </si>
  <si>
    <t>72</t>
  </si>
  <si>
    <t>73</t>
  </si>
  <si>
    <t>74</t>
  </si>
  <si>
    <t>75</t>
  </si>
  <si>
    <t>76</t>
  </si>
  <si>
    <t>fotbskolan medal</t>
  </si>
  <si>
    <t>Medaljer</t>
  </si>
  <si>
    <t>77</t>
  </si>
  <si>
    <t>ÖFÖR PLUSG</t>
  </si>
  <si>
    <t>Insättning</t>
  </si>
  <si>
    <t>Överföring</t>
  </si>
  <si>
    <t>78</t>
  </si>
  <si>
    <t>79</t>
  </si>
  <si>
    <t>2012-06-19</t>
  </si>
  <si>
    <t>80</t>
  </si>
  <si>
    <t>81</t>
  </si>
  <si>
    <t>82</t>
  </si>
  <si>
    <t>fotbollskolan mt</t>
  </si>
  <si>
    <t>83</t>
  </si>
  <si>
    <t>84</t>
  </si>
  <si>
    <t>85</t>
  </si>
  <si>
    <t>86</t>
  </si>
  <si>
    <t>87</t>
  </si>
  <si>
    <t>Återbetalning To</t>
  </si>
  <si>
    <t>88</t>
  </si>
  <si>
    <t>89</t>
  </si>
  <si>
    <t>2012-06-20</t>
  </si>
  <si>
    <t>90</t>
  </si>
  <si>
    <t>91</t>
  </si>
  <si>
    <t>92</t>
  </si>
  <si>
    <t>2012-06-21</t>
  </si>
  <si>
    <t>planhyror</t>
  </si>
  <si>
    <t>Plusgiro</t>
  </si>
  <si>
    <t>93</t>
  </si>
  <si>
    <t>94</t>
  </si>
  <si>
    <t>2012-06-25</t>
  </si>
  <si>
    <t>95</t>
  </si>
  <si>
    <t>96</t>
  </si>
  <si>
    <t>fotbollskolan ma</t>
  </si>
  <si>
    <t>Förtäring</t>
  </si>
  <si>
    <t>97</t>
  </si>
  <si>
    <t>ledarutbildning</t>
  </si>
  <si>
    <t>98</t>
  </si>
  <si>
    <t>Div Int</t>
  </si>
  <si>
    <t>ej spec</t>
  </si>
  <si>
    <t>99</t>
  </si>
  <si>
    <t>2012-06-26</t>
  </si>
  <si>
    <t>material alag</t>
  </si>
  <si>
    <t>100</t>
  </si>
  <si>
    <t>2012-06-27</t>
  </si>
  <si>
    <t>101</t>
  </si>
  <si>
    <t>102</t>
  </si>
  <si>
    <t>2012-06-28</t>
  </si>
  <si>
    <t>material div (al</t>
  </si>
  <si>
    <t>103</t>
  </si>
  <si>
    <t>2012-06-29</t>
  </si>
  <si>
    <t>104</t>
  </si>
  <si>
    <t>2012-07-02</t>
  </si>
  <si>
    <t>fotbollskolan åt</t>
  </si>
  <si>
    <t>Deltagaravgift</t>
  </si>
  <si>
    <t>105</t>
  </si>
  <si>
    <t>Alag Domare</t>
  </si>
  <si>
    <t>106</t>
  </si>
  <si>
    <t>107</t>
  </si>
  <si>
    <t>alag övergångsha</t>
  </si>
  <si>
    <t>108</t>
  </si>
  <si>
    <t>ledaroverall p05</t>
  </si>
  <si>
    <t>P05</t>
  </si>
  <si>
    <t>109</t>
  </si>
  <si>
    <t>2012-07-05</t>
  </si>
  <si>
    <t>mtrl matchställ</t>
  </si>
  <si>
    <t>110</t>
  </si>
  <si>
    <t>2012-07-13</t>
  </si>
  <si>
    <t>111</t>
  </si>
  <si>
    <t>matchställ p98</t>
  </si>
  <si>
    <t>112</t>
  </si>
  <si>
    <t>ledarov 1,1+mtrl</t>
  </si>
  <si>
    <t>113</t>
  </si>
  <si>
    <t>mtrl koner</t>
  </si>
  <si>
    <t>114</t>
  </si>
  <si>
    <t>mtrl klubbmärke</t>
  </si>
  <si>
    <t>115</t>
  </si>
  <si>
    <t>mtrl domartröjor</t>
  </si>
  <si>
    <t>Domartröjor</t>
  </si>
  <si>
    <t>116</t>
  </si>
  <si>
    <t>2012-08-01</t>
  </si>
  <si>
    <t>Domareutlägg p98</t>
  </si>
  <si>
    <t>117</t>
  </si>
  <si>
    <t>anmälnings avgif</t>
  </si>
  <si>
    <t>118</t>
  </si>
  <si>
    <t>material</t>
  </si>
  <si>
    <t>119</t>
  </si>
  <si>
    <t>2012-08-15</t>
  </si>
  <si>
    <t>120</t>
  </si>
  <si>
    <t>2012-08-20</t>
  </si>
  <si>
    <t>återbet fotbolls</t>
  </si>
  <si>
    <t>121</t>
  </si>
  <si>
    <t>122</t>
  </si>
  <si>
    <t>Överskottsbolage</t>
  </si>
  <si>
    <t>123</t>
  </si>
  <si>
    <t>torghallen alag</t>
  </si>
  <si>
    <t>124</t>
  </si>
  <si>
    <t>2012-08-21</t>
  </si>
  <si>
    <t>torghallen</t>
  </si>
  <si>
    <t>125</t>
  </si>
  <si>
    <t>2012-08-24</t>
  </si>
  <si>
    <t>domare alag</t>
  </si>
  <si>
    <t>126</t>
  </si>
  <si>
    <t>127</t>
  </si>
  <si>
    <t>återbet torghall</t>
  </si>
  <si>
    <t>128</t>
  </si>
  <si>
    <t>2012-09-03</t>
  </si>
  <si>
    <t>129</t>
  </si>
  <si>
    <t>2012-09-06</t>
  </si>
  <si>
    <t>130</t>
  </si>
  <si>
    <t>2012-09-10</t>
  </si>
  <si>
    <t>131</t>
  </si>
  <si>
    <t>2012-09-11</t>
  </si>
  <si>
    <t>132</t>
  </si>
  <si>
    <t>2012-09-13</t>
  </si>
  <si>
    <t>133</t>
  </si>
  <si>
    <t>2012-09-14</t>
  </si>
  <si>
    <t>mtrl bollar  ala</t>
  </si>
  <si>
    <t>134</t>
  </si>
  <si>
    <t>2012-09-17</t>
  </si>
  <si>
    <t>Inköp cafeteria</t>
  </si>
  <si>
    <t>135</t>
  </si>
  <si>
    <t>136</t>
  </si>
  <si>
    <t>2012-09-18</t>
  </si>
  <si>
    <t>137</t>
  </si>
  <si>
    <t>138</t>
  </si>
  <si>
    <t>2012-09-20</t>
  </si>
  <si>
    <t>139</t>
  </si>
  <si>
    <t>140</t>
  </si>
  <si>
    <t>2012-09-27</t>
  </si>
  <si>
    <t>Div int</t>
  </si>
  <si>
    <t>Återbetaln</t>
  </si>
  <si>
    <t>141</t>
  </si>
  <si>
    <t>2012-10-02</t>
  </si>
  <si>
    <t>inköp torghallen</t>
  </si>
  <si>
    <t>142</t>
  </si>
  <si>
    <t>143</t>
  </si>
  <si>
    <t>Trghallen cup me</t>
  </si>
  <si>
    <t>144</t>
  </si>
  <si>
    <t>2012-10-04</t>
  </si>
  <si>
    <t>145</t>
  </si>
  <si>
    <t>2012-10-15</t>
  </si>
  <si>
    <t>Spelarkit</t>
  </si>
  <si>
    <t>146</t>
  </si>
  <si>
    <t>Inköp material</t>
  </si>
  <si>
    <t>147</t>
  </si>
  <si>
    <t>148</t>
  </si>
  <si>
    <t>MAterial Alag(SE</t>
  </si>
  <si>
    <t>149</t>
  </si>
  <si>
    <t>150</t>
  </si>
  <si>
    <t>Inköp alag</t>
  </si>
  <si>
    <t>151</t>
  </si>
  <si>
    <t xml:space="preserve">  </t>
  </si>
  <si>
    <t>Överskott Cafeteria</t>
  </si>
  <si>
    <t>152</t>
  </si>
  <si>
    <t>MYNT</t>
  </si>
  <si>
    <t>153</t>
  </si>
  <si>
    <t>Cup P02</t>
  </si>
  <si>
    <t>P02</t>
  </si>
  <si>
    <t>154</t>
  </si>
  <si>
    <t>155</t>
  </si>
  <si>
    <t>2012-10-18</t>
  </si>
  <si>
    <t>Cup F00 och F01</t>
  </si>
  <si>
    <t>156</t>
  </si>
  <si>
    <t>2012-10-19</t>
  </si>
  <si>
    <t>157</t>
  </si>
  <si>
    <t>Sponsorintäkter</t>
  </si>
  <si>
    <t>158</t>
  </si>
  <si>
    <t>2012-10-25</t>
  </si>
  <si>
    <t>inköp alag</t>
  </si>
  <si>
    <t>159</t>
  </si>
  <si>
    <t>2012-11-07</t>
  </si>
  <si>
    <t>alag inköp</t>
  </si>
  <si>
    <t>160</t>
  </si>
  <si>
    <t>alag böter</t>
  </si>
  <si>
    <t>böter utv</t>
  </si>
  <si>
    <t>161</t>
  </si>
  <si>
    <t>2012-11-20</t>
  </si>
  <si>
    <t>Alag inköp</t>
  </si>
  <si>
    <t>162</t>
  </si>
  <si>
    <t>2012-11-21</t>
  </si>
  <si>
    <t>Böter alag (walk</t>
  </si>
  <si>
    <t>Walkoveravgift</t>
  </si>
  <si>
    <t>163</t>
  </si>
  <si>
    <t>2012-11-22</t>
  </si>
  <si>
    <t>164</t>
  </si>
  <si>
    <t>2012-11-30</t>
  </si>
  <si>
    <t>165</t>
  </si>
  <si>
    <t>166</t>
  </si>
  <si>
    <t>2012-12-10</t>
  </si>
  <si>
    <t>167</t>
  </si>
  <si>
    <t>återtagen anmäla</t>
  </si>
  <si>
    <t>Återtagande anm</t>
  </si>
  <si>
    <t>168</t>
  </si>
  <si>
    <t>F001 Cup mat</t>
  </si>
  <si>
    <t>169</t>
  </si>
  <si>
    <t>2012-12-13</t>
  </si>
  <si>
    <t>170</t>
  </si>
  <si>
    <t>2012-12-17</t>
  </si>
  <si>
    <t>Årsavgiftbankgiro tot</t>
  </si>
  <si>
    <t>Deltagaravgift fotbskol</t>
  </si>
  <si>
    <t>Återbet faktura</t>
  </si>
  <si>
    <t>Cafeteriakassa fr-11</t>
  </si>
  <si>
    <t>Sparkont</t>
  </si>
  <si>
    <t>Ränta</t>
  </si>
  <si>
    <t>Utfall</t>
  </si>
  <si>
    <t>IFK MARIEFRED</t>
  </si>
  <si>
    <t>FOTBOLLSSEKTIONEN</t>
  </si>
  <si>
    <t>Chokladförsäljning</t>
  </si>
  <si>
    <t>Utbildningsbidrag</t>
  </si>
  <si>
    <t>Övrigt</t>
  </si>
  <si>
    <t>Kostnader Fotbollsskolan</t>
  </si>
  <si>
    <t>Deltagaravgifter Fotbollsskolan</t>
  </si>
  <si>
    <t>Diverse</t>
  </si>
  <si>
    <t>2013-05-31</t>
  </si>
  <si>
    <t>2013-05-30</t>
  </si>
  <si>
    <t>Material Ungdom</t>
  </si>
  <si>
    <t>Material P02</t>
  </si>
  <si>
    <t>Material F98/99</t>
  </si>
  <si>
    <t>Aroscupen, anmäl</t>
  </si>
  <si>
    <t>2013-05-29</t>
  </si>
  <si>
    <t>2013-05-27</t>
  </si>
  <si>
    <t>Domararv Zuhdija</t>
  </si>
  <si>
    <t>Material F04/05</t>
  </si>
  <si>
    <t>Material, P05</t>
  </si>
  <si>
    <t>Overall ledare</t>
  </si>
  <si>
    <t>2013-05-23</t>
  </si>
  <si>
    <t>Transtenscupen,</t>
  </si>
  <si>
    <t>Kioskinköp</t>
  </si>
  <si>
    <t>2013-05-22</t>
  </si>
  <si>
    <t>2013-05-20</t>
  </si>
  <si>
    <t>Material, P98</t>
  </si>
  <si>
    <t>Material, F02/03</t>
  </si>
  <si>
    <t>Material, A-lag</t>
  </si>
  <si>
    <t>2013-05-17</t>
  </si>
  <si>
    <t>2013-05-16</t>
  </si>
  <si>
    <t>ICA (A-lag)</t>
  </si>
  <si>
    <t>2013-05-15</t>
  </si>
  <si>
    <t>2013-05-14</t>
  </si>
  <si>
    <t>Domarv Zuhdija D</t>
  </si>
  <si>
    <t>2013-05-13</t>
  </si>
  <si>
    <t>Chokladkakor</t>
  </si>
  <si>
    <t>Aroscupen P9</t>
  </si>
  <si>
    <t>Öf betalni</t>
  </si>
  <si>
    <t>Egen överföring</t>
  </si>
  <si>
    <t>2013-05-10</t>
  </si>
  <si>
    <t>Startavg 5/7-man</t>
  </si>
  <si>
    <t>Domararv Emelie</t>
  </si>
  <si>
    <t>2013-05-08</t>
  </si>
  <si>
    <t>Träningsoverall</t>
  </si>
  <si>
    <t>2013-05-07</t>
  </si>
  <si>
    <t>2013-05-06</t>
  </si>
  <si>
    <t>Cupavgift P00</t>
  </si>
  <si>
    <t>Domararv Lennie</t>
  </si>
  <si>
    <t>2013-05-02</t>
  </si>
  <si>
    <t>ICA, A-lag</t>
  </si>
  <si>
    <t>Kansliavg, Spela</t>
  </si>
  <si>
    <t>Kursavgifter</t>
  </si>
  <si>
    <t>Domararvode Jess</t>
  </si>
  <si>
    <t>2013-04-30</t>
  </si>
  <si>
    <t>2013-04-25</t>
  </si>
  <si>
    <t>ledaroverall (A</t>
  </si>
  <si>
    <t>Ledaroverall F00</t>
  </si>
  <si>
    <t>ledaroverall (L</t>
  </si>
  <si>
    <t>Inköp Material (</t>
  </si>
  <si>
    <t>2013-04-16</t>
  </si>
  <si>
    <t>Bidrag til</t>
  </si>
  <si>
    <t>2013-04-15</t>
  </si>
  <si>
    <t>Cupbidrag p00 (2</t>
  </si>
  <si>
    <t>2013-04-09</t>
  </si>
  <si>
    <t>2013-03-28</t>
  </si>
  <si>
    <t>2013-03-27</t>
  </si>
  <si>
    <t>Material Alag</t>
  </si>
  <si>
    <t>2013-03-25</t>
  </si>
  <si>
    <t>kursavgift spela</t>
  </si>
  <si>
    <t>2013-03-06</t>
  </si>
  <si>
    <t>Alag Domare+Plan</t>
  </si>
  <si>
    <t>2013-02-28</t>
  </si>
  <si>
    <t>Alag Material</t>
  </si>
  <si>
    <t>2013-02-27</t>
  </si>
  <si>
    <t>Urbildning 2013</t>
  </si>
  <si>
    <t>2013-02-21</t>
  </si>
  <si>
    <t>2013-02-19</t>
  </si>
  <si>
    <t>Alag Torghallen</t>
  </si>
  <si>
    <t>2013-02-08</t>
  </si>
  <si>
    <t>I-Sport Retail 4</t>
  </si>
  <si>
    <t>2013-02-05</t>
  </si>
  <si>
    <t>Licens 10</t>
  </si>
  <si>
    <t>2013-01-31</t>
  </si>
  <si>
    <t>Cupanmälan p02</t>
  </si>
  <si>
    <t>2013-01-30</t>
  </si>
  <si>
    <t>SvFF medlavg</t>
  </si>
  <si>
    <t>2013-01-21</t>
  </si>
  <si>
    <t>Saknas</t>
  </si>
  <si>
    <t>Enligt avisering swedbank/sparbank</t>
  </si>
  <si>
    <t>Cup P98</t>
  </si>
  <si>
    <t>2013-01-02</t>
  </si>
  <si>
    <t>WO ungd 3500+ Al</t>
  </si>
  <si>
    <t>Fair Play Alag</t>
  </si>
  <si>
    <t>Fair Play Ungd</t>
  </si>
  <si>
    <t>Ungdom</t>
  </si>
  <si>
    <t>PF98/99</t>
  </si>
  <si>
    <t>P04</t>
  </si>
  <si>
    <t>F04/05</t>
  </si>
  <si>
    <t>F98/99</t>
  </si>
  <si>
    <t>F02/03</t>
  </si>
  <si>
    <t>A-lag</t>
  </si>
  <si>
    <t>Rese/domarbidrag</t>
  </si>
  <si>
    <t>Varav 300 Spelaravgift</t>
  </si>
  <si>
    <t>5 &amp; 7-manna</t>
  </si>
  <si>
    <t>P00</t>
  </si>
  <si>
    <t>Bollar</t>
  </si>
  <si>
    <t>P03</t>
  </si>
  <si>
    <t>F03</t>
  </si>
  <si>
    <t>F02</t>
  </si>
  <si>
    <t>P00 + F02</t>
  </si>
  <si>
    <t>Efternamn</t>
  </si>
  <si>
    <t>Förnamn</t>
  </si>
  <si>
    <t>Pnr</t>
  </si>
  <si>
    <t>Adress</t>
  </si>
  <si>
    <t>Postnr</t>
  </si>
  <si>
    <t>Postadr</t>
  </si>
  <si>
    <t>Arvode</t>
  </si>
  <si>
    <t>Resa</t>
  </si>
  <si>
    <t>Alnaif</t>
  </si>
  <si>
    <t>Ali</t>
  </si>
  <si>
    <t>970725-8993</t>
  </si>
  <si>
    <t>Ariz</t>
  </si>
  <si>
    <t>Madlum</t>
  </si>
  <si>
    <t>910817-0013</t>
  </si>
  <si>
    <t>Finningevägen 70A</t>
  </si>
  <si>
    <t>647 42</t>
  </si>
  <si>
    <t>Strängnäs</t>
  </si>
  <si>
    <t>Aslan</t>
  </si>
  <si>
    <t>620306-2393</t>
  </si>
  <si>
    <t>Plommongränd 12</t>
  </si>
  <si>
    <t>154 68</t>
  </si>
  <si>
    <t>Södertälje</t>
  </si>
  <si>
    <t>Assali</t>
  </si>
  <si>
    <t>Adli</t>
  </si>
  <si>
    <t>820518-0451</t>
  </si>
  <si>
    <t>Bollvägen 4</t>
  </si>
  <si>
    <t>151 59</t>
  </si>
  <si>
    <t>Bardland</t>
  </si>
  <si>
    <t>Mathias</t>
  </si>
  <si>
    <t>980320-8876</t>
  </si>
  <si>
    <t>Brahim</t>
  </si>
  <si>
    <t>Nasil</t>
  </si>
  <si>
    <t>Diaz</t>
  </si>
  <si>
    <t>Maurizio</t>
  </si>
  <si>
    <t>740726-0715</t>
  </si>
  <si>
    <t>Björkv. 4a</t>
  </si>
  <si>
    <t>Elfstrand</t>
  </si>
  <si>
    <t>Hugo</t>
  </si>
  <si>
    <t>990112-6293</t>
  </si>
  <si>
    <t>Ganeva</t>
  </si>
  <si>
    <t>Vanya</t>
  </si>
  <si>
    <t>700304-1048</t>
  </si>
  <si>
    <t>Hallén</t>
  </si>
  <si>
    <t>Pontus</t>
  </si>
  <si>
    <t>991611-</t>
  </si>
  <si>
    <t>Hartikainen</t>
  </si>
  <si>
    <t>Ellen</t>
  </si>
  <si>
    <t>980212-</t>
  </si>
  <si>
    <t>Hjälte</t>
  </si>
  <si>
    <t>Wilhelm</t>
  </si>
  <si>
    <t>940717-4516</t>
  </si>
  <si>
    <t>Solstigen 17</t>
  </si>
  <si>
    <t>Landqvist</t>
  </si>
  <si>
    <t>Marcus</t>
  </si>
  <si>
    <t>991221-3338</t>
  </si>
  <si>
    <t>Lindeborg</t>
  </si>
  <si>
    <t>Klas</t>
  </si>
  <si>
    <t>941220-4092</t>
  </si>
  <si>
    <t>Lindvall</t>
  </si>
  <si>
    <t>Johnny</t>
  </si>
  <si>
    <t>960205-2319</t>
  </si>
  <si>
    <t>Lohes v 1a</t>
  </si>
  <si>
    <t>Åker</t>
  </si>
  <si>
    <t>Lundberg</t>
  </si>
  <si>
    <t>Viktor</t>
  </si>
  <si>
    <t>Manookian</t>
  </si>
  <si>
    <t>Christopher</t>
  </si>
  <si>
    <t>930825-9119</t>
  </si>
  <si>
    <t>Fågelviksgränd 5</t>
  </si>
  <si>
    <t>152 71</t>
  </si>
  <si>
    <t>Maximurad</t>
  </si>
  <si>
    <t>Jakob</t>
  </si>
  <si>
    <t>660106-2879</t>
  </si>
  <si>
    <t>Annalundsvägen 42</t>
  </si>
  <si>
    <t>154 52</t>
  </si>
  <si>
    <t>Norin</t>
  </si>
  <si>
    <t>Lennie</t>
  </si>
  <si>
    <t>960621-6472</t>
  </si>
  <si>
    <t>Wahrendorffsv 11</t>
  </si>
  <si>
    <t>Renström</t>
  </si>
  <si>
    <t>Hanna</t>
  </si>
  <si>
    <t>980918-</t>
  </si>
  <si>
    <t>Roos</t>
  </si>
  <si>
    <t>Sofie</t>
  </si>
  <si>
    <t>410206-1654</t>
  </si>
  <si>
    <t>Rubio</t>
  </si>
  <si>
    <t>Gabriel</t>
  </si>
  <si>
    <t>910209-5750</t>
  </si>
  <si>
    <t>Stenbyvägen 15D</t>
  </si>
  <si>
    <t>645 50</t>
  </si>
  <si>
    <t>Mauricio</t>
  </si>
  <si>
    <t>920405-5058</t>
  </si>
  <si>
    <t>Björkvägen 68</t>
  </si>
  <si>
    <t>645 40</t>
  </si>
  <si>
    <t>Bernabe</t>
  </si>
  <si>
    <t>621123-1797</t>
  </si>
  <si>
    <t>Vallbyv.9B</t>
  </si>
  <si>
    <t>Svensson</t>
  </si>
  <si>
    <t>Vilma</t>
  </si>
  <si>
    <t>980831-1089</t>
  </si>
  <si>
    <t>Swärd</t>
  </si>
  <si>
    <t>Frida</t>
  </si>
  <si>
    <t>98-</t>
  </si>
  <si>
    <t>Söderberg</t>
  </si>
  <si>
    <t>Felicia</t>
  </si>
  <si>
    <t>980617-6005</t>
  </si>
  <si>
    <t>Wennström</t>
  </si>
  <si>
    <t>921201-4677</t>
  </si>
  <si>
    <t>Bellmansvägen 3</t>
  </si>
  <si>
    <t>154 31</t>
  </si>
  <si>
    <t>Ünesi</t>
  </si>
  <si>
    <t>921222-1692</t>
  </si>
  <si>
    <t>Dekorstigen 6</t>
  </si>
  <si>
    <t>151 55</t>
  </si>
  <si>
    <t>Youssef</t>
  </si>
  <si>
    <t>Fares</t>
  </si>
  <si>
    <t>871228-0333</t>
  </si>
  <si>
    <t>Jennylidmanstig 12</t>
  </si>
  <si>
    <t>153 56</t>
  </si>
  <si>
    <t>Holmstedt</t>
  </si>
  <si>
    <t>Elin</t>
  </si>
  <si>
    <t>990526-0023</t>
  </si>
  <si>
    <t>Atterpalm</t>
  </si>
  <si>
    <t>Linnea</t>
  </si>
  <si>
    <t>991014-5664</t>
  </si>
  <si>
    <t>Erika</t>
  </si>
  <si>
    <t>961113-0585</t>
  </si>
  <si>
    <t>Olsson</t>
  </si>
  <si>
    <t>991028-5726</t>
  </si>
  <si>
    <t>Brännvall</t>
  </si>
  <si>
    <t>Stefanie</t>
  </si>
  <si>
    <t>930424-6565</t>
  </si>
  <si>
    <t>Madeleine</t>
  </si>
  <si>
    <t>990603-1183</t>
  </si>
  <si>
    <t>Lundqvist</t>
  </si>
  <si>
    <t>991221-1043</t>
  </si>
  <si>
    <t>Lindholm</t>
  </si>
  <si>
    <t>Alice</t>
  </si>
  <si>
    <t>001221-7246</t>
  </si>
  <si>
    <t>Ekstrand</t>
  </si>
  <si>
    <t>Sanne</t>
  </si>
  <si>
    <t>010321-0027</t>
  </si>
  <si>
    <t>Trübenbach</t>
  </si>
  <si>
    <t>000901-1461</t>
  </si>
  <si>
    <t>Fors</t>
  </si>
  <si>
    <t>Matilda</t>
  </si>
  <si>
    <t>000509-</t>
  </si>
  <si>
    <t>Duric</t>
  </si>
  <si>
    <t>Zuhdija</t>
  </si>
  <si>
    <t>800726-3356</t>
  </si>
  <si>
    <t>Emilie</t>
  </si>
  <si>
    <t>940706-8825</t>
  </si>
  <si>
    <t>Granbyvägen 38</t>
  </si>
  <si>
    <t>647 51</t>
  </si>
  <si>
    <t>Åkers Styckebruk</t>
  </si>
  <si>
    <t>Ringvägen 24</t>
  </si>
  <si>
    <t>647 52</t>
  </si>
  <si>
    <t>Öhrn</t>
  </si>
  <si>
    <t>Jessica</t>
  </si>
  <si>
    <t>751023-9309</t>
  </si>
  <si>
    <t>Sidövägen 1A</t>
  </si>
  <si>
    <t>645 33</t>
  </si>
  <si>
    <t>2013-08-19</t>
  </si>
  <si>
    <t>Fotbollsskolan</t>
  </si>
  <si>
    <t>Överföring konto</t>
  </si>
  <si>
    <t>2013-08-07</t>
  </si>
  <si>
    <t>Matr Fotbollssko</t>
  </si>
  <si>
    <t>2013-07-25</t>
  </si>
  <si>
    <t>Matr P04</t>
  </si>
  <si>
    <t>2013-07-23</t>
  </si>
  <si>
    <t>2013-07-19</t>
  </si>
  <si>
    <t>Fotbollsskolan m</t>
  </si>
  <si>
    <t>2013-07-18</t>
  </si>
  <si>
    <t>Matr A-lag</t>
  </si>
  <si>
    <t>2013-07-15</t>
  </si>
  <si>
    <t>P04, Ledaroveral</t>
  </si>
  <si>
    <t>2013-07-11</t>
  </si>
  <si>
    <t>Matr P02</t>
  </si>
  <si>
    <t>Matr F02/03</t>
  </si>
  <si>
    <t>2013-07-05</t>
  </si>
  <si>
    <t>Ledararv Fotbols</t>
  </si>
  <si>
    <t>2013-07-04</t>
  </si>
  <si>
    <t>Ledararv Fotboll</t>
  </si>
  <si>
    <t>2013-07-03</t>
  </si>
  <si>
    <t>Domararv Maurici</t>
  </si>
  <si>
    <t>2013-07-01</t>
  </si>
  <si>
    <t>2013-06-28</t>
  </si>
  <si>
    <t>Matr P00</t>
  </si>
  <si>
    <t>Arvode Fotbollss</t>
  </si>
  <si>
    <t>Arv Fotbollsskol</t>
  </si>
  <si>
    <t>2013-06-25</t>
  </si>
  <si>
    <t>2013-06-24</t>
  </si>
  <si>
    <t>ÖVERF PG</t>
  </si>
  <si>
    <t>2013-06-19</t>
  </si>
  <si>
    <t>Återbet Fotbolls</t>
  </si>
  <si>
    <t>2013-06-18</t>
  </si>
  <si>
    <t>2013-06-17</t>
  </si>
  <si>
    <t>Aroscupen</t>
  </si>
  <si>
    <t>ÖVERFÖRING</t>
  </si>
  <si>
    <t>Overall P02</t>
  </si>
  <si>
    <t>2013-06-13</t>
  </si>
  <si>
    <t>2013-06-10</t>
  </si>
  <si>
    <t>2013-06-07</t>
  </si>
  <si>
    <t>Laglicens</t>
  </si>
  <si>
    <t>Domararv Emilie</t>
  </si>
  <si>
    <t>2013-06-05</t>
  </si>
  <si>
    <t>2013-06-04</t>
  </si>
  <si>
    <t>MARIEFRED FO</t>
  </si>
  <si>
    <t>Kioskintäkter</t>
  </si>
  <si>
    <t>ICA</t>
  </si>
  <si>
    <t>Varav 2.000 kr spelarutbildning</t>
  </si>
  <si>
    <t>F00/01</t>
  </si>
  <si>
    <t>Varav 300 P00</t>
  </si>
  <si>
    <t>PROGNOS</t>
  </si>
  <si>
    <t>2013-11-07</t>
  </si>
  <si>
    <t>2013-11-08</t>
  </si>
  <si>
    <t>WO-avgift, Ungdo</t>
  </si>
  <si>
    <t>2013-11-06</t>
  </si>
  <si>
    <t>Avgift utvisn, A</t>
  </si>
  <si>
    <t>2013-11-05</t>
  </si>
  <si>
    <t>Inköp Kiosk</t>
  </si>
  <si>
    <t>2013-10-29</t>
  </si>
  <si>
    <t>2013-10-15</t>
  </si>
  <si>
    <t>Domartillsättnin</t>
  </si>
  <si>
    <t>2013-10-14</t>
  </si>
  <si>
    <t>Matr A-laget</t>
  </si>
  <si>
    <t>2013-10-08</t>
  </si>
  <si>
    <t>2013-10-09</t>
  </si>
  <si>
    <t>2013-10-07</t>
  </si>
  <si>
    <t>2013-10-04</t>
  </si>
  <si>
    <t>2013-10-03</t>
  </si>
  <si>
    <t>2013-10-02</t>
  </si>
  <si>
    <t>2013-09-27</t>
  </si>
  <si>
    <t>2013-09-30</t>
  </si>
  <si>
    <t>Domararv Zudija</t>
  </si>
  <si>
    <t>2013-09-23</t>
  </si>
  <si>
    <t>2013-09-18</t>
  </si>
  <si>
    <t>2013-09-17</t>
  </si>
  <si>
    <t>2013-09-16</t>
  </si>
  <si>
    <t>Domararv Resa Zu</t>
  </si>
  <si>
    <t>P05 CHOKLAD</t>
  </si>
  <si>
    <t>Material P05</t>
  </si>
  <si>
    <t>Material A-lag</t>
  </si>
  <si>
    <t>2013-09-13</t>
  </si>
  <si>
    <t>2013-09-10</t>
  </si>
  <si>
    <t>Startavgift</t>
  </si>
  <si>
    <t>Fotbollsskolan a</t>
  </si>
  <si>
    <t>2013-09-09</t>
  </si>
  <si>
    <t>2013-09-05</t>
  </si>
  <si>
    <t>2013-09-06</t>
  </si>
  <si>
    <t>2013-09-04</t>
  </si>
  <si>
    <t>Domararv P03</t>
  </si>
  <si>
    <t>2013-09-03</t>
  </si>
  <si>
    <t>2013-09-02</t>
  </si>
  <si>
    <t>2013-08-28</t>
  </si>
  <si>
    <t>Cupanmälan P03</t>
  </si>
  <si>
    <t>2013-08-26</t>
  </si>
  <si>
    <t>2013-08-27</t>
  </si>
  <si>
    <t>6.825 avser åter cupanmälan</t>
  </si>
  <si>
    <t>Utvisningskostnad</t>
  </si>
  <si>
    <t>WO-avgift</t>
  </si>
  <si>
    <t>F00/F02</t>
  </si>
  <si>
    <t>P06</t>
  </si>
  <si>
    <t>Varav A-lag (26.305), Ungdom (76.738), Allmänt (35.672)</t>
  </si>
  <si>
    <t>Planhyror 2013</t>
  </si>
  <si>
    <t>FairPlay avg, A-</t>
  </si>
  <si>
    <t>Licensavg</t>
  </si>
  <si>
    <t>Växelkassa</t>
  </si>
  <si>
    <t>Fotbollsskolan M</t>
  </si>
  <si>
    <t>P03/F98/99</t>
  </si>
  <si>
    <t>Varav WO-avgift 5.000, Utvisnkostn 2.000. Fair-Playavgift 1.350</t>
  </si>
  <si>
    <t>Preliminär skatt</t>
  </si>
  <si>
    <t>Ruddammsgatan 4</t>
  </si>
  <si>
    <t xml:space="preserve">647 30 </t>
  </si>
  <si>
    <t>Mariefred</t>
  </si>
  <si>
    <t>Sjölidsvägen 12</t>
  </si>
  <si>
    <t>Kvarnängsvägen 5</t>
  </si>
  <si>
    <t>611 99</t>
  </si>
  <si>
    <t>Tystberga</t>
  </si>
  <si>
    <t xml:space="preserve">Jakob Ulfsson väg14A </t>
  </si>
  <si>
    <t>647 32</t>
  </si>
  <si>
    <t>Falkebovägen 12</t>
  </si>
  <si>
    <t>647 31</t>
  </si>
  <si>
    <t>Svärd</t>
  </si>
  <si>
    <t>Skogsborgsvägen 16K</t>
  </si>
  <si>
    <t>647 30</t>
  </si>
  <si>
    <t>Edlund</t>
  </si>
  <si>
    <t>Cecilia</t>
  </si>
  <si>
    <t>991028-6807</t>
  </si>
  <si>
    <t>Sone</t>
  </si>
  <si>
    <t>Märstaängsvägen 1</t>
  </si>
  <si>
    <t xml:space="preserve">633 48 </t>
  </si>
  <si>
    <t>Eskilstuna</t>
  </si>
  <si>
    <t>Nygatan 7B, lgh 1301</t>
  </si>
  <si>
    <t>Återbetalt material</t>
  </si>
  <si>
    <t>Varav choklad 600 kr</t>
  </si>
  <si>
    <t>A-lag 2013</t>
  </si>
  <si>
    <t>Budget</t>
  </si>
  <si>
    <t>Kiosk</t>
  </si>
  <si>
    <t>Sponsring, Skyltar mm</t>
  </si>
  <si>
    <t>Skraplotter</t>
  </si>
  <si>
    <t>Övergångar</t>
  </si>
  <si>
    <t>A-laget separat</t>
  </si>
  <si>
    <t>SLUTLIGT RESULTAT</t>
  </si>
  <si>
    <t>Varav 50.000 kr periodiserat</t>
  </si>
  <si>
    <t>A-lag 1.500 kr</t>
  </si>
  <si>
    <t>A-lag 4.450 kr</t>
  </si>
  <si>
    <t>Balansräkning IFK Mariefred Fotboll 2013</t>
  </si>
  <si>
    <t>Perioden</t>
  </si>
  <si>
    <t>TILLGÅNGAR</t>
  </si>
  <si>
    <t>Anläggningstillgångar</t>
  </si>
  <si>
    <t>Summa Anläggningstillgångar</t>
  </si>
  <si>
    <t>Nordea Plusgiro</t>
  </si>
  <si>
    <t>Swedbank Företagskonto</t>
  </si>
  <si>
    <t>Swedbank Sparkapitalkonto</t>
  </si>
  <si>
    <t>Fordringar</t>
  </si>
  <si>
    <t>Fordran huvudstyrelsen</t>
  </si>
  <si>
    <t>Summa Fordringar</t>
  </si>
  <si>
    <t>Summa Eget kapital</t>
  </si>
  <si>
    <t>Summa SKULDER OCH EGET KAPITAL</t>
  </si>
  <si>
    <t>ANALYS MOT BUDGET</t>
  </si>
  <si>
    <t>Överskridande</t>
  </si>
  <si>
    <t>Underskridande</t>
  </si>
  <si>
    <t>Chokladöverskott</t>
  </si>
  <si>
    <t>Kassa A-laget</t>
  </si>
  <si>
    <t>Kassa Allmän</t>
  </si>
  <si>
    <t>2014 Budget</t>
  </si>
  <si>
    <t>SKULDER OCH EGET KAPITAL</t>
  </si>
  <si>
    <t>2014-05-02</t>
  </si>
  <si>
    <t>2014-04-30</t>
  </si>
  <si>
    <t>2014-04-29</t>
  </si>
  <si>
    <t>Domare P00</t>
  </si>
  <si>
    <t>Domare F02</t>
  </si>
  <si>
    <t>Domare P01</t>
  </si>
  <si>
    <t>Material Grill</t>
  </si>
  <si>
    <t>2014-04-28</t>
  </si>
  <si>
    <t>2014-04-17</t>
  </si>
  <si>
    <t>8.000 Spelaravgifter, 1.280 Bidrag</t>
  </si>
  <si>
    <t>Cupanmälan P04</t>
  </si>
  <si>
    <t>2014-04-15</t>
  </si>
  <si>
    <t>2014-04-14</t>
  </si>
  <si>
    <t>Idrottslyftet</t>
  </si>
  <si>
    <t>2014-04-10</t>
  </si>
  <si>
    <t>2014-04-08</t>
  </si>
  <si>
    <t>Spelarutveckling</t>
  </si>
  <si>
    <t>Domare P05</t>
  </si>
  <si>
    <t>Domare P03</t>
  </si>
  <si>
    <t>Galler grillar</t>
  </si>
  <si>
    <t>2014-04-07</t>
  </si>
  <si>
    <t>2014-04-01</t>
  </si>
  <si>
    <t>2014-03-26</t>
  </si>
  <si>
    <t>2014-03-24</t>
  </si>
  <si>
    <t>Serieanmälan 7/5</t>
  </si>
  <si>
    <t>2014-03-20</t>
  </si>
  <si>
    <t>Tränarutbildning</t>
  </si>
  <si>
    <t>Material, P03</t>
  </si>
  <si>
    <t>Cupanmälan P-06</t>
  </si>
  <si>
    <t>2014-03-11</t>
  </si>
  <si>
    <t>2014-03-07</t>
  </si>
  <si>
    <t>BLANDAT</t>
  </si>
  <si>
    <t>2014-02-27</t>
  </si>
  <si>
    <t>Blommor</t>
  </si>
  <si>
    <t>2014-02-17</t>
  </si>
  <si>
    <t>2014-02-12</t>
  </si>
  <si>
    <t>2014-02-11</t>
  </si>
  <si>
    <t>2014-02-10</t>
  </si>
  <si>
    <t>Cupanmälan P-05</t>
  </si>
  <si>
    <t>2014-01-30</t>
  </si>
  <si>
    <t>Årsavgift</t>
  </si>
  <si>
    <t>2014-01-27</t>
  </si>
  <si>
    <t>2014-01-20</t>
  </si>
  <si>
    <t>2014-01-08</t>
  </si>
  <si>
    <t>Sponsring 10.568, Domarbidrag 1.728, Aktivitetsbidrag 86.803 (50.000 periodiserat), Idrottslyftet 12.300, Fair Play 305. Avgår Planhyra 48.644</t>
  </si>
  <si>
    <t>Varav WO-avgift 0, Utvisnkostn 0. Fair-Playavgift 0</t>
  </si>
  <si>
    <t>Varav A-lag (1.567), Ungdom (535), Allmänt (1.491)</t>
  </si>
  <si>
    <t>Utfall 2014</t>
  </si>
  <si>
    <r>
      <rPr>
        <sz val="11"/>
        <color rgb="FFFF0000"/>
        <rFont val="Calibri"/>
        <family val="2"/>
        <scheme val="minor"/>
      </rPr>
      <t>A-lag</t>
    </r>
    <r>
      <rPr>
        <sz val="11"/>
        <color theme="1"/>
        <rFont val="Calibri"/>
        <family val="2"/>
        <scheme val="minor"/>
      </rPr>
      <t xml:space="preserve">, P00, </t>
    </r>
    <r>
      <rPr>
        <sz val="11"/>
        <color rgb="FFFF0000"/>
        <rFont val="Calibri"/>
        <family val="2"/>
        <scheme val="minor"/>
      </rPr>
      <t>P01</t>
    </r>
    <r>
      <rPr>
        <sz val="11"/>
        <color theme="1"/>
        <rFont val="Calibri"/>
        <family val="2"/>
        <scheme val="minor"/>
      </rPr>
      <t xml:space="preserve">, P02, </t>
    </r>
    <r>
      <rPr>
        <sz val="11"/>
        <color rgb="FFFF0000"/>
        <rFont val="Calibri"/>
        <family val="2"/>
        <scheme val="minor"/>
      </rPr>
      <t>P03, P04</t>
    </r>
    <r>
      <rPr>
        <sz val="11"/>
        <color theme="1"/>
        <rFont val="Calibri"/>
        <family val="2"/>
        <scheme val="minor"/>
      </rPr>
      <t>, P05,</t>
    </r>
    <r>
      <rPr>
        <sz val="11"/>
        <color rgb="FFFF0000"/>
        <rFont val="Calibri"/>
        <family val="2"/>
        <scheme val="minor"/>
      </rPr>
      <t xml:space="preserve"> P06,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Dam-lag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rgb="FFFF0000"/>
        <rFont val="Calibri"/>
        <family val="2"/>
        <scheme val="minor"/>
      </rPr>
      <t>F00/01,</t>
    </r>
    <r>
      <rPr>
        <sz val="11"/>
        <color theme="1"/>
        <rFont val="Calibri"/>
        <family val="2"/>
        <scheme val="minor"/>
      </rPr>
      <t xml:space="preserve">  F02, </t>
    </r>
    <r>
      <rPr>
        <sz val="11"/>
        <color rgb="FFFF0000"/>
        <rFont val="Calibri"/>
        <family val="2"/>
        <scheme val="minor"/>
      </rPr>
      <t>F03</t>
    </r>
    <r>
      <rPr>
        <sz val="11"/>
        <color theme="1"/>
        <rFont val="Calibri"/>
        <family val="2"/>
        <scheme val="minor"/>
      </rPr>
      <t xml:space="preserve">, F04/05, </t>
    </r>
    <r>
      <rPr>
        <sz val="11"/>
        <color rgb="FFFF0000"/>
        <rFont val="Calibri"/>
        <family val="2"/>
        <scheme val="minor"/>
      </rPr>
      <t>F06</t>
    </r>
  </si>
  <si>
    <t>5.000 Damlag, 3.500 A-lag, 4.250 Ungdom</t>
  </si>
  <si>
    <t>2014-05-28</t>
  </si>
  <si>
    <t>Material, Allmän</t>
  </si>
  <si>
    <t>Material, P08/09</t>
  </si>
  <si>
    <t>2014-05-27</t>
  </si>
  <si>
    <t>Licensavgifter</t>
  </si>
  <si>
    <t>2014-05-23</t>
  </si>
  <si>
    <t>2014-05-22</t>
  </si>
  <si>
    <t>Material, F00/01</t>
  </si>
  <si>
    <t>Material, F02</t>
  </si>
  <si>
    <t>2014-05-21</t>
  </si>
  <si>
    <t>Domare Dam-lag</t>
  </si>
  <si>
    <t>Ungdom - Bollar</t>
  </si>
  <si>
    <t>Material, P00</t>
  </si>
  <si>
    <t>2014-05-19</t>
  </si>
  <si>
    <t>Domararv F00</t>
  </si>
  <si>
    <t>2014-05-15</t>
  </si>
  <si>
    <t>2014-05-13</t>
  </si>
  <si>
    <t>2014-05-12</t>
  </si>
  <si>
    <t>SEKTION P05</t>
  </si>
  <si>
    <t>2014-05-09</t>
  </si>
  <si>
    <t>Material A-lag/D</t>
  </si>
  <si>
    <t>Domare A-lag</t>
  </si>
  <si>
    <t>Domare P04</t>
  </si>
  <si>
    <t>Domare F01</t>
  </si>
  <si>
    <t>Domare P02</t>
  </si>
  <si>
    <t>2014-05-08</t>
  </si>
  <si>
    <t>2014-05-05</t>
  </si>
  <si>
    <t>F01</t>
  </si>
  <si>
    <t>Damlag</t>
  </si>
  <si>
    <t>P08/09</t>
  </si>
  <si>
    <t>P03, F03, F02</t>
  </si>
  <si>
    <t>F03, F04/05</t>
  </si>
  <si>
    <t>Damlag, F02</t>
  </si>
  <si>
    <t>Aktivitetsbidrag 10.296, Domarbidrag 9.454</t>
  </si>
  <si>
    <t>Damlag, P00</t>
  </si>
  <si>
    <t>Returpack (P05) 600, Spelaravgifter F00/01 4.950</t>
  </si>
  <si>
    <r>
      <t>Material 4.725, Spelaravgifter</t>
    </r>
    <r>
      <rPr>
        <sz val="11"/>
        <color rgb="FFFF0000"/>
        <rFont val="Calibri"/>
        <family val="2"/>
        <scheme val="minor"/>
      </rPr>
      <t xml:space="preserve"> F03</t>
    </r>
    <r>
      <rPr>
        <sz val="11"/>
        <color theme="1"/>
        <rFont val="Calibri"/>
        <family val="2"/>
        <scheme val="minor"/>
      </rPr>
      <t xml:space="preserve"> 800</t>
    </r>
  </si>
  <si>
    <t>Intersport</t>
  </si>
  <si>
    <t>Gripsholms Grill, Sparbanken</t>
  </si>
  <si>
    <t>Insulanders</t>
  </si>
  <si>
    <t>Varav A-lag (7.564), Ungdom (11.811), Allmänt (15.816)</t>
  </si>
  <si>
    <r>
      <rPr>
        <sz val="11"/>
        <color rgb="FFFF0000"/>
        <rFont val="Calibri"/>
        <family val="2"/>
        <scheme val="minor"/>
      </rPr>
      <t>A-lag</t>
    </r>
    <r>
      <rPr>
        <sz val="11"/>
        <color theme="1"/>
        <rFont val="Calibri"/>
        <family val="2"/>
        <scheme val="minor"/>
      </rPr>
      <t xml:space="preserve">, P00, </t>
    </r>
    <r>
      <rPr>
        <sz val="11"/>
        <rFont val="Calibri"/>
        <family val="2"/>
        <scheme val="minor"/>
      </rPr>
      <t>P01</t>
    </r>
    <r>
      <rPr>
        <sz val="11"/>
        <color theme="1"/>
        <rFont val="Calibri"/>
        <family val="2"/>
        <scheme val="minor"/>
      </rPr>
      <t xml:space="preserve">, P02, </t>
    </r>
    <r>
      <rPr>
        <sz val="11"/>
        <rFont val="Calibri"/>
        <family val="2"/>
        <scheme val="minor"/>
      </rPr>
      <t>P03,</t>
    </r>
    <r>
      <rPr>
        <sz val="11"/>
        <color rgb="FFFF0000"/>
        <rFont val="Calibri"/>
        <family val="2"/>
        <scheme val="minor"/>
      </rPr>
      <t xml:space="preserve"> P04</t>
    </r>
    <r>
      <rPr>
        <sz val="11"/>
        <color theme="1"/>
        <rFont val="Calibri"/>
        <family val="2"/>
        <scheme val="minor"/>
      </rPr>
      <t>, P05,</t>
    </r>
    <r>
      <rPr>
        <sz val="11"/>
        <rFont val="Calibri"/>
        <family val="2"/>
        <scheme val="minor"/>
      </rPr>
      <t xml:space="preserve"> P06, Dam-lag, F00/01, </t>
    </r>
    <r>
      <rPr>
        <sz val="11"/>
        <color theme="1"/>
        <rFont val="Calibri"/>
        <family val="2"/>
        <scheme val="minor"/>
      </rPr>
      <t xml:space="preserve"> F02, </t>
    </r>
    <r>
      <rPr>
        <sz val="11"/>
        <rFont val="Calibri"/>
        <family val="2"/>
        <scheme val="minor"/>
      </rPr>
      <t xml:space="preserve">F03, </t>
    </r>
    <r>
      <rPr>
        <sz val="11"/>
        <color theme="1"/>
        <rFont val="Calibri"/>
        <family val="2"/>
        <scheme val="minor"/>
      </rPr>
      <t xml:space="preserve">F04/05, </t>
    </r>
    <r>
      <rPr>
        <sz val="11"/>
        <color rgb="FFFF0000"/>
        <rFont val="Calibri"/>
        <family val="2"/>
        <scheme val="minor"/>
      </rPr>
      <t>F06</t>
    </r>
  </si>
  <si>
    <t>Hampus</t>
  </si>
  <si>
    <t>Larsson</t>
  </si>
  <si>
    <t>000806-8090</t>
  </si>
  <si>
    <t>Granskog 9 Björkbacken</t>
  </si>
  <si>
    <t>Lukas</t>
  </si>
  <si>
    <t>Rådmann</t>
  </si>
  <si>
    <t>001009-8416</t>
  </si>
  <si>
    <t>Lyckebo</t>
  </si>
  <si>
    <t>Jesper</t>
  </si>
  <si>
    <t>000905-2432</t>
  </si>
  <si>
    <t>Stenvägen 33A</t>
  </si>
  <si>
    <t>Tobias</t>
  </si>
  <si>
    <t>Olinder</t>
  </si>
  <si>
    <t>000417-4074</t>
  </si>
  <si>
    <t>Moränstigen 10</t>
  </si>
  <si>
    <t>Axel</t>
  </si>
  <si>
    <t>000515-9470</t>
  </si>
  <si>
    <t>Slottsbrinksvägen 38</t>
  </si>
  <si>
    <t>Malte</t>
  </si>
  <si>
    <t>Sundgren</t>
  </si>
  <si>
    <t>000615-3472</t>
  </si>
  <si>
    <t>Lillsäter</t>
  </si>
  <si>
    <t>Aleksej</t>
  </si>
  <si>
    <t>Lindberg</t>
  </si>
  <si>
    <t>001125-8977</t>
  </si>
  <si>
    <t>Villabergsvägen 10</t>
  </si>
  <si>
    <t>Adam</t>
  </si>
  <si>
    <t>Dirhouissi</t>
  </si>
  <si>
    <t>010505-1296</t>
  </si>
  <si>
    <t>Marielundsvägen 19</t>
  </si>
  <si>
    <t>Markus</t>
  </si>
  <si>
    <t>Handstedt</t>
  </si>
  <si>
    <t>000604-1073</t>
  </si>
  <si>
    <t>Violavägen 73</t>
  </si>
  <si>
    <t>Linus</t>
  </si>
  <si>
    <t>Näslund</t>
  </si>
  <si>
    <t>000613-3474</t>
  </si>
  <si>
    <t>Hammarvägen 14</t>
  </si>
  <si>
    <t>Ester</t>
  </si>
  <si>
    <t>Feldt</t>
  </si>
  <si>
    <t>010110-2622</t>
  </si>
  <si>
    <t>Lunda Täppväg 6</t>
  </si>
  <si>
    <t>Ebba</t>
  </si>
  <si>
    <t>010517-1623</t>
  </si>
  <si>
    <t>Björklidsvägen 4</t>
  </si>
  <si>
    <t>Fatbursvägen 22</t>
  </si>
  <si>
    <t>Hammarvägen 92</t>
  </si>
  <si>
    <t>Selma</t>
  </si>
  <si>
    <t>Skoglund</t>
  </si>
  <si>
    <t>000710-5786</t>
  </si>
  <si>
    <t>Långgatan 9F</t>
  </si>
  <si>
    <t>Virginia</t>
  </si>
  <si>
    <t>Skullman</t>
  </si>
  <si>
    <t>010208-0660</t>
  </si>
  <si>
    <t>Järsta 5</t>
  </si>
  <si>
    <t>Linn</t>
  </si>
  <si>
    <t>Arnersten</t>
  </si>
  <si>
    <t>021022-3541</t>
  </si>
  <si>
    <t>Marielundsvägen 7</t>
  </si>
  <si>
    <t>Nora</t>
  </si>
  <si>
    <t>020519-6249</t>
  </si>
  <si>
    <t>Ljungvägen 5</t>
  </si>
  <si>
    <t>Lina</t>
  </si>
  <si>
    <t>Eriksson</t>
  </si>
  <si>
    <t>020325-3489</t>
  </si>
  <si>
    <t>Fatbursvägen 29</t>
  </si>
  <si>
    <t>Emilia</t>
  </si>
  <si>
    <t>Årman</t>
  </si>
  <si>
    <t>020909-5140</t>
  </si>
  <si>
    <t>Blockstigen 9</t>
  </si>
  <si>
    <t>Wilma</t>
  </si>
  <si>
    <t>Mattsson</t>
  </si>
  <si>
    <t>020619-3484</t>
  </si>
  <si>
    <t>Skämbylötvägen 45</t>
  </si>
  <si>
    <t>Tellini</t>
  </si>
  <si>
    <t>Niklas</t>
  </si>
  <si>
    <t>940407-8991</t>
  </si>
  <si>
    <t>Kristinavägen 4</t>
  </si>
  <si>
    <t>Saleh</t>
  </si>
  <si>
    <t>Akram</t>
  </si>
  <si>
    <t>881105-9792</t>
  </si>
  <si>
    <t>Fristadsgatan 10B</t>
  </si>
  <si>
    <t>633 45</t>
  </si>
  <si>
    <t>2014-08-04</t>
  </si>
  <si>
    <t>2014-07-29</t>
  </si>
  <si>
    <t>2014-07-23</t>
  </si>
  <si>
    <t>2014-07-22</t>
  </si>
  <si>
    <t>2014-07-17</t>
  </si>
  <si>
    <t>Material, P06</t>
  </si>
  <si>
    <t>2014-07-15</t>
  </si>
  <si>
    <t>2014-07-14</t>
  </si>
  <si>
    <t>2014-07-04</t>
  </si>
  <si>
    <t>2014-07-03</t>
  </si>
  <si>
    <t>2014-07-02</t>
  </si>
  <si>
    <t>2014-07-01</t>
  </si>
  <si>
    <t>2014-06-30</t>
  </si>
  <si>
    <t>2014-06-26</t>
  </si>
  <si>
    <t>2014-06-25</t>
  </si>
  <si>
    <t>2014-06-24</t>
  </si>
  <si>
    <t>2014-06-23</t>
  </si>
  <si>
    <t>F SKOLAN  14</t>
  </si>
  <si>
    <t>2014-06-18</t>
  </si>
  <si>
    <t>2014-06-16</t>
  </si>
  <si>
    <t>2014-06-13</t>
  </si>
  <si>
    <t>Material, Ungdom</t>
  </si>
  <si>
    <t>2014-06-12</t>
  </si>
  <si>
    <t>Planhyror 2014</t>
  </si>
  <si>
    <t>2014-06-11</t>
  </si>
  <si>
    <t>2014-06-09</t>
  </si>
  <si>
    <t>Sörmlandslyftet</t>
  </si>
  <si>
    <t>Utbildning Domar</t>
  </si>
  <si>
    <t>2014-06-05</t>
  </si>
  <si>
    <t>Material, P02</t>
  </si>
  <si>
    <t>2014-06-04</t>
  </si>
  <si>
    <t>2014-06-03</t>
  </si>
  <si>
    <t>2014-06-02</t>
  </si>
  <si>
    <t>Pantamera</t>
  </si>
  <si>
    <t>2014-05-30</t>
  </si>
  <si>
    <t>F02, F03</t>
  </si>
  <si>
    <t>Returpack (P05) 1.200, Spelaravgifter F05 600</t>
  </si>
  <si>
    <t>Stallarholmen</t>
  </si>
  <si>
    <r>
      <rPr>
        <sz val="11"/>
        <color rgb="FFFF0000"/>
        <rFont val="Calibri"/>
        <family val="2"/>
        <scheme val="minor"/>
      </rPr>
      <t>A-lag</t>
    </r>
    <r>
      <rPr>
        <sz val="11"/>
        <color theme="1"/>
        <rFont val="Calibri"/>
        <family val="2"/>
        <scheme val="minor"/>
      </rPr>
      <t xml:space="preserve">, P00, </t>
    </r>
    <r>
      <rPr>
        <sz val="11"/>
        <rFont val="Calibri"/>
        <family val="2"/>
        <scheme val="minor"/>
      </rPr>
      <t>P01</t>
    </r>
    <r>
      <rPr>
        <sz val="11"/>
        <color theme="1"/>
        <rFont val="Calibri"/>
        <family val="2"/>
        <scheme val="minor"/>
      </rPr>
      <t xml:space="preserve">, P02, </t>
    </r>
    <r>
      <rPr>
        <sz val="11"/>
        <rFont val="Calibri"/>
        <family val="2"/>
        <scheme val="minor"/>
      </rPr>
      <t>P03,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P04</t>
    </r>
    <r>
      <rPr>
        <sz val="11"/>
        <color theme="1"/>
        <rFont val="Calibri"/>
        <family val="2"/>
        <scheme val="minor"/>
      </rPr>
      <t>, P05,</t>
    </r>
    <r>
      <rPr>
        <sz val="11"/>
        <rFont val="Calibri"/>
        <family val="2"/>
        <scheme val="minor"/>
      </rPr>
      <t xml:space="preserve"> P06, Dam-lag, F00/01, </t>
    </r>
    <r>
      <rPr>
        <sz val="11"/>
        <color theme="1"/>
        <rFont val="Calibri"/>
        <family val="2"/>
        <scheme val="minor"/>
      </rPr>
      <t xml:space="preserve"> F02, </t>
    </r>
    <r>
      <rPr>
        <sz val="11"/>
        <rFont val="Calibri"/>
        <family val="2"/>
        <scheme val="minor"/>
      </rPr>
      <t xml:space="preserve">F03, </t>
    </r>
    <r>
      <rPr>
        <sz val="11"/>
        <color theme="1"/>
        <rFont val="Calibri"/>
        <family val="2"/>
        <scheme val="minor"/>
      </rPr>
      <t xml:space="preserve">F04/05, </t>
    </r>
    <r>
      <rPr>
        <sz val="11"/>
        <rFont val="Calibri"/>
        <family val="2"/>
        <scheme val="minor"/>
      </rPr>
      <t>F06</t>
    </r>
  </si>
  <si>
    <t>Varav A-lag (8.679), Ungdom (32.483), Allmänt (20.267)</t>
  </si>
  <si>
    <t>2014-09-15</t>
  </si>
  <si>
    <t>2014-09-11</t>
  </si>
  <si>
    <t>Cupanmälan A-lag</t>
  </si>
  <si>
    <t>2014-09-08</t>
  </si>
  <si>
    <t>2014-09-05</t>
  </si>
  <si>
    <t>Pantamera P05</t>
  </si>
  <si>
    <t>2014-09-03</t>
  </si>
  <si>
    <t>2014-09-02</t>
  </si>
  <si>
    <t>2014-09-01</t>
  </si>
  <si>
    <t>KIOSKINTÄKT</t>
  </si>
  <si>
    <t>2014-08-28</t>
  </si>
  <si>
    <t>2014-08-25</t>
  </si>
  <si>
    <t>2014-08-21</t>
  </si>
  <si>
    <t>2014-08-20</t>
  </si>
  <si>
    <t>2014-08-19</t>
  </si>
  <si>
    <t>2014-08-18</t>
  </si>
  <si>
    <t>2014-08-14</t>
  </si>
  <si>
    <t>2014-08-13</t>
  </si>
  <si>
    <t>Aktivitetsbidrag</t>
  </si>
  <si>
    <t>F05</t>
  </si>
  <si>
    <t>Varav A-lag (9.041), Ungdom (33.635), Allmänt (20.670)</t>
  </si>
  <si>
    <t>2014-09-30</t>
  </si>
  <si>
    <t>2014-09-29</t>
  </si>
  <si>
    <t>Cupanmälan P02</t>
  </si>
  <si>
    <t>Planhyror</t>
  </si>
  <si>
    <t>2014-09-23</t>
  </si>
  <si>
    <t>2014-09-22</t>
  </si>
  <si>
    <t>2014-09-19</t>
  </si>
  <si>
    <t>2014-09-18</t>
  </si>
  <si>
    <t>2014-09-17</t>
  </si>
  <si>
    <t>2014-09-16</t>
  </si>
  <si>
    <t>Domararvode P02</t>
  </si>
  <si>
    <t>Domararvode P00</t>
  </si>
  <si>
    <t>Material F03</t>
  </si>
  <si>
    <t>2014-11-27</t>
  </si>
  <si>
    <t>2014-11-25</t>
  </si>
  <si>
    <t>2014-11-20</t>
  </si>
  <si>
    <t>Material Damlag</t>
  </si>
  <si>
    <t>2014-11-17</t>
  </si>
  <si>
    <t>2014-11-10</t>
  </si>
  <si>
    <t>2014-11-06</t>
  </si>
  <si>
    <t>2014-11-05</t>
  </si>
  <si>
    <t>2014-11-04</t>
  </si>
  <si>
    <t>2014-11-03</t>
  </si>
  <si>
    <t>2014-10-31</t>
  </si>
  <si>
    <t>CDM KIOSK</t>
  </si>
  <si>
    <t>Insättningsautomat</t>
  </si>
  <si>
    <t>2014-10-30</t>
  </si>
  <si>
    <t>2014-10-29</t>
  </si>
  <si>
    <t>Myntinsättningsautomat</t>
  </si>
  <si>
    <t>2014-10-28</t>
  </si>
  <si>
    <t>Nycklar IP</t>
  </si>
  <si>
    <t>2014-10-23</t>
  </si>
  <si>
    <t>2014-10-22</t>
  </si>
  <si>
    <t>CDM KIOSKINSÄTTN</t>
  </si>
  <si>
    <t>KIOSK</t>
  </si>
  <si>
    <t>2014-10-21</t>
  </si>
  <si>
    <t>2014-10-20</t>
  </si>
  <si>
    <t>Domararv Allmänt</t>
  </si>
  <si>
    <t>2014-10-15</t>
  </si>
  <si>
    <t>2014-10-10</t>
  </si>
  <si>
    <t>CDM KIOSKPENGAR</t>
  </si>
  <si>
    <t>2014-10-09</t>
  </si>
  <si>
    <t>2014-10-06</t>
  </si>
  <si>
    <t>2014-10-02</t>
  </si>
  <si>
    <t>2014-10-01</t>
  </si>
  <si>
    <t>PANTAMERA</t>
  </si>
  <si>
    <t>Kiosk till Handbollen</t>
  </si>
  <si>
    <t>Varav 280 Diverse</t>
  </si>
  <si>
    <r>
      <rPr>
        <sz val="11"/>
        <rFont val="Calibri"/>
        <family val="2"/>
        <scheme val="minor"/>
      </rPr>
      <t>A-lag,</t>
    </r>
    <r>
      <rPr>
        <sz val="11"/>
        <color theme="1"/>
        <rFont val="Calibri"/>
        <family val="2"/>
        <scheme val="minor"/>
      </rPr>
      <t xml:space="preserve"> P00, </t>
    </r>
    <r>
      <rPr>
        <sz val="11"/>
        <rFont val="Calibri"/>
        <family val="2"/>
        <scheme val="minor"/>
      </rPr>
      <t>P01</t>
    </r>
    <r>
      <rPr>
        <sz val="11"/>
        <color theme="1"/>
        <rFont val="Calibri"/>
        <family val="2"/>
        <scheme val="minor"/>
      </rPr>
      <t xml:space="preserve">, P02, </t>
    </r>
    <r>
      <rPr>
        <sz val="11"/>
        <rFont val="Calibri"/>
        <family val="2"/>
        <scheme val="minor"/>
      </rPr>
      <t>P03,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P04</t>
    </r>
    <r>
      <rPr>
        <sz val="11"/>
        <color theme="1"/>
        <rFont val="Calibri"/>
        <family val="2"/>
        <scheme val="minor"/>
      </rPr>
      <t>, P05,</t>
    </r>
    <r>
      <rPr>
        <sz val="11"/>
        <rFont val="Calibri"/>
        <family val="2"/>
        <scheme val="minor"/>
      </rPr>
      <t xml:space="preserve"> P06, Dam-lag, F00/01, </t>
    </r>
    <r>
      <rPr>
        <sz val="11"/>
        <color theme="1"/>
        <rFont val="Calibri"/>
        <family val="2"/>
        <scheme val="minor"/>
      </rPr>
      <t xml:space="preserve"> F02, </t>
    </r>
    <r>
      <rPr>
        <sz val="11"/>
        <rFont val="Calibri"/>
        <family val="2"/>
        <scheme val="minor"/>
      </rPr>
      <t xml:space="preserve">F03, </t>
    </r>
    <r>
      <rPr>
        <sz val="11"/>
        <color theme="1"/>
        <rFont val="Calibri"/>
        <family val="2"/>
        <scheme val="minor"/>
      </rPr>
      <t xml:space="preserve">F04/05, </t>
    </r>
    <r>
      <rPr>
        <sz val="11"/>
        <rFont val="Calibri"/>
        <family val="2"/>
        <scheme val="minor"/>
      </rPr>
      <t>F06</t>
    </r>
  </si>
  <si>
    <t>Varav A-lag (16.900), Ungdom (45.688), Allmänt (12.845)</t>
  </si>
  <si>
    <t>Varav 48 tkr från 2013</t>
  </si>
  <si>
    <t>Material +48.000</t>
  </si>
  <si>
    <t>Planhyra +67.000</t>
  </si>
  <si>
    <t>Varav 13 tkr inomhusbollar, fler matchställ, fler lag.</t>
  </si>
  <si>
    <t>2014-12-30</t>
  </si>
  <si>
    <t>2014-12-29</t>
  </si>
  <si>
    <t>2014-12-22</t>
  </si>
  <si>
    <t>2014-12-17</t>
  </si>
  <si>
    <t>2014-12-15</t>
  </si>
  <si>
    <t>Fairplay-avgift</t>
  </si>
  <si>
    <t>2014-12-12</t>
  </si>
  <si>
    <t>2014-12-10</t>
  </si>
  <si>
    <t>2014-12-09</t>
  </si>
  <si>
    <t>2014-12-08</t>
  </si>
  <si>
    <t>2014-12-05</t>
  </si>
  <si>
    <t>A-laget, avräkni</t>
  </si>
  <si>
    <t>2014-12-04</t>
  </si>
  <si>
    <t>Cupanmälan Dam-l</t>
  </si>
  <si>
    <t>2014-12-03</t>
  </si>
  <si>
    <t>AVRÄKNING A-LAGET</t>
  </si>
  <si>
    <t>P02/03</t>
  </si>
  <si>
    <t>Kommun 27.247, Svenska Spel 5.067</t>
  </si>
  <si>
    <t>A-lag, P02</t>
  </si>
  <si>
    <t>Varav WO-avgift 1.900, Utvisnkostn 0, Fair-Playavgift 220</t>
  </si>
  <si>
    <t>Varav 37 tkr från 2013</t>
  </si>
  <si>
    <t>Aktivitetsstöd +47.000</t>
  </si>
  <si>
    <t>Varav spelaravgift F04/05 300 kr</t>
  </si>
  <si>
    <t xml:space="preserve">IB saldo -1.560, Spelaravg +17.500, Domare -8.909, Övergångar -1.875, Bygglov -3.800, Ledararv -10.000.   </t>
  </si>
  <si>
    <t>Varav A-lag (18.434), Ungdom (45.688), Allmänt (30.683)</t>
  </si>
  <si>
    <t>Andersson</t>
  </si>
  <si>
    <t>Sundby Strandväg 46</t>
  </si>
  <si>
    <t>Lind</t>
  </si>
  <si>
    <t>Christer</t>
  </si>
  <si>
    <t>480426-1677</t>
  </si>
  <si>
    <t>Drottninggatan 15B</t>
  </si>
  <si>
    <t>632 20</t>
  </si>
  <si>
    <t>Zakaria</t>
  </si>
  <si>
    <t>Peier</t>
  </si>
  <si>
    <t>960117-5038</t>
  </si>
  <si>
    <t>Robert Anbergs väg 33B</t>
  </si>
  <si>
    <t>151 53</t>
  </si>
  <si>
    <t>660106-2877</t>
  </si>
  <si>
    <t>Annalundsvägen 40</t>
  </si>
  <si>
    <t>152 52</t>
  </si>
  <si>
    <t>Anas</t>
  </si>
  <si>
    <t>Gabro</t>
  </si>
  <si>
    <t>900222-7354</t>
  </si>
  <si>
    <t>Stålhamravägen 7</t>
  </si>
  <si>
    <t>151 47</t>
  </si>
  <si>
    <t>Manar</t>
  </si>
  <si>
    <t>Jalka</t>
  </si>
  <si>
    <t>970607-4250</t>
  </si>
  <si>
    <t>Fjärilstigen 26</t>
  </si>
  <si>
    <t>151 60</t>
  </si>
  <si>
    <t>Jouni</t>
  </si>
  <si>
    <t>Kekkonen</t>
  </si>
  <si>
    <t>710123-9296</t>
  </si>
  <si>
    <t>Bartorpsvägen 2</t>
  </si>
  <si>
    <t>151 48</t>
  </si>
  <si>
    <t>Majd</t>
  </si>
  <si>
    <t>Alsamoka</t>
  </si>
  <si>
    <t>891217-7651</t>
  </si>
  <si>
    <t>Köpmangatan 3</t>
  </si>
  <si>
    <t>151 71</t>
  </si>
  <si>
    <t>871228-0331</t>
  </si>
  <si>
    <t>Jennylidmanstig</t>
  </si>
  <si>
    <t>151 56</t>
  </si>
  <si>
    <t>Machael</t>
  </si>
  <si>
    <t>Yousif</t>
  </si>
  <si>
    <t>900105-0377</t>
  </si>
  <si>
    <t>Orrstigen 16</t>
  </si>
  <si>
    <t>151 63</t>
  </si>
  <si>
    <t>Varav reseers</t>
  </si>
  <si>
    <t>Kto</t>
  </si>
  <si>
    <t>Johan</t>
  </si>
  <si>
    <t>Woldén</t>
  </si>
  <si>
    <t>Kontant</t>
  </si>
  <si>
    <t>19821128-1616</t>
  </si>
  <si>
    <t>Violavägen 15 G</t>
  </si>
  <si>
    <t>Daniel</t>
  </si>
  <si>
    <t>Jarestrand</t>
  </si>
  <si>
    <t>19821127-1674</t>
  </si>
  <si>
    <t>Stenvägen 95 A</t>
  </si>
  <si>
    <t>Peter</t>
  </si>
  <si>
    <t>Tjerneng</t>
  </si>
  <si>
    <t>8004160431 (Nordea)</t>
  </si>
  <si>
    <t>19800416-0431</t>
  </si>
  <si>
    <t>Brostugevägen 38</t>
  </si>
  <si>
    <t>647 35</t>
  </si>
  <si>
    <t>Bet 8/12</t>
  </si>
  <si>
    <t>Carina</t>
  </si>
  <si>
    <t>Hellkvist</t>
  </si>
  <si>
    <t>8270-1 564 203 856-5</t>
  </si>
  <si>
    <t>19650127-1685</t>
  </si>
  <si>
    <t>Rönnbärsvägen 10</t>
  </si>
  <si>
    <t>Maria</t>
  </si>
  <si>
    <t>Widoff</t>
  </si>
  <si>
    <t>5344-00 238 93</t>
  </si>
  <si>
    <t>19640411-1681</t>
  </si>
  <si>
    <t>Rönnbärsvägen 8</t>
  </si>
  <si>
    <t>Camilla</t>
  </si>
  <si>
    <t>Brandner</t>
  </si>
  <si>
    <t>5344-00 383 19</t>
  </si>
  <si>
    <t>Violavägen 59</t>
  </si>
  <si>
    <t>Tomas</t>
  </si>
  <si>
    <t>5354-00 200 71</t>
  </si>
  <si>
    <t>19651023-1076</t>
  </si>
  <si>
    <t>5344-00 297 19</t>
  </si>
  <si>
    <t>19760326-1665</t>
  </si>
  <si>
    <t>Nyponvägen 60 A</t>
  </si>
  <si>
    <t>Resor till</t>
  </si>
  <si>
    <t>km</t>
  </si>
  <si>
    <t>ST-lottning</t>
  </si>
  <si>
    <t>Jäder</t>
  </si>
  <si>
    <t>Verdandi</t>
  </si>
  <si>
    <t>TNIS</t>
  </si>
  <si>
    <t>Östermalm</t>
  </si>
  <si>
    <t>Alrafidein</t>
  </si>
  <si>
    <t>Eskilstuna FC</t>
  </si>
  <si>
    <t>Barva</t>
  </si>
  <si>
    <t>Fogdö</t>
  </si>
  <si>
    <t>DM-Futsal</t>
  </si>
  <si>
    <t>Järna</t>
  </si>
  <si>
    <t>Stenkvista</t>
  </si>
  <si>
    <t>Dunker</t>
  </si>
  <si>
    <t>Vingåker</t>
  </si>
  <si>
    <t>Ersättning</t>
  </si>
  <si>
    <t>Balansräkning IFK Mariefred Fotboll 2014</t>
  </si>
  <si>
    <t>Ränta Sparkonto</t>
  </si>
  <si>
    <t>970705-2339</t>
  </si>
  <si>
    <t>Coop</t>
  </si>
  <si>
    <t>Reklamskatt</t>
  </si>
  <si>
    <t>A-lag + Damlag</t>
  </si>
  <si>
    <t>Varav A-lag (10.154), Damlag (3.728) Ungdom (15.663), Allmänt (1.225)</t>
  </si>
  <si>
    <r>
      <rPr>
        <sz val="10"/>
        <rFont val="Calibri"/>
        <family val="2"/>
        <scheme val="minor"/>
      </rPr>
      <t>A-lag (17.500),</t>
    </r>
    <r>
      <rPr>
        <sz val="10"/>
        <color theme="1"/>
        <rFont val="Calibri"/>
        <family val="2"/>
        <scheme val="minor"/>
      </rPr>
      <t xml:space="preserve"> P00, </t>
    </r>
    <r>
      <rPr>
        <sz val="10"/>
        <rFont val="Calibri"/>
        <family val="2"/>
        <scheme val="minor"/>
      </rPr>
      <t>P01</t>
    </r>
    <r>
      <rPr>
        <sz val="10"/>
        <color theme="1"/>
        <rFont val="Calibri"/>
        <family val="2"/>
        <scheme val="minor"/>
      </rPr>
      <t xml:space="preserve">, P02, </t>
    </r>
    <r>
      <rPr>
        <sz val="10"/>
        <rFont val="Calibri"/>
        <family val="2"/>
        <scheme val="minor"/>
      </rPr>
      <t>P03,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P04</t>
    </r>
    <r>
      <rPr>
        <sz val="10"/>
        <color theme="1"/>
        <rFont val="Calibri"/>
        <family val="2"/>
        <scheme val="minor"/>
      </rPr>
      <t>, P05,</t>
    </r>
    <r>
      <rPr>
        <sz val="10"/>
        <rFont val="Calibri"/>
        <family val="2"/>
        <scheme val="minor"/>
      </rPr>
      <t xml:space="preserve"> P06, Dam-lag (11.175), F00/01, </t>
    </r>
    <r>
      <rPr>
        <sz val="10"/>
        <color theme="1"/>
        <rFont val="Calibri"/>
        <family val="2"/>
        <scheme val="minor"/>
      </rPr>
      <t xml:space="preserve"> F02, </t>
    </r>
    <r>
      <rPr>
        <sz val="10"/>
        <rFont val="Calibri"/>
        <family val="2"/>
        <scheme val="minor"/>
      </rPr>
      <t xml:space="preserve">F03, </t>
    </r>
    <r>
      <rPr>
        <sz val="10"/>
        <color theme="1"/>
        <rFont val="Calibri"/>
        <family val="2"/>
        <scheme val="minor"/>
      </rPr>
      <t xml:space="preserve">F04/05, </t>
    </r>
    <r>
      <rPr>
        <sz val="10"/>
        <rFont val="Calibri"/>
        <family val="2"/>
        <scheme val="minor"/>
      </rPr>
      <t>F06</t>
    </r>
  </si>
  <si>
    <t>2015 Budget</t>
  </si>
  <si>
    <t>Varav A-laget</t>
  </si>
  <si>
    <t>Gripsholms Grill</t>
  </si>
  <si>
    <t>Mål, stegar</t>
  </si>
  <si>
    <t>Loggor</t>
  </si>
  <si>
    <t>Inomhusbollar</t>
  </si>
  <si>
    <t>Utfall 2015</t>
  </si>
  <si>
    <t>Varav A-lag (), Damlag () Ungdom (), Allmänt ()</t>
  </si>
  <si>
    <r>
      <rPr>
        <sz val="10"/>
        <rFont val="Calibri"/>
        <family val="2"/>
        <scheme val="minor"/>
      </rPr>
      <t>A-lag (),</t>
    </r>
    <r>
      <rPr>
        <sz val="10"/>
        <color theme="1"/>
        <rFont val="Calibri"/>
        <family val="2"/>
        <scheme val="minor"/>
      </rPr>
      <t xml:space="preserve"> P00/01</t>
    </r>
    <r>
      <rPr>
        <sz val="10"/>
        <color theme="1"/>
        <rFont val="Calibri"/>
        <family val="2"/>
        <scheme val="minor"/>
      </rPr>
      <t xml:space="preserve">, P02, </t>
    </r>
    <r>
      <rPr>
        <sz val="10"/>
        <rFont val="Calibri"/>
        <family val="2"/>
        <scheme val="minor"/>
      </rPr>
      <t>P03,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P04</t>
    </r>
    <r>
      <rPr>
        <sz val="10"/>
        <color theme="1"/>
        <rFont val="Calibri"/>
        <family val="2"/>
        <scheme val="minor"/>
      </rPr>
      <t>, P05,</t>
    </r>
    <r>
      <rPr>
        <sz val="10"/>
        <rFont val="Calibri"/>
        <family val="2"/>
        <scheme val="minor"/>
      </rPr>
      <t xml:space="preserve"> P06, P07, Dam-lag (), </t>
    </r>
    <r>
      <rPr>
        <sz val="10"/>
        <color theme="1"/>
        <rFont val="Calibri"/>
        <family val="2"/>
        <scheme val="minor"/>
      </rPr>
      <t xml:space="preserve">F02, </t>
    </r>
    <r>
      <rPr>
        <sz val="10"/>
        <rFont val="Calibri"/>
        <family val="2"/>
        <scheme val="minor"/>
      </rPr>
      <t xml:space="preserve">F03, </t>
    </r>
    <r>
      <rPr>
        <sz val="10"/>
        <color theme="1"/>
        <rFont val="Calibri"/>
        <family val="2"/>
        <scheme val="minor"/>
      </rPr>
      <t xml:space="preserve">F04/05, </t>
    </r>
    <r>
      <rPr>
        <sz val="10"/>
        <rFont val="Calibri"/>
        <family val="2"/>
        <scheme val="minor"/>
      </rPr>
      <t>F06, F07</t>
    </r>
  </si>
  <si>
    <t>2015-03-31</t>
  </si>
  <si>
    <t>Hyra IP Ha</t>
  </si>
  <si>
    <t>2015-03-30</t>
  </si>
  <si>
    <t>2015-03-27</t>
  </si>
  <si>
    <t>2015-03-25</t>
  </si>
  <si>
    <t>2015-03-12</t>
  </si>
  <si>
    <t>2015-03-11</t>
  </si>
  <si>
    <t>2015-03-09</t>
  </si>
  <si>
    <t>2015-03-04</t>
  </si>
  <si>
    <t>2015-03-02</t>
  </si>
  <si>
    <t>2015-02-25</t>
  </si>
  <si>
    <t>Cup P03</t>
  </si>
  <si>
    <t>direktbetalning</t>
  </si>
  <si>
    <t>2015-02-19</t>
  </si>
  <si>
    <t>2015-02-18</t>
  </si>
  <si>
    <t>2015-02-16</t>
  </si>
  <si>
    <t>Cupanmälan F04</t>
  </si>
  <si>
    <t>2015-02-13</t>
  </si>
  <si>
    <t>DIverse</t>
  </si>
  <si>
    <t>Årsavgift SvFF</t>
  </si>
  <si>
    <t>2015-02-12</t>
  </si>
  <si>
    <t>SSR,anslag Så må</t>
  </si>
  <si>
    <t>2015-02-09</t>
  </si>
  <si>
    <t>2015-02-05</t>
  </si>
  <si>
    <t>2015-01-30</t>
  </si>
  <si>
    <t>2015-01-28</t>
  </si>
  <si>
    <t>2015-01-21</t>
  </si>
  <si>
    <t>2015-01-20</t>
  </si>
  <si>
    <t>2015-01-16</t>
  </si>
  <si>
    <t>2015-01-13</t>
  </si>
  <si>
    <t>2015-01-08</t>
  </si>
  <si>
    <t>F04</t>
  </si>
  <si>
    <t>Sparbanken Rekane</t>
  </si>
  <si>
    <t>PANTAMERA 2.000 kr, Wo-avgift 950</t>
  </si>
  <si>
    <t>Fair-Play tillbaks</t>
  </si>
  <si>
    <t>Varav WO-avgift -950, Utvisnkostn 0, Fair-Playavgift -4.008</t>
  </si>
  <si>
    <t>5-manna, 7-manna</t>
  </si>
  <si>
    <t>7-manna</t>
  </si>
  <si>
    <t>Varav A-lag (613), Ungdom (), Allmänt ()</t>
  </si>
  <si>
    <t>2015-05-27</t>
  </si>
  <si>
    <t>Utbildningsbidra</t>
  </si>
  <si>
    <t>2015-05-26</t>
  </si>
  <si>
    <t>2015-05-25</t>
  </si>
  <si>
    <t>Domare F03</t>
  </si>
  <si>
    <t>2015-05-21</t>
  </si>
  <si>
    <t>2015-05-20</t>
  </si>
  <si>
    <t>Cupanmälan P07</t>
  </si>
  <si>
    <t>2015-05-19</t>
  </si>
  <si>
    <t>2015-05-18</t>
  </si>
  <si>
    <t>2015-05-15</t>
  </si>
  <si>
    <t>Material, A-lag/</t>
  </si>
  <si>
    <t>2015-05-13</t>
  </si>
  <si>
    <t>2015-05-12</t>
  </si>
  <si>
    <t>2015-05-11</t>
  </si>
  <si>
    <t>2015-05-08</t>
  </si>
  <si>
    <t>2015-05-07</t>
  </si>
  <si>
    <t>2015-05-06</t>
  </si>
  <si>
    <t>2015-05-05</t>
  </si>
  <si>
    <t>2015-05-04</t>
  </si>
  <si>
    <t>2015-04-30</t>
  </si>
  <si>
    <t>2015-04-29</t>
  </si>
  <si>
    <t>Planhyra, Domara</t>
  </si>
  <si>
    <t>Material, P04</t>
  </si>
  <si>
    <t>2015-04-27</t>
  </si>
  <si>
    <t>2015-04-24</t>
  </si>
  <si>
    <t>2015-04-23</t>
  </si>
  <si>
    <t>2015-04-22</t>
  </si>
  <si>
    <t>2015-04-21</t>
  </si>
  <si>
    <t>2015-04-20</t>
  </si>
  <si>
    <t>2015-04-16</t>
  </si>
  <si>
    <t>2015-04-15</t>
  </si>
  <si>
    <t>2015-04-08</t>
  </si>
  <si>
    <t>2015-04-07</t>
  </si>
  <si>
    <t>2015-04-01</t>
  </si>
  <si>
    <t>P07</t>
  </si>
  <si>
    <t>F05, P04, P02, Damlag, P03</t>
  </si>
  <si>
    <t>F05, P00</t>
  </si>
  <si>
    <t>F04, F02</t>
  </si>
  <si>
    <t>varav Allmänt 14.960 kr</t>
  </si>
  <si>
    <t>varav Tränarutbildning 14.300 kr</t>
  </si>
  <si>
    <t>2015-05-29</t>
  </si>
  <si>
    <t>2015-05-28</t>
  </si>
  <si>
    <t>CDM KIOSKINTÄKT</t>
  </si>
  <si>
    <t>Planhyror 2015</t>
  </si>
  <si>
    <t>Material, F04</t>
  </si>
  <si>
    <t>Material, F03</t>
  </si>
  <si>
    <t>ICA P05</t>
  </si>
  <si>
    <t>Kioskintäkt</t>
  </si>
  <si>
    <t>Betalas juni</t>
  </si>
  <si>
    <t>Mariefreds Pizzeria</t>
  </si>
  <si>
    <t>2015-07-21</t>
  </si>
  <si>
    <t>2015-07-20</t>
  </si>
  <si>
    <t>2015-07-16</t>
  </si>
  <si>
    <t>2015-07-14</t>
  </si>
  <si>
    <t>2015-07-13</t>
  </si>
  <si>
    <t>Medlemsbidrag åt</t>
  </si>
  <si>
    <t>2015-07-09</t>
  </si>
  <si>
    <t>2015-07-06</t>
  </si>
  <si>
    <t>Cupanmälan F05</t>
  </si>
  <si>
    <t>F SKOLAN 15</t>
  </si>
  <si>
    <t>2015-07-02</t>
  </si>
  <si>
    <t>STÄLL P03</t>
  </si>
  <si>
    <t>2015-07-01</t>
  </si>
  <si>
    <t>Material, P07</t>
  </si>
  <si>
    <t>2015-06-30</t>
  </si>
  <si>
    <t>2015-06-29</t>
  </si>
  <si>
    <t>2015-06-26</t>
  </si>
  <si>
    <t>2015-06-24</t>
  </si>
  <si>
    <t>2015-06-23</t>
  </si>
  <si>
    <t>2015-06-22</t>
  </si>
  <si>
    <t>2015-06-18</t>
  </si>
  <si>
    <t>2015-06-17</t>
  </si>
  <si>
    <t>2015-06-16</t>
  </si>
  <si>
    <t>KIOSKPENGAR</t>
  </si>
  <si>
    <t>Material Kiosk</t>
  </si>
  <si>
    <t>2015-06-15</t>
  </si>
  <si>
    <t>2015-06-12</t>
  </si>
  <si>
    <t>2015-06-11</t>
  </si>
  <si>
    <t>2015-06-10</t>
  </si>
  <si>
    <t>2015-06-09</t>
  </si>
  <si>
    <t>2015-06-08</t>
  </si>
  <si>
    <t>2015-06-05</t>
  </si>
  <si>
    <t>2015-06-04</t>
  </si>
  <si>
    <t>Material, F05</t>
  </si>
  <si>
    <t>2015-06-03</t>
  </si>
  <si>
    <t>2015-06-02</t>
  </si>
  <si>
    <t>2015-06-01</t>
  </si>
  <si>
    <t>Rese- och domarbidrag</t>
  </si>
  <si>
    <t>Nyckel</t>
  </si>
  <si>
    <t>PANTAMERA 1.600 kr, Sektionsavgift F03 5.600 kr, Material F03 9.070 kr</t>
  </si>
  <si>
    <t>Licensavgift P00 850 kr, Serieanmälan P00 1.000 kr</t>
  </si>
  <si>
    <t>F04 (1.200 kr), F05 (400 kr)</t>
  </si>
  <si>
    <t>PANTAMERA 1.800 kr, Kioskinköp F05 1.985 kr</t>
  </si>
  <si>
    <t>Sektionsavgift F03 1.600 kr, Material F03 698 kr</t>
  </si>
  <si>
    <t>KIoskintäkter</t>
  </si>
  <si>
    <r>
      <rPr>
        <sz val="10"/>
        <rFont val="Calibri"/>
        <family val="2"/>
        <scheme val="minor"/>
      </rPr>
      <t>A-lag (),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rgb="FF00FF00"/>
        <rFont val="Calibri"/>
        <family val="2"/>
        <scheme val="minor"/>
      </rPr>
      <t>P00</t>
    </r>
    <r>
      <rPr>
        <sz val="10"/>
        <color theme="1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P02</t>
    </r>
    <r>
      <rPr>
        <sz val="10"/>
        <color theme="1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P03</t>
    </r>
    <r>
      <rPr>
        <sz val="10"/>
        <rFont val="Calibri"/>
        <family val="2"/>
        <scheme val="minor"/>
      </rPr>
      <t>,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color rgb="FF00FF00"/>
        <rFont val="Calibri"/>
        <family val="2"/>
        <scheme val="minor"/>
      </rPr>
      <t>P04</t>
    </r>
    <r>
      <rPr>
        <sz val="10"/>
        <color theme="1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P05</t>
    </r>
    <r>
      <rPr>
        <sz val="10"/>
        <color theme="1"/>
        <rFont val="Calibri"/>
        <family val="2"/>
        <scheme val="minor"/>
      </rPr>
      <t>,</t>
    </r>
    <r>
      <rPr>
        <sz val="10"/>
        <rFont val="Calibri"/>
        <family val="2"/>
        <scheme val="minor"/>
      </rPr>
      <t xml:space="preserve"> </t>
    </r>
    <r>
      <rPr>
        <sz val="10"/>
        <color rgb="FF00FF00"/>
        <rFont val="Calibri"/>
        <family val="2"/>
        <scheme val="minor"/>
      </rPr>
      <t>P06</t>
    </r>
    <r>
      <rPr>
        <sz val="10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P07</t>
    </r>
    <r>
      <rPr>
        <sz val="10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Dam-lag (8.400)</t>
    </r>
    <r>
      <rPr>
        <sz val="10"/>
        <rFont val="Calibri"/>
        <family val="2"/>
        <scheme val="minor"/>
      </rPr>
      <t>,</t>
    </r>
    <r>
      <rPr>
        <sz val="10"/>
        <color rgb="FF00FF00"/>
        <rFont val="Calibri"/>
        <family val="2"/>
        <scheme val="minor"/>
      </rPr>
      <t xml:space="preserve"> F02</t>
    </r>
    <r>
      <rPr>
        <sz val="10"/>
        <color theme="1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F03</t>
    </r>
    <r>
      <rPr>
        <sz val="10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F04,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rgb="FF00FF00"/>
        <rFont val="Calibri"/>
        <family val="2"/>
        <scheme val="minor"/>
      </rPr>
      <t>F05</t>
    </r>
    <r>
      <rPr>
        <sz val="10"/>
        <color theme="1"/>
        <rFont val="Calibri"/>
        <family val="2"/>
        <scheme val="minor"/>
      </rPr>
      <t xml:space="preserve">, </t>
    </r>
    <r>
      <rPr>
        <sz val="10"/>
        <rFont val="Calibri"/>
        <family val="2"/>
        <scheme val="minor"/>
      </rPr>
      <t>F06, F07</t>
    </r>
  </si>
  <si>
    <t>Stiftelsen, M-freds Pizzeria, Rekane</t>
  </si>
  <si>
    <t>Varav A-lag (23.651), Damlag (9.443), Ungdom (45.664), Allmänt (34.226)</t>
  </si>
  <si>
    <t>2015-08-20</t>
  </si>
  <si>
    <t>2015-08-19</t>
  </si>
  <si>
    <t>OVERALLERF05</t>
  </si>
  <si>
    <t>2015-08-17</t>
  </si>
  <si>
    <t>Cupanmälan F03</t>
  </si>
  <si>
    <t>2015-08-13</t>
  </si>
  <si>
    <t>OVERALL P04</t>
  </si>
  <si>
    <t>2015-08-12</t>
  </si>
  <si>
    <t>2015-08-07</t>
  </si>
  <si>
    <t>2015-07-29</t>
  </si>
  <si>
    <t>2015-07-24</t>
  </si>
  <si>
    <t>2015-07-23</t>
  </si>
  <si>
    <t>Varav A-lag (23.651), Damlag (9.443), Ungdom (46.630), Allmänt (34.226)</t>
  </si>
  <si>
    <t>Varav WO-avgift -950, Utvisnkostn 0, Fair-Playavgift -4.008, Flytt matcher 1.000</t>
  </si>
  <si>
    <t>2015-09-18</t>
  </si>
  <si>
    <t>2015-09-17</t>
  </si>
  <si>
    <t>2015-09-16</t>
  </si>
  <si>
    <t>2015-09-15</t>
  </si>
  <si>
    <t>SWISH IFK</t>
  </si>
  <si>
    <t>2015-09-14</t>
  </si>
  <si>
    <t>2015-09-10</t>
  </si>
  <si>
    <t>2015-09-09</t>
  </si>
  <si>
    <t>2015-09-08</t>
  </si>
  <si>
    <t>2015-09-07</t>
  </si>
  <si>
    <t>2015-09-04</t>
  </si>
  <si>
    <t>2015-09-01</t>
  </si>
  <si>
    <t>2015-08-31</t>
  </si>
  <si>
    <t>2015-08-27</t>
  </si>
  <si>
    <t>2015-08-26</t>
  </si>
  <si>
    <t>PANTAMERA 1.000 kr, Sektionsavgift F07 2.700 kr</t>
  </si>
  <si>
    <t>Halv avgift</t>
  </si>
  <si>
    <t>P00, F05, P02</t>
  </si>
  <si>
    <r>
      <rPr>
        <sz val="10"/>
        <rFont val="Calibri"/>
        <family val="2"/>
        <scheme val="minor"/>
      </rPr>
      <t>A-lag (),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rgb="FF00FF00"/>
        <rFont val="Calibri"/>
        <family val="2"/>
        <scheme val="minor"/>
      </rPr>
      <t>P00</t>
    </r>
    <r>
      <rPr>
        <sz val="10"/>
        <color theme="1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P02</t>
    </r>
    <r>
      <rPr>
        <sz val="10"/>
        <color theme="1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P03</t>
    </r>
    <r>
      <rPr>
        <sz val="10"/>
        <rFont val="Calibri"/>
        <family val="2"/>
        <scheme val="minor"/>
      </rPr>
      <t>,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color rgb="FF00FF00"/>
        <rFont val="Calibri"/>
        <family val="2"/>
        <scheme val="minor"/>
      </rPr>
      <t>P04</t>
    </r>
    <r>
      <rPr>
        <sz val="10"/>
        <color theme="1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P05</t>
    </r>
    <r>
      <rPr>
        <sz val="10"/>
        <color theme="1"/>
        <rFont val="Calibri"/>
        <family val="2"/>
        <scheme val="minor"/>
      </rPr>
      <t>,</t>
    </r>
    <r>
      <rPr>
        <sz val="10"/>
        <rFont val="Calibri"/>
        <family val="2"/>
        <scheme val="minor"/>
      </rPr>
      <t xml:space="preserve"> </t>
    </r>
    <r>
      <rPr>
        <sz val="10"/>
        <color rgb="FF00FF00"/>
        <rFont val="Calibri"/>
        <family val="2"/>
        <scheme val="minor"/>
      </rPr>
      <t>P06</t>
    </r>
    <r>
      <rPr>
        <sz val="10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P07</t>
    </r>
    <r>
      <rPr>
        <sz val="10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Dam-lag (8.400)</t>
    </r>
    <r>
      <rPr>
        <sz val="10"/>
        <rFont val="Calibri"/>
        <family val="2"/>
        <scheme val="minor"/>
      </rPr>
      <t>,</t>
    </r>
    <r>
      <rPr>
        <sz val="10"/>
        <color rgb="FF00FF00"/>
        <rFont val="Calibri"/>
        <family val="2"/>
        <scheme val="minor"/>
      </rPr>
      <t xml:space="preserve"> F02</t>
    </r>
    <r>
      <rPr>
        <sz val="10"/>
        <color theme="1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F03</t>
    </r>
    <r>
      <rPr>
        <sz val="10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F04,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rgb="FF00FF00"/>
        <rFont val="Calibri"/>
        <family val="2"/>
        <scheme val="minor"/>
      </rPr>
      <t>F05</t>
    </r>
    <r>
      <rPr>
        <sz val="10"/>
        <color theme="1"/>
        <rFont val="Calibri"/>
        <family val="2"/>
        <scheme val="minor"/>
      </rPr>
      <t xml:space="preserve">, </t>
    </r>
    <r>
      <rPr>
        <sz val="10"/>
        <rFont val="Calibri"/>
        <family val="2"/>
        <scheme val="minor"/>
      </rPr>
      <t xml:space="preserve">F06, </t>
    </r>
    <r>
      <rPr>
        <sz val="10"/>
        <color rgb="FF00FF00"/>
        <rFont val="Calibri"/>
        <family val="2"/>
        <scheme val="minor"/>
      </rPr>
      <t>F07</t>
    </r>
  </si>
  <si>
    <t>Varav Fotbollsskolan ca 6.000 kr</t>
  </si>
  <si>
    <t>A-lag 1.095 kr, Ungdom 3.570,  Allmänt 1.796 kr</t>
  </si>
  <si>
    <t>2015-09-23</t>
  </si>
  <si>
    <t>2015-09-21</t>
  </si>
  <si>
    <t>Varav A-lag (25.819), Damlag (9.443), Ungdom (52.809), Allmänt (36.022)</t>
  </si>
  <si>
    <t>Avskrivn fotbollsplan</t>
  </si>
  <si>
    <t>2015-10-16</t>
  </si>
  <si>
    <t>2015-10-15</t>
  </si>
  <si>
    <t>2015-10-14</t>
  </si>
  <si>
    <t>2015-10-13</t>
  </si>
  <si>
    <t>2015-10-08</t>
  </si>
  <si>
    <t>2015-10-06</t>
  </si>
  <si>
    <t>2015-10-05</t>
  </si>
  <si>
    <t>2015-10-02</t>
  </si>
  <si>
    <t>2015-10-01</t>
  </si>
  <si>
    <t>2015-09-30</t>
  </si>
  <si>
    <t>2015-09-29</t>
  </si>
  <si>
    <t>2015-09-28</t>
  </si>
  <si>
    <t>2015-09-25</t>
  </si>
  <si>
    <t>PANTAMERA 1.800 kr, Sponsor Grill 3.000 kr, Utbildningsbidrag 19.478 kr</t>
  </si>
  <si>
    <t>Varav A-lag (26.580), Damlag (9.443), Ungdom (53.407), Allmänt (36.022)</t>
  </si>
  <si>
    <t>Stiftelsen, M-freds Pizzeria, Rekane, Grill</t>
  </si>
  <si>
    <t>2015-11-17</t>
  </si>
  <si>
    <t>2015-11-16</t>
  </si>
  <si>
    <t>2015-11-11</t>
  </si>
  <si>
    <t>2015-11-05</t>
  </si>
  <si>
    <t>2015-11-03</t>
  </si>
  <si>
    <t>2015-11-02</t>
  </si>
  <si>
    <t>2015-10-30</t>
  </si>
  <si>
    <t>2015-10-28</t>
  </si>
  <si>
    <t>2015-10-26</t>
  </si>
  <si>
    <t>2015-10-21</t>
  </si>
  <si>
    <t>2015-10-20</t>
  </si>
  <si>
    <t>Material Bollsko</t>
  </si>
  <si>
    <t>2015-10-19</t>
  </si>
  <si>
    <t>Cupanmälan F02</t>
  </si>
  <si>
    <t>Gåva UNHCR</t>
  </si>
  <si>
    <t>Bollskolan</t>
  </si>
  <si>
    <t>Fsg Handbollen</t>
  </si>
  <si>
    <t>PANTAMERA 1.600 kr, Gräsroten 4.390 kr</t>
  </si>
  <si>
    <t>Varav WO-avgift -7.950, Utvisnkostn 0, Fair-Playavgift -4.008, Flytt matcher 1.000</t>
  </si>
  <si>
    <r>
      <rPr>
        <sz val="10"/>
        <rFont val="Calibri"/>
        <family val="2"/>
        <scheme val="minor"/>
      </rPr>
      <t>A-lag (),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rgb="FF00FF00"/>
        <rFont val="Calibri"/>
        <family val="2"/>
        <scheme val="minor"/>
      </rPr>
      <t>P00</t>
    </r>
    <r>
      <rPr>
        <sz val="10"/>
        <color theme="1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P02</t>
    </r>
    <r>
      <rPr>
        <sz val="10"/>
        <color theme="1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P03</t>
    </r>
    <r>
      <rPr>
        <sz val="10"/>
        <rFont val="Calibri"/>
        <family val="2"/>
        <scheme val="minor"/>
      </rPr>
      <t>,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color rgb="FF00FF00"/>
        <rFont val="Calibri"/>
        <family val="2"/>
        <scheme val="minor"/>
      </rPr>
      <t>P04</t>
    </r>
    <r>
      <rPr>
        <sz val="10"/>
        <color theme="1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P05</t>
    </r>
    <r>
      <rPr>
        <sz val="10"/>
        <color theme="1"/>
        <rFont val="Calibri"/>
        <family val="2"/>
        <scheme val="minor"/>
      </rPr>
      <t>,</t>
    </r>
    <r>
      <rPr>
        <sz val="10"/>
        <rFont val="Calibri"/>
        <family val="2"/>
        <scheme val="minor"/>
      </rPr>
      <t xml:space="preserve"> </t>
    </r>
    <r>
      <rPr>
        <sz val="10"/>
        <color rgb="FF00FF00"/>
        <rFont val="Calibri"/>
        <family val="2"/>
        <scheme val="minor"/>
      </rPr>
      <t>P06</t>
    </r>
    <r>
      <rPr>
        <sz val="10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P07</t>
    </r>
    <r>
      <rPr>
        <sz val="10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Dam-lag (8.400)</t>
    </r>
    <r>
      <rPr>
        <sz val="10"/>
        <rFont val="Calibri"/>
        <family val="2"/>
        <scheme val="minor"/>
      </rPr>
      <t>,</t>
    </r>
    <r>
      <rPr>
        <sz val="10"/>
        <color rgb="FF00FF00"/>
        <rFont val="Calibri"/>
        <family val="2"/>
        <scheme val="minor"/>
      </rPr>
      <t xml:space="preserve"> F02</t>
    </r>
    <r>
      <rPr>
        <sz val="10"/>
        <color theme="1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F03</t>
    </r>
    <r>
      <rPr>
        <sz val="10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F04,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rgb="FF00FF00"/>
        <rFont val="Calibri"/>
        <family val="2"/>
        <scheme val="minor"/>
      </rPr>
      <t>F05</t>
    </r>
    <r>
      <rPr>
        <sz val="10"/>
        <color theme="1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F06,</t>
    </r>
    <r>
      <rPr>
        <sz val="10"/>
        <rFont val="Calibri"/>
        <family val="2"/>
        <scheme val="minor"/>
      </rPr>
      <t xml:space="preserve"> </t>
    </r>
    <r>
      <rPr>
        <sz val="10"/>
        <color rgb="FF00FF00"/>
        <rFont val="Calibri"/>
        <family val="2"/>
        <scheme val="minor"/>
      </rPr>
      <t>F07</t>
    </r>
  </si>
  <si>
    <t>Varav A-lag (26.580), Damlag (9.661), Ungdom (54.601), Allmänt (36.022)</t>
  </si>
  <si>
    <t>Glass</t>
  </si>
  <si>
    <t>Varav färdigställande kioskbygge (24.480)</t>
  </si>
  <si>
    <t>2015-12-28</t>
  </si>
  <si>
    <t>2015-12-23</t>
  </si>
  <si>
    <t>2015-12-22</t>
  </si>
  <si>
    <t>2015-12-17</t>
  </si>
  <si>
    <t>2015-12-16</t>
  </si>
  <si>
    <t>2015-12-15</t>
  </si>
  <si>
    <t>2015-12-14</t>
  </si>
  <si>
    <t>2015-12-10</t>
  </si>
  <si>
    <t>2015-12-09</t>
  </si>
  <si>
    <t>Serieanmälan Fut</t>
  </si>
  <si>
    <t>2015-12-07</t>
  </si>
  <si>
    <t>2015-11-27</t>
  </si>
  <si>
    <t>2015-11-26</t>
  </si>
  <si>
    <t>2015-11-25</t>
  </si>
  <si>
    <t>2015-11-23</t>
  </si>
  <si>
    <t>Nycklar kiosken</t>
  </si>
  <si>
    <t>A-laget, avräkning</t>
  </si>
  <si>
    <t>Spelaravgifter 12.900 kr, Domare 12.417 kr, Licensavgifter 3.500 kr, Ledararvoden (varav reskostnader 3.696 kr) 12.500 kr, Material 1.099 kr.</t>
  </si>
  <si>
    <t>Idrottslyftet 10%</t>
  </si>
  <si>
    <t>Varav WO-avgift -7.950, Utvisnkostn 0, Fair-Playavgift -3.408, Flytt matcher 1.000</t>
  </si>
  <si>
    <t>Idrottslyftet 90%</t>
  </si>
  <si>
    <t>2016 Budget</t>
  </si>
  <si>
    <t>Varav A-lag (29.032), Damlag (9.661), Ungdom (54.601), Allmänt (36.471)</t>
  </si>
  <si>
    <t>Varav A-lag (12.417), Damlag (4.976) Ungdom (38.853), Allmänt (2.010)</t>
  </si>
  <si>
    <t>A-lag (12.500) + Damlag (11.000)</t>
  </si>
  <si>
    <t>A-lag (12.900), P00, P02, P03, P04, P05, P06, P07, Dam-lag (8.400), F02, F03, F04, F05, F06, F07</t>
  </si>
  <si>
    <t>Balansräkning IFK Mariefred Fotboll 2015</t>
  </si>
  <si>
    <t>Sparränta sparkonto</t>
  </si>
  <si>
    <t>A-Laget</t>
  </si>
  <si>
    <t>Diverse intäkter</t>
  </si>
  <si>
    <t>Bokslutsdisposition</t>
  </si>
  <si>
    <t>Varav Fotbollsskolan ca XXX kr</t>
  </si>
  <si>
    <t>A-lag (), P00, P02, P03, P04, P05, P06, P07, Dam-lag (8.400), F02, F03, F04, F05, F06, F07</t>
  </si>
  <si>
    <t>Varav färdigställande kioskbygge ()</t>
  </si>
  <si>
    <t xml:space="preserve">Varav WO-avgift , Utvisnkostn 0, Fair-Playavgift , Flytt matcher </t>
  </si>
  <si>
    <t>A-lag () + Damlag ()</t>
  </si>
  <si>
    <t>2016-02-29</t>
  </si>
  <si>
    <t>2016-02-24</t>
  </si>
  <si>
    <t>2016-02-23</t>
  </si>
  <si>
    <t>2016-02-18</t>
  </si>
  <si>
    <t>2016-02-16</t>
  </si>
  <si>
    <t>2016-02-15</t>
  </si>
  <si>
    <t>2016-02-10</t>
  </si>
  <si>
    <t>2016-02-08</t>
  </si>
  <si>
    <t>Kiosk Innebandy</t>
  </si>
  <si>
    <t>1230567214</t>
  </si>
  <si>
    <t>Swish</t>
  </si>
  <si>
    <t>2016-02-04</t>
  </si>
  <si>
    <t>2016-02-03</t>
  </si>
  <si>
    <t>Serieanmälan DM</t>
  </si>
  <si>
    <t>2016-01-29</t>
  </si>
  <si>
    <t>SSR, anslag Så m</t>
  </si>
  <si>
    <t>2016-01-28</t>
  </si>
  <si>
    <t>2016-01-27</t>
  </si>
  <si>
    <t>2016-01-20</t>
  </si>
  <si>
    <t>2016-01-19</t>
  </si>
  <si>
    <t>Reklamskatt Fotb</t>
  </si>
  <si>
    <t>2016-01-18</t>
  </si>
  <si>
    <t>2016-01-13</t>
  </si>
  <si>
    <t>Planhyra 2015</t>
  </si>
  <si>
    <t>2016-01-11</t>
  </si>
  <si>
    <t>2016-01-07</t>
  </si>
  <si>
    <t>Domar- och resebidrag</t>
  </si>
  <si>
    <t>Ledarutveckling</t>
  </si>
  <si>
    <t>Varav A-lag (870), Damlag (), Ungdom (89), Allmänt ()</t>
  </si>
  <si>
    <t>2016-03-31</t>
  </si>
  <si>
    <t>2016-03-30</t>
  </si>
  <si>
    <t>2016-03-29</t>
  </si>
  <si>
    <t>2016-03-21</t>
  </si>
  <si>
    <t>2016-03-16</t>
  </si>
  <si>
    <t>2016-03-14</t>
  </si>
  <si>
    <t>2016-03-10</t>
  </si>
  <si>
    <t>2016-03-07</t>
  </si>
  <si>
    <t>2016-03-04</t>
  </si>
  <si>
    <t>2016-03-02</t>
  </si>
  <si>
    <t>2016-03-01</t>
  </si>
  <si>
    <t>Lagkassa P00</t>
  </si>
  <si>
    <t>Stiftelsen</t>
  </si>
  <si>
    <t>Varav A-lag (1.517), Damlag (), Ungdom (89), Allmänt ()</t>
  </si>
  <si>
    <t>Varav A-lag (2.290), Damlag () Ungdom (1.795), Allmänt (600)</t>
  </si>
  <si>
    <t>M-freds Pizzeria, (Rekane), Insulanders</t>
  </si>
  <si>
    <t>Varav Fotbollsskolan ca 6.700 kr</t>
  </si>
  <si>
    <t>2016-05-13</t>
  </si>
  <si>
    <t>Swish +46767222143</t>
  </si>
  <si>
    <t>2016-05-12</t>
  </si>
  <si>
    <t>Material F07</t>
  </si>
  <si>
    <t>2016-05-11</t>
  </si>
  <si>
    <t>400</t>
  </si>
  <si>
    <t>2016-05-09</t>
  </si>
  <si>
    <t>Swish +46730283205</t>
  </si>
  <si>
    <t>Swish +46709436380</t>
  </si>
  <si>
    <t>Swish +46706706173</t>
  </si>
  <si>
    <t>Swish +46708107484</t>
  </si>
  <si>
    <t>Swish +46708642103</t>
  </si>
  <si>
    <t>Swish +46706652414</t>
  </si>
  <si>
    <t>Swish +46722508555</t>
  </si>
  <si>
    <t>Swish +46704254584</t>
  </si>
  <si>
    <t>Swish +46704226147</t>
  </si>
  <si>
    <t>Swish +46763908098</t>
  </si>
  <si>
    <t>Swish +46733698580</t>
  </si>
  <si>
    <t>Swish +46760180488</t>
  </si>
  <si>
    <t>Swish +46706014654</t>
  </si>
  <si>
    <t>Swish +46703808782</t>
  </si>
  <si>
    <t>Swish +46702583362</t>
  </si>
  <si>
    <t>Swish +46704008987</t>
  </si>
  <si>
    <t>Swish +46705808260</t>
  </si>
  <si>
    <t>Swish +46723026290</t>
  </si>
  <si>
    <t>Swish +46733243055</t>
  </si>
  <si>
    <t>Swish +46704059302</t>
  </si>
  <si>
    <t>Swish +46707774910</t>
  </si>
  <si>
    <t>2016-05-06</t>
  </si>
  <si>
    <t>Sponsring P02</t>
  </si>
  <si>
    <t>Swish +46708850863</t>
  </si>
  <si>
    <t>Swish +46708415010</t>
  </si>
  <si>
    <t>Swish +46707264016</t>
  </si>
  <si>
    <t>Swish +46708126180</t>
  </si>
  <si>
    <t>Swish +46739801773</t>
  </si>
  <si>
    <t>Swish +46706419466</t>
  </si>
  <si>
    <t>Swish +46704441915</t>
  </si>
  <si>
    <t>Swish +46702916080</t>
  </si>
  <si>
    <t>2016-05-04</t>
  </si>
  <si>
    <t>2016-05-03</t>
  </si>
  <si>
    <t>2016-05-02</t>
  </si>
  <si>
    <t>Swish +46738009586</t>
  </si>
  <si>
    <t>Swish +46709936793</t>
  </si>
  <si>
    <t>Swish +46705270342</t>
  </si>
  <si>
    <t>Swish +46702704853</t>
  </si>
  <si>
    <t>Swish +46704453035</t>
  </si>
  <si>
    <t>Swish +46706448881</t>
  </si>
  <si>
    <t>Swish +46763488494</t>
  </si>
  <si>
    <t>Swish +46704170583</t>
  </si>
  <si>
    <t>Swish +46767047697</t>
  </si>
  <si>
    <t>Swish +46730458002</t>
  </si>
  <si>
    <t>Swish +46725424310</t>
  </si>
  <si>
    <t>Swish +46735584546</t>
  </si>
  <si>
    <t>Swish +46730763970</t>
  </si>
  <si>
    <t>Swish +46723073887</t>
  </si>
  <si>
    <t>Swish +46704562233</t>
  </si>
  <si>
    <t>Swish +46737259825</t>
  </si>
  <si>
    <t>Swish +46730375210</t>
  </si>
  <si>
    <t>Swish +46702578072</t>
  </si>
  <si>
    <t>Swish +46723756581</t>
  </si>
  <si>
    <t>Swish +46768033644</t>
  </si>
  <si>
    <t>Swish +46735052168</t>
  </si>
  <si>
    <t>Swish +46703089857</t>
  </si>
  <si>
    <t>Swish +46736799327</t>
  </si>
  <si>
    <t>Swish +46736508899</t>
  </si>
  <si>
    <t>Swish +46703780240</t>
  </si>
  <si>
    <t>Swish +46706717139</t>
  </si>
  <si>
    <t>Swish +46707872784</t>
  </si>
  <si>
    <t>Swish +46761865525</t>
  </si>
  <si>
    <t>Swish +46761157897</t>
  </si>
  <si>
    <t>Swish +46735062725</t>
  </si>
  <si>
    <t>Swish +46704341583</t>
  </si>
  <si>
    <t>Swish +46703586063</t>
  </si>
  <si>
    <t>Swish +46768211282</t>
  </si>
  <si>
    <t>Swish +46768474917</t>
  </si>
  <si>
    <t>Swish +46702192639</t>
  </si>
  <si>
    <t>2016-04-28</t>
  </si>
  <si>
    <t>MATERIAL P05</t>
  </si>
  <si>
    <t>Tränarutveckling</t>
  </si>
  <si>
    <t>2016-04-27</t>
  </si>
  <si>
    <t>2016-04-26</t>
  </si>
  <si>
    <t>2016-04-25</t>
  </si>
  <si>
    <t>Swish +46702906322</t>
  </si>
  <si>
    <t>Swish +46703226462</t>
  </si>
  <si>
    <t>Swish +46707145355</t>
  </si>
  <si>
    <t>Swish +46706342154</t>
  </si>
  <si>
    <t>Swish +46734089792</t>
  </si>
  <si>
    <t>Swish +46708600405</t>
  </si>
  <si>
    <t>Swish +46707727344</t>
  </si>
  <si>
    <t>Swish +46720067197</t>
  </si>
  <si>
    <t>Swish +46735110373</t>
  </si>
  <si>
    <t>Swish +46732442288</t>
  </si>
  <si>
    <t>2016-04-22</t>
  </si>
  <si>
    <t>2016-04-21</t>
  </si>
  <si>
    <t>2016-04-19</t>
  </si>
  <si>
    <t>2016-04-18</t>
  </si>
  <si>
    <t>SPELARAVGP05</t>
  </si>
  <si>
    <t>Swish +46706956887</t>
  </si>
  <si>
    <t>Swish +46702751292</t>
  </si>
  <si>
    <t>2016-04-14</t>
  </si>
  <si>
    <t>2016-04-13</t>
  </si>
  <si>
    <t>2016-04-11</t>
  </si>
  <si>
    <t>2016-04-08</t>
  </si>
  <si>
    <t>2016-04-04</t>
  </si>
  <si>
    <t>2016-04-01</t>
  </si>
  <si>
    <t>F07</t>
  </si>
  <si>
    <t>Coerver</t>
  </si>
  <si>
    <t>Rekane</t>
  </si>
  <si>
    <t>HT 2015</t>
  </si>
  <si>
    <t>Åter P04</t>
  </si>
  <si>
    <t>Allmänt 15.670, A-lag 4.025, P02 613</t>
  </si>
  <si>
    <t>Åter P04 754, Pantamera 1.600</t>
  </si>
  <si>
    <t>7-manna &amp; 5-manna</t>
  </si>
  <si>
    <t>Åter P03</t>
  </si>
  <si>
    <r>
      <t>Mariefreds Pizzeria 5.080 kr, Insulanders 5.080 kr, Pantamera P05 1.400</t>
    </r>
    <r>
      <rPr>
        <sz val="11"/>
        <rFont val="Calibri"/>
        <family val="2"/>
        <scheme val="minor"/>
      </rPr>
      <t>, A-lag material åter 7.365 kr</t>
    </r>
  </si>
  <si>
    <t>Åter P05</t>
  </si>
  <si>
    <t>Värdshuset</t>
  </si>
  <si>
    <t>Kiosk 1.277, A-lag 415, P05 3.685</t>
  </si>
  <si>
    <t>Åter SöFF</t>
  </si>
  <si>
    <t>F04 + P06</t>
  </si>
  <si>
    <t>Stenkvista &amp; Essinge</t>
  </si>
  <si>
    <t>Skall åter från P02</t>
  </si>
  <si>
    <t>Varav A-lag 3.500</t>
  </si>
  <si>
    <t>Spelaravgift P03 10.800 kr, Schilling sponsring 25.240 kr</t>
  </si>
  <si>
    <t>M-freds Pizzeria, Rekane, Insulanders</t>
  </si>
  <si>
    <t>Varav färdigställande kioskbygge (17.843)</t>
  </si>
  <si>
    <t>Stiftelsen, SöFF</t>
  </si>
  <si>
    <t>Varav A-lag (15.780), Damlag (), Ungdom (47.049), Allmänt (35.087)</t>
  </si>
  <si>
    <t>Varav A-lag (7.300), Damlag () Ungdom (7.300), Allmänt (600)</t>
  </si>
  <si>
    <t xml:space="preserve">Varav WO-avgift () , Utvisnkostn (), Fair-Playavgift () , Flytt matcher () </t>
  </si>
  <si>
    <r>
      <t xml:space="preserve">A-lag (), </t>
    </r>
    <r>
      <rPr>
        <sz val="8"/>
        <color rgb="FF00FF00"/>
        <rFont val="Calibri"/>
        <family val="2"/>
        <scheme val="minor"/>
      </rPr>
      <t>P02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00FF00"/>
        <rFont val="Calibri"/>
        <family val="2"/>
        <scheme val="minor"/>
      </rPr>
      <t>P03</t>
    </r>
    <r>
      <rPr>
        <sz val="8"/>
        <color theme="1"/>
        <rFont val="Calibri"/>
        <family val="2"/>
        <scheme val="minor"/>
      </rPr>
      <t xml:space="preserve">, P04, </t>
    </r>
    <r>
      <rPr>
        <sz val="8"/>
        <color rgb="FF00FF00"/>
        <rFont val="Calibri"/>
        <family val="2"/>
        <scheme val="minor"/>
      </rPr>
      <t>P05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00FF00"/>
        <rFont val="Calibri"/>
        <family val="2"/>
        <scheme val="minor"/>
      </rPr>
      <t>P06,</t>
    </r>
    <r>
      <rPr>
        <sz val="8"/>
        <color theme="1"/>
        <rFont val="Calibri"/>
        <family val="2"/>
        <scheme val="minor"/>
      </rPr>
      <t xml:space="preserve"> </t>
    </r>
    <r>
      <rPr>
        <sz val="8"/>
        <color rgb="FF00FF00"/>
        <rFont val="Calibri"/>
        <family val="2"/>
        <scheme val="minor"/>
      </rPr>
      <t>P07</t>
    </r>
    <r>
      <rPr>
        <sz val="8"/>
        <color theme="1"/>
        <rFont val="Calibri"/>
        <family val="2"/>
        <scheme val="minor"/>
      </rPr>
      <t xml:space="preserve">, Dam-lag (), </t>
    </r>
    <r>
      <rPr>
        <sz val="8"/>
        <color rgb="FF00FF00"/>
        <rFont val="Calibri"/>
        <family val="2"/>
        <scheme val="minor"/>
      </rPr>
      <t>F02</t>
    </r>
    <r>
      <rPr>
        <sz val="8"/>
        <color theme="1"/>
        <rFont val="Calibri"/>
        <family val="2"/>
        <scheme val="minor"/>
      </rPr>
      <t xml:space="preserve">, F03, </t>
    </r>
    <r>
      <rPr>
        <sz val="8"/>
        <color rgb="FF00FF00"/>
        <rFont val="Calibri"/>
        <family val="2"/>
        <scheme val="minor"/>
      </rPr>
      <t>F04,</t>
    </r>
    <r>
      <rPr>
        <sz val="8"/>
        <color theme="1"/>
        <rFont val="Calibri"/>
        <family val="2"/>
        <scheme val="minor"/>
      </rPr>
      <t xml:space="preserve"> </t>
    </r>
    <r>
      <rPr>
        <sz val="8"/>
        <color rgb="FF00FF00"/>
        <rFont val="Calibri"/>
        <family val="2"/>
        <scheme val="minor"/>
      </rPr>
      <t>F05</t>
    </r>
    <r>
      <rPr>
        <sz val="8"/>
        <color theme="1"/>
        <rFont val="Calibri"/>
        <family val="2"/>
        <scheme val="minor"/>
      </rPr>
      <t>, F07</t>
    </r>
  </si>
  <si>
    <t>2016-06-10</t>
  </si>
  <si>
    <t>2016-06-08</t>
  </si>
  <si>
    <t>Planhyra 2016</t>
  </si>
  <si>
    <t>2016-06-07</t>
  </si>
  <si>
    <t>Swish +46707551856</t>
  </si>
  <si>
    <t>Swish +46705601052</t>
  </si>
  <si>
    <t>Swish +46768428104</t>
  </si>
  <si>
    <t>Swish +46706608685</t>
  </si>
  <si>
    <t>Swish +46730838627</t>
  </si>
  <si>
    <t>Swish +46736738381</t>
  </si>
  <si>
    <t>Swish +46722532849</t>
  </si>
  <si>
    <t>Swish +46704129252</t>
  </si>
  <si>
    <t>Swish +46700863636</t>
  </si>
  <si>
    <t>Swish +46705900721</t>
  </si>
  <si>
    <t>Swish +46704951760</t>
  </si>
  <si>
    <t>Swish +46732223874</t>
  </si>
  <si>
    <t>Swish +46761731777</t>
  </si>
  <si>
    <t>Swish +46706092706</t>
  </si>
  <si>
    <t>Swish +46707958295</t>
  </si>
  <si>
    <t>Swish +46707791757</t>
  </si>
  <si>
    <t>Swish +46736140899</t>
  </si>
  <si>
    <t>Swish +46768048621</t>
  </si>
  <si>
    <t>Swish +46708501095</t>
  </si>
  <si>
    <t>Swish +46739779603</t>
  </si>
  <si>
    <t>Swish +46766217176</t>
  </si>
  <si>
    <t>Swish +46730511640</t>
  </si>
  <si>
    <t>Swish +46708789709</t>
  </si>
  <si>
    <t>Swish +46705405619</t>
  </si>
  <si>
    <t>Swish +46702400702</t>
  </si>
  <si>
    <t>2016-06-03</t>
  </si>
  <si>
    <t>2016-06-02</t>
  </si>
  <si>
    <t>2016-05-31</t>
  </si>
  <si>
    <t>2016-05-30</t>
  </si>
  <si>
    <t>Swish +46704670044</t>
  </si>
  <si>
    <t>Swish +46702411268</t>
  </si>
  <si>
    <t>Swish +46730560404</t>
  </si>
  <si>
    <t>Swish +46706609366</t>
  </si>
  <si>
    <t>Swish +46735511501</t>
  </si>
  <si>
    <t>Swish +46707823844</t>
  </si>
  <si>
    <t>Swish +46738416501</t>
  </si>
  <si>
    <t>Swish +46733439191</t>
  </si>
  <si>
    <t>Swish +46733400736</t>
  </si>
  <si>
    <t>Swish +46768997222</t>
  </si>
  <si>
    <t>Swish +46704150236</t>
  </si>
  <si>
    <t>Swish +46767050831</t>
  </si>
  <si>
    <t>2016-05-27</t>
  </si>
  <si>
    <t>2016-05-26</t>
  </si>
  <si>
    <t>Cupanmälan P08</t>
  </si>
  <si>
    <t>2016-05-25</t>
  </si>
  <si>
    <t>2016-05-24</t>
  </si>
  <si>
    <t>2016-05-23</t>
  </si>
  <si>
    <t>Swish +46738139900</t>
  </si>
  <si>
    <t>Swish +46736731363</t>
  </si>
  <si>
    <t>Swish +46737020904</t>
  </si>
  <si>
    <t>Swish +46760822012</t>
  </si>
  <si>
    <t>Swish +46730738404</t>
  </si>
  <si>
    <t>Swish +46734387427</t>
  </si>
  <si>
    <t>2016-05-19</t>
  </si>
  <si>
    <t>2016-05-18</t>
  </si>
  <si>
    <t>2016-05-17</t>
  </si>
  <si>
    <t>2016-05-16</t>
  </si>
  <si>
    <t>Swish +46701659756</t>
  </si>
  <si>
    <t>Swish +46702892230</t>
  </si>
  <si>
    <t>Swish +46708847774</t>
  </si>
  <si>
    <t>Swish +46703313489</t>
  </si>
  <si>
    <t>Swish +46701654523</t>
  </si>
  <si>
    <t>Swish +46739602188</t>
  </si>
  <si>
    <t>Swish +46768792955</t>
  </si>
  <si>
    <t>Swish +46733311838</t>
  </si>
  <si>
    <t>Swish +46707982600</t>
  </si>
  <si>
    <t>P08</t>
  </si>
  <si>
    <t>Åter material P08 (12.516 kr), Pantamera 600 kr</t>
  </si>
  <si>
    <t>Linnebäck Total (2.556 kr), Spelaravgift F02 (900 kr)</t>
  </si>
  <si>
    <t>Spelaravgift P04 (8.000 kr), Spelaravgift F03 (5.200 kr)</t>
  </si>
  <si>
    <t>Åter material P02 (21.723 kr), Åter material A-lag (949 kr)</t>
  </si>
  <si>
    <t>Åter material P07</t>
  </si>
  <si>
    <t>Åter material P03 (16.189 kr), Stimulansbidrag integration (3.000 kr)</t>
  </si>
  <si>
    <t>Åter F07</t>
  </si>
  <si>
    <t>Kansliavgift, Spelautvecklingsavgift</t>
  </si>
  <si>
    <t>A-laget (3.200 kr), Damlag (1.500 kr)</t>
  </si>
  <si>
    <r>
      <rPr>
        <sz val="8"/>
        <color rgb="FF00FF00"/>
        <rFont val="Calibri"/>
        <family val="2"/>
        <scheme val="minor"/>
      </rPr>
      <t>A-lag (10.200),</t>
    </r>
    <r>
      <rPr>
        <sz val="8"/>
        <color theme="1"/>
        <rFont val="Calibri"/>
        <family val="2"/>
        <scheme val="minor"/>
      </rPr>
      <t xml:space="preserve"> </t>
    </r>
    <r>
      <rPr>
        <sz val="8"/>
        <color rgb="FF00FF00"/>
        <rFont val="Calibri"/>
        <family val="2"/>
        <scheme val="minor"/>
      </rPr>
      <t>P02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00FF00"/>
        <rFont val="Calibri"/>
        <family val="2"/>
        <scheme val="minor"/>
      </rPr>
      <t>P03</t>
    </r>
    <r>
      <rPr>
        <sz val="8"/>
        <color theme="1"/>
        <rFont val="Calibri"/>
        <family val="2"/>
        <scheme val="minor"/>
      </rPr>
      <t>,</t>
    </r>
    <r>
      <rPr>
        <sz val="8"/>
        <color rgb="FF00FF00"/>
        <rFont val="Calibri"/>
        <family val="2"/>
        <scheme val="minor"/>
      </rPr>
      <t xml:space="preserve"> P04,</t>
    </r>
    <r>
      <rPr>
        <sz val="8"/>
        <color theme="1"/>
        <rFont val="Calibri"/>
        <family val="2"/>
        <scheme val="minor"/>
      </rPr>
      <t xml:space="preserve"> </t>
    </r>
    <r>
      <rPr>
        <sz val="8"/>
        <color rgb="FF00FF00"/>
        <rFont val="Calibri"/>
        <family val="2"/>
        <scheme val="minor"/>
      </rPr>
      <t>P05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00FF00"/>
        <rFont val="Calibri"/>
        <family val="2"/>
        <scheme val="minor"/>
      </rPr>
      <t>P06,</t>
    </r>
    <r>
      <rPr>
        <sz val="8"/>
        <color theme="1"/>
        <rFont val="Calibri"/>
        <family val="2"/>
        <scheme val="minor"/>
      </rPr>
      <t xml:space="preserve"> </t>
    </r>
    <r>
      <rPr>
        <sz val="8"/>
        <color rgb="FF00FF00"/>
        <rFont val="Calibri"/>
        <family val="2"/>
        <scheme val="minor"/>
      </rPr>
      <t>P07</t>
    </r>
    <r>
      <rPr>
        <sz val="8"/>
        <color theme="1"/>
        <rFont val="Calibri"/>
        <family val="2"/>
        <scheme val="minor"/>
      </rPr>
      <t>,</t>
    </r>
    <r>
      <rPr>
        <sz val="8"/>
        <color rgb="FF00FF00"/>
        <rFont val="Calibri"/>
        <family val="2"/>
        <scheme val="minor"/>
      </rPr>
      <t xml:space="preserve"> P08</t>
    </r>
    <r>
      <rPr>
        <sz val="8"/>
        <color theme="1"/>
        <rFont val="Calibri"/>
        <family val="2"/>
        <scheme val="minor"/>
      </rPr>
      <t xml:space="preserve">, Dam-lag (), </t>
    </r>
    <r>
      <rPr>
        <sz val="8"/>
        <color rgb="FF00FF00"/>
        <rFont val="Calibri"/>
        <family val="2"/>
        <scheme val="minor"/>
      </rPr>
      <t>F02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00FF00"/>
        <rFont val="Calibri"/>
        <family val="2"/>
        <scheme val="minor"/>
      </rPr>
      <t>F03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00FF00"/>
        <rFont val="Calibri"/>
        <family val="2"/>
        <scheme val="minor"/>
      </rPr>
      <t>F04,</t>
    </r>
    <r>
      <rPr>
        <sz val="8"/>
        <color theme="1"/>
        <rFont val="Calibri"/>
        <family val="2"/>
        <scheme val="minor"/>
      </rPr>
      <t xml:space="preserve"> </t>
    </r>
    <r>
      <rPr>
        <sz val="8"/>
        <color rgb="FF00FF00"/>
        <rFont val="Calibri"/>
        <family val="2"/>
        <scheme val="minor"/>
      </rPr>
      <t>F05</t>
    </r>
    <r>
      <rPr>
        <sz val="8"/>
        <color theme="1"/>
        <rFont val="Calibri"/>
        <family val="2"/>
        <scheme val="minor"/>
      </rPr>
      <t>, F07, F08</t>
    </r>
  </si>
  <si>
    <t>Stiftelsen, SöFF, Idrottslyftet, Stimulansbidrag</t>
  </si>
  <si>
    <t>2016-07-28</t>
  </si>
  <si>
    <t>2016-07-25</t>
  </si>
  <si>
    <t>Swish +46733225103</t>
  </si>
  <si>
    <t>Swish +46734245784</t>
  </si>
  <si>
    <t>Swish +46735873460</t>
  </si>
  <si>
    <t>Swish +46708970588</t>
  </si>
  <si>
    <t>Swish +46723052569</t>
  </si>
  <si>
    <t>Swish +46735096959</t>
  </si>
  <si>
    <t>Swish +46725329303</t>
  </si>
  <si>
    <t>Swish +46739393083</t>
  </si>
  <si>
    <t>Swish +46708480939</t>
  </si>
  <si>
    <t>Swish +46707249097</t>
  </si>
  <si>
    <t>Swish +46706511916</t>
  </si>
  <si>
    <t>Swish +46702632663</t>
  </si>
  <si>
    <t>Swish +46734144440</t>
  </si>
  <si>
    <t>Swish +46732012235</t>
  </si>
  <si>
    <t>Swish +46703443985</t>
  </si>
  <si>
    <t>Swish +46705523558</t>
  </si>
  <si>
    <t>Swish +46705563268</t>
  </si>
  <si>
    <t>Swish +46734496268</t>
  </si>
  <si>
    <t>Swish +46706391303</t>
  </si>
  <si>
    <t>Swish +46706908700</t>
  </si>
  <si>
    <t>Swish +46702432667</t>
  </si>
  <si>
    <t>Swish +46702907790</t>
  </si>
  <si>
    <t>Swish +46730913946</t>
  </si>
  <si>
    <t>2016-07-22</t>
  </si>
  <si>
    <t>Swish +46704850857</t>
  </si>
  <si>
    <t>Swish +46760961340</t>
  </si>
  <si>
    <t>Swish +46734120336</t>
  </si>
  <si>
    <t>Swish +46704254161</t>
  </si>
  <si>
    <t>Swish +46760461803</t>
  </si>
  <si>
    <t>Swish +46706577257</t>
  </si>
  <si>
    <t>Swish +46721610894</t>
  </si>
  <si>
    <t>Swish +46761271080</t>
  </si>
  <si>
    <t>Swish +46707511901</t>
  </si>
  <si>
    <t>Swish +46738382553</t>
  </si>
  <si>
    <t>Swish +46705572853</t>
  </si>
  <si>
    <t>Swish +46704332873</t>
  </si>
  <si>
    <t>Swish +46703989794</t>
  </si>
  <si>
    <t>Swish +46761361975</t>
  </si>
  <si>
    <t>Swish +46705662128</t>
  </si>
  <si>
    <t>Swish +46769419123</t>
  </si>
  <si>
    <t>Swish +46700519751</t>
  </si>
  <si>
    <t>Swish +46709607884</t>
  </si>
  <si>
    <t>Swish +46766347529</t>
  </si>
  <si>
    <t>Swish +46761880455</t>
  </si>
  <si>
    <t>Swish +46707756919</t>
  </si>
  <si>
    <t>Swish +46703938068</t>
  </si>
  <si>
    <t>Swish +46701470121</t>
  </si>
  <si>
    <t>Swish +46702547752</t>
  </si>
  <si>
    <t>Swish +46762698606</t>
  </si>
  <si>
    <t>Swish +46708666886</t>
  </si>
  <si>
    <t>Swish +46735000750</t>
  </si>
  <si>
    <t>Swish +46706050152</t>
  </si>
  <si>
    <t>Swish +46762360840</t>
  </si>
  <si>
    <t>Swish +46708239599</t>
  </si>
  <si>
    <t>Swish +46739476186</t>
  </si>
  <si>
    <t>Swish +46707911174</t>
  </si>
  <si>
    <t>Swish +46734082991</t>
  </si>
  <si>
    <t>Swish +46761927464</t>
  </si>
  <si>
    <t>Swish +46737532521</t>
  </si>
  <si>
    <t>Swish +46704545614</t>
  </si>
  <si>
    <t>Swish +46700438991</t>
  </si>
  <si>
    <t>Swish +46709184792</t>
  </si>
  <si>
    <t>Swish +46735334176</t>
  </si>
  <si>
    <t>Swish +46739615516</t>
  </si>
  <si>
    <t>Swish +46723063170</t>
  </si>
  <si>
    <t>Swish +46703093750</t>
  </si>
  <si>
    <t>Swish +46762347624</t>
  </si>
  <si>
    <t>Swish +46703014407</t>
  </si>
  <si>
    <t>Swish +46706233535</t>
  </si>
  <si>
    <t>Swish +46702548343</t>
  </si>
  <si>
    <t>Swish +46704773772</t>
  </si>
  <si>
    <t>Swish +46706775566</t>
  </si>
  <si>
    <t>Swish +46761091940</t>
  </si>
  <si>
    <t>Swish +46706303633</t>
  </si>
  <si>
    <t>Swish +46763278299</t>
  </si>
  <si>
    <t>Swish +46723983391</t>
  </si>
  <si>
    <t>Swish +46735413795</t>
  </si>
  <si>
    <t>Swish +46730509004</t>
  </si>
  <si>
    <t>Swish +46739860595</t>
  </si>
  <si>
    <t>Swish +46736560660</t>
  </si>
  <si>
    <t>Swish +46703784957</t>
  </si>
  <si>
    <t>Swish +46704490267</t>
  </si>
  <si>
    <t>Swish +46763226371</t>
  </si>
  <si>
    <t>Swish +46709623972</t>
  </si>
  <si>
    <t>Swish +46731587650</t>
  </si>
  <si>
    <t>Swish +46704224845</t>
  </si>
  <si>
    <t>Swish +46739452898</t>
  </si>
  <si>
    <t>Swish +46708188909</t>
  </si>
  <si>
    <t>Swish +46761660507</t>
  </si>
  <si>
    <t>Swish +46723758062</t>
  </si>
  <si>
    <t>Swish +46736253400</t>
  </si>
  <si>
    <t>Swish +46761111484</t>
  </si>
  <si>
    <t>Swish +46764034782</t>
  </si>
  <si>
    <t>Swish +46737076025</t>
  </si>
  <si>
    <t>Swish +46722070770</t>
  </si>
  <si>
    <t>Swish +46703117525</t>
  </si>
  <si>
    <t>Swish +46735805393</t>
  </si>
  <si>
    <t>Swish +46705276069</t>
  </si>
  <si>
    <t>Swish +46705245345</t>
  </si>
  <si>
    <t>Swish +46703460363</t>
  </si>
  <si>
    <t>Swish +46734382462</t>
  </si>
  <si>
    <t>Swish +46763250747</t>
  </si>
  <si>
    <t>Swish +46705157005</t>
  </si>
  <si>
    <t>Swish +46707201523</t>
  </si>
  <si>
    <t>Swish +46708190828</t>
  </si>
  <si>
    <t>Swish +46735500767</t>
  </si>
  <si>
    <t>Swish +46708958923</t>
  </si>
  <si>
    <t>Swish +46725185440</t>
  </si>
  <si>
    <t>Swish +46739960911</t>
  </si>
  <si>
    <t>Swish +46709770809</t>
  </si>
  <si>
    <t>Swish +46762006874</t>
  </si>
  <si>
    <t>Swish +46704785878</t>
  </si>
  <si>
    <t>Swish +46708431865</t>
  </si>
  <si>
    <t>Swish +46739329574</t>
  </si>
  <si>
    <t>Swish +46704505800</t>
  </si>
  <si>
    <t>Swish +46722142295</t>
  </si>
  <si>
    <t>CDM KIOSKINTÖKT</t>
  </si>
  <si>
    <t>2016-07-20</t>
  </si>
  <si>
    <t>2016-07-19</t>
  </si>
  <si>
    <t>2016-07-14</t>
  </si>
  <si>
    <t>2016-07-13</t>
  </si>
  <si>
    <t>2016-07-11</t>
  </si>
  <si>
    <t>2016-07-06</t>
  </si>
  <si>
    <t>2016-07-05</t>
  </si>
  <si>
    <t>2016-07-04</t>
  </si>
  <si>
    <t>Sponsring F03</t>
  </si>
  <si>
    <t>Swish +46706198148</t>
  </si>
  <si>
    <t>Swish +46704239900</t>
  </si>
  <si>
    <t>Swish +46702670926</t>
  </si>
  <si>
    <t>Swish +46730876096</t>
  </si>
  <si>
    <t>Swish +46703330325</t>
  </si>
  <si>
    <t>Swish +46706769674</t>
  </si>
  <si>
    <t>Swish +46702186961</t>
  </si>
  <si>
    <t>Swish +46727166274</t>
  </si>
  <si>
    <t>Swish +46706998544</t>
  </si>
  <si>
    <t>2016-06-30</t>
  </si>
  <si>
    <t>2016-06-29</t>
  </si>
  <si>
    <t>2016-06-28</t>
  </si>
  <si>
    <t>2016-06-27</t>
  </si>
  <si>
    <t>ÅTER P05</t>
  </si>
  <si>
    <t>Swish +46730307009</t>
  </si>
  <si>
    <t>Swish +46739814483</t>
  </si>
  <si>
    <t>Swish +46704848632</t>
  </si>
  <si>
    <t>2016-06-22</t>
  </si>
  <si>
    <t>Swish +46702043066</t>
  </si>
  <si>
    <t>Material, P08</t>
  </si>
  <si>
    <t>2016-06-20</t>
  </si>
  <si>
    <t>Swish +46700878038</t>
  </si>
  <si>
    <t>Swish +46722093833</t>
  </si>
  <si>
    <t>Swish +46707750936</t>
  </si>
  <si>
    <t>Swish +46735956560</t>
  </si>
  <si>
    <t>Swish +46706630169</t>
  </si>
  <si>
    <t>Swish +46707900051</t>
  </si>
  <si>
    <t>Swish +46706594664</t>
  </si>
  <si>
    <t>Swish +46703544609</t>
  </si>
  <si>
    <t>Swish +46707435533</t>
  </si>
  <si>
    <t>Swish +46723202060</t>
  </si>
  <si>
    <t>Swish +46739223407</t>
  </si>
  <si>
    <t>Swish +46769003145</t>
  </si>
  <si>
    <t>Swish +46705910336</t>
  </si>
  <si>
    <t>Swish +46730678212</t>
  </si>
  <si>
    <t>Swish +46707788162</t>
  </si>
  <si>
    <t>Swish +46705918559</t>
  </si>
  <si>
    <t>Swish +46700143140</t>
  </si>
  <si>
    <t>Swish +46706066005</t>
  </si>
  <si>
    <t>Swish +46708706997</t>
  </si>
  <si>
    <t>Swish +46704974418</t>
  </si>
  <si>
    <t>Swish +46704576356</t>
  </si>
  <si>
    <t>Swish +46703217456</t>
  </si>
  <si>
    <t>Swish +46763066543</t>
  </si>
  <si>
    <t>Swish +46727399599</t>
  </si>
  <si>
    <t>Swish +46731801279</t>
  </si>
  <si>
    <t>Swish +46737897133</t>
  </si>
  <si>
    <t>Swish +46763379422</t>
  </si>
  <si>
    <t>Swish +46736670110</t>
  </si>
  <si>
    <t>Swish +46736634699</t>
  </si>
  <si>
    <t>Swish +46766778140</t>
  </si>
  <si>
    <t>Swish +46704227945</t>
  </si>
  <si>
    <t>Swish +46706990329</t>
  </si>
  <si>
    <t>Swish +46761960601</t>
  </si>
  <si>
    <t>Swish +46734037174</t>
  </si>
  <si>
    <t>Swish +46736164164</t>
  </si>
  <si>
    <t>Swish +46709799455</t>
  </si>
  <si>
    <t>Swish +46707774331</t>
  </si>
  <si>
    <t>Swish +46762076047</t>
  </si>
  <si>
    <t>Swish +46707711969</t>
  </si>
  <si>
    <t>Swish +46707268713</t>
  </si>
  <si>
    <t>Swish +46760505791</t>
  </si>
  <si>
    <t>Swish +46704829416</t>
  </si>
  <si>
    <t>Swish +46738004622</t>
  </si>
  <si>
    <t>Swish +46736424908</t>
  </si>
  <si>
    <t>Swish +46723652820</t>
  </si>
  <si>
    <t>Swish +46704389713</t>
  </si>
  <si>
    <t>Swish +46704263837</t>
  </si>
  <si>
    <t>Swish +46709104732</t>
  </si>
  <si>
    <t>Swish +46735301069</t>
  </si>
  <si>
    <t>Swish +46704698061</t>
  </si>
  <si>
    <t>Swish +46702221051</t>
  </si>
  <si>
    <t>Swish +46734053942</t>
  </si>
  <si>
    <t>Swish +46704582750</t>
  </si>
  <si>
    <t>Swish +46701686869</t>
  </si>
  <si>
    <t>Swish +46706008442</t>
  </si>
  <si>
    <t>Swish +46705886779</t>
  </si>
  <si>
    <t>Swish +46739437585</t>
  </si>
  <si>
    <t>Swish +46704758965</t>
  </si>
  <si>
    <t>Swish +46709759044</t>
  </si>
  <si>
    <t>Swish +46739778890</t>
  </si>
  <si>
    <t>Swish +46708888754</t>
  </si>
  <si>
    <t>Swish +46737778748</t>
  </si>
  <si>
    <t>Swish +46707324119</t>
  </si>
  <si>
    <t>Swish +46703009529</t>
  </si>
  <si>
    <t>Swish +46704045088</t>
  </si>
  <si>
    <t>Swish +46704559495</t>
  </si>
  <si>
    <t>Swish +46700532712</t>
  </si>
  <si>
    <t>Swish +46704181010</t>
  </si>
  <si>
    <t>Swish +46702197939</t>
  </si>
  <si>
    <t>Swish +46731404631</t>
  </si>
  <si>
    <t>Swish +46707171475</t>
  </si>
  <si>
    <t>Swish +46704018703</t>
  </si>
  <si>
    <t>Swish +46733564686</t>
  </si>
  <si>
    <t>Swish +46708716034</t>
  </si>
  <si>
    <t>Swish +46700918571</t>
  </si>
  <si>
    <t>Swish +46769255604</t>
  </si>
  <si>
    <t>Swish +46735244945</t>
  </si>
  <si>
    <t>Swish +46707206191</t>
  </si>
  <si>
    <t>Swish +46735114862</t>
  </si>
  <si>
    <t>2016-06-17</t>
  </si>
  <si>
    <t>2016-06-16</t>
  </si>
  <si>
    <t>2016-06-15</t>
  </si>
  <si>
    <t>F05 ICA MAT</t>
  </si>
  <si>
    <t>2016-06-14</t>
  </si>
  <si>
    <t>Swish +46705547200</t>
  </si>
  <si>
    <t>Swish +46707782677</t>
  </si>
  <si>
    <t>Swish +46700598373</t>
  </si>
  <si>
    <t>Swish +46733395599</t>
  </si>
  <si>
    <t>Swish +46709448717</t>
  </si>
  <si>
    <t>2016-06-13</t>
  </si>
  <si>
    <t>Swish +46728782572</t>
  </si>
  <si>
    <t>Swish +46708678487</t>
  </si>
  <si>
    <t>Swish +46735122486</t>
  </si>
  <si>
    <t>Swish +46761959507</t>
  </si>
  <si>
    <t>Swish +46705959205</t>
  </si>
  <si>
    <t>Swish +46735346055</t>
  </si>
  <si>
    <t>Swish +46702011944</t>
  </si>
  <si>
    <t>Swish +46736757035</t>
  </si>
  <si>
    <t>Swish +46739504123</t>
  </si>
  <si>
    <t>Swish +46704357717</t>
  </si>
  <si>
    <t>Swish +46739499459</t>
  </si>
  <si>
    <t>Swish +46735816472</t>
  </si>
  <si>
    <t>Swish +46729685695</t>
  </si>
  <si>
    <t>Swish +46733401560</t>
  </si>
  <si>
    <t>Swish +46706520595</t>
  </si>
  <si>
    <t>Swish +46736459784</t>
  </si>
  <si>
    <t>Swish +46700815637</t>
  </si>
  <si>
    <t>Swish +46721769850</t>
  </si>
  <si>
    <t>Swish +46736844763</t>
  </si>
  <si>
    <t>Swish +46707588560</t>
  </si>
  <si>
    <t>Swish +46736177419</t>
  </si>
  <si>
    <t>Swish +46705761605</t>
  </si>
  <si>
    <t>Swish +46737057642</t>
  </si>
  <si>
    <t>Swish +46700037397</t>
  </si>
  <si>
    <t>Swish +46707926206</t>
  </si>
  <si>
    <t>Swish +46709942343</t>
  </si>
  <si>
    <t>Swish +46702308917</t>
  </si>
  <si>
    <t>Swish +46705738080</t>
  </si>
  <si>
    <t>Swish +46705108871</t>
  </si>
  <si>
    <t>Swish +46706182320</t>
  </si>
  <si>
    <t>Swish +46702700907</t>
  </si>
  <si>
    <t>Swish +46704054207</t>
  </si>
  <si>
    <t>Swish +46732363366</t>
  </si>
  <si>
    <t>Swish +46768765968</t>
  </si>
  <si>
    <t>Swish +46736732141</t>
  </si>
  <si>
    <t>Swish +46735736865</t>
  </si>
  <si>
    <t>Swish +46702301892</t>
  </si>
  <si>
    <t>Swish +46704587601</t>
  </si>
  <si>
    <t>Swish +46700428267</t>
  </si>
  <si>
    <t>Parkering</t>
  </si>
  <si>
    <t>Spelaravgift F03 (1.200 kr), Pantamera 2.000 kr</t>
  </si>
  <si>
    <t>Utgått ur seriespel</t>
  </si>
  <si>
    <t>Sponsring F03 (5.080 kr), Pantamera 400 kr</t>
  </si>
  <si>
    <t>Åter material P04</t>
  </si>
  <si>
    <r>
      <rPr>
        <sz val="8"/>
        <rFont val="Calibri"/>
        <family val="2"/>
        <scheme val="minor"/>
      </rPr>
      <t>A-lag (10.200 - del),</t>
    </r>
    <r>
      <rPr>
        <sz val="8"/>
        <color theme="1"/>
        <rFont val="Calibri"/>
        <family val="2"/>
        <scheme val="minor"/>
      </rPr>
      <t xml:space="preserve"> </t>
    </r>
    <r>
      <rPr>
        <sz val="8"/>
        <color rgb="FF00FF00"/>
        <rFont val="Calibri"/>
        <family val="2"/>
        <scheme val="minor"/>
      </rPr>
      <t>P02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00FF00"/>
        <rFont val="Calibri"/>
        <family val="2"/>
        <scheme val="minor"/>
      </rPr>
      <t>P03</t>
    </r>
    <r>
      <rPr>
        <sz val="8"/>
        <color theme="1"/>
        <rFont val="Calibri"/>
        <family val="2"/>
        <scheme val="minor"/>
      </rPr>
      <t>,</t>
    </r>
    <r>
      <rPr>
        <sz val="8"/>
        <color rgb="FF00FF00"/>
        <rFont val="Calibri"/>
        <family val="2"/>
        <scheme val="minor"/>
      </rPr>
      <t xml:space="preserve"> P04,</t>
    </r>
    <r>
      <rPr>
        <sz val="8"/>
        <color theme="1"/>
        <rFont val="Calibri"/>
        <family val="2"/>
        <scheme val="minor"/>
      </rPr>
      <t xml:space="preserve"> </t>
    </r>
    <r>
      <rPr>
        <sz val="8"/>
        <color rgb="FF00FF00"/>
        <rFont val="Calibri"/>
        <family val="2"/>
        <scheme val="minor"/>
      </rPr>
      <t>P05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00FF00"/>
        <rFont val="Calibri"/>
        <family val="2"/>
        <scheme val="minor"/>
      </rPr>
      <t>P06,</t>
    </r>
    <r>
      <rPr>
        <sz val="8"/>
        <color theme="1"/>
        <rFont val="Calibri"/>
        <family val="2"/>
        <scheme val="minor"/>
      </rPr>
      <t xml:space="preserve"> </t>
    </r>
    <r>
      <rPr>
        <sz val="8"/>
        <color rgb="FF00FF00"/>
        <rFont val="Calibri"/>
        <family val="2"/>
        <scheme val="minor"/>
      </rPr>
      <t>P07</t>
    </r>
    <r>
      <rPr>
        <sz val="8"/>
        <color theme="1"/>
        <rFont val="Calibri"/>
        <family val="2"/>
        <scheme val="minor"/>
      </rPr>
      <t>,</t>
    </r>
    <r>
      <rPr>
        <sz val="8"/>
        <color rgb="FF00FF00"/>
        <rFont val="Calibri"/>
        <family val="2"/>
        <scheme val="minor"/>
      </rPr>
      <t xml:space="preserve"> P08</t>
    </r>
    <r>
      <rPr>
        <sz val="8"/>
        <color theme="1"/>
        <rFont val="Calibri"/>
        <family val="2"/>
        <scheme val="minor"/>
      </rPr>
      <t xml:space="preserve">, Dam-lag (), </t>
    </r>
    <r>
      <rPr>
        <sz val="8"/>
        <color rgb="FF00FF00"/>
        <rFont val="Calibri"/>
        <family val="2"/>
        <scheme val="minor"/>
      </rPr>
      <t>F02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00FF00"/>
        <rFont val="Calibri"/>
        <family val="2"/>
        <scheme val="minor"/>
      </rPr>
      <t>F03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00FF00"/>
        <rFont val="Calibri"/>
        <family val="2"/>
        <scheme val="minor"/>
      </rPr>
      <t>F04,</t>
    </r>
    <r>
      <rPr>
        <sz val="8"/>
        <color theme="1"/>
        <rFont val="Calibri"/>
        <family val="2"/>
        <scheme val="minor"/>
      </rPr>
      <t xml:space="preserve"> </t>
    </r>
    <r>
      <rPr>
        <sz val="8"/>
        <color rgb="FF00FF00"/>
        <rFont val="Calibri"/>
        <family val="2"/>
        <scheme val="minor"/>
      </rPr>
      <t>F05</t>
    </r>
    <r>
      <rPr>
        <sz val="8"/>
        <color theme="1"/>
        <rFont val="Calibri"/>
        <family val="2"/>
        <scheme val="minor"/>
      </rPr>
      <t>, F07, F08</t>
    </r>
  </si>
  <si>
    <t>Varav A-lag (21.900), Damlag (), Ungdom (51.830), Allmänt (41.009)</t>
  </si>
  <si>
    <t>Varav WO-avgift () , Utvisnkostn (), Fair-Playavgift () , Flytt matcher (), Urdrag lag serie (1.900)</t>
  </si>
  <si>
    <t>2016-08-22</t>
  </si>
  <si>
    <t>Swish +46707477336</t>
  </si>
  <si>
    <t>Swish +46709153019</t>
  </si>
  <si>
    <t>Swish +46732512326</t>
  </si>
  <si>
    <t>Swish +46730938574</t>
  </si>
  <si>
    <t>Swish +46709421551</t>
  </si>
  <si>
    <t>Swish +46705553881</t>
  </si>
  <si>
    <t>Swish +46737184035</t>
  </si>
  <si>
    <t>Swish +46703472362</t>
  </si>
  <si>
    <t>Swish +46707877025</t>
  </si>
  <si>
    <t>Swish +46768181843</t>
  </si>
  <si>
    <t>2016-08-17</t>
  </si>
  <si>
    <t>2016-08-15</t>
  </si>
  <si>
    <t>Swish +46733207117</t>
  </si>
  <si>
    <t>2016-08-11</t>
  </si>
  <si>
    <t>Spelaravgift åte</t>
  </si>
  <si>
    <t>2016-08-10</t>
  </si>
  <si>
    <t>2016-08-04</t>
  </si>
  <si>
    <t>2016-08-03</t>
  </si>
  <si>
    <t>2016-08-01</t>
  </si>
  <si>
    <t>Spelaravgift F03 (400 kr), Pantamera 600 kr</t>
  </si>
  <si>
    <t>Varav A-lag (9.783), Damlag () Ungdom (20.445), Allmänt (600)</t>
  </si>
  <si>
    <t>2016-09-16</t>
  </si>
  <si>
    <t>2016-09-15</t>
  </si>
  <si>
    <t>2016-09-14</t>
  </si>
  <si>
    <t>2016-09-12</t>
  </si>
  <si>
    <t>Swish +46706163023</t>
  </si>
  <si>
    <t>Swish +46723363906</t>
  </si>
  <si>
    <t>Swish +46706771463</t>
  </si>
  <si>
    <t>Swish +46762266942</t>
  </si>
  <si>
    <t>Swish +46735259767</t>
  </si>
  <si>
    <t>Swish +46709904485</t>
  </si>
  <si>
    <t>Swish +46730818591</t>
  </si>
  <si>
    <t>Swish +46703144524</t>
  </si>
  <si>
    <t>Swish +46707865513</t>
  </si>
  <si>
    <t>Swish +46707451427</t>
  </si>
  <si>
    <t>Swish +46700815909</t>
  </si>
  <si>
    <t>Swish +46705602300</t>
  </si>
  <si>
    <t>Swish +46707236583</t>
  </si>
  <si>
    <t>2016-09-09</t>
  </si>
  <si>
    <t>2016-09-08</t>
  </si>
  <si>
    <t>2016-09-07</t>
  </si>
  <si>
    <t>2016-09-06</t>
  </si>
  <si>
    <t>2016-09-05</t>
  </si>
  <si>
    <t>Swish +46702862829</t>
  </si>
  <si>
    <t>Swish +46707450636</t>
  </si>
  <si>
    <t>Swish +46701699653</t>
  </si>
  <si>
    <t>Swish +46735124824</t>
  </si>
  <si>
    <t>Swish +46700863882</t>
  </si>
  <si>
    <t>Swish +46735955737</t>
  </si>
  <si>
    <t>Swish +46704151124</t>
  </si>
  <si>
    <t>Swish +46707104021</t>
  </si>
  <si>
    <t>Swish +46731549478</t>
  </si>
  <si>
    <t>Swish +46731591838</t>
  </si>
  <si>
    <t>Swish +46706460429</t>
  </si>
  <si>
    <t>Swish +46702070011</t>
  </si>
  <si>
    <t>Swish +46704013684</t>
  </si>
  <si>
    <t>Swish +46707992287</t>
  </si>
  <si>
    <t>Swish +46709626841</t>
  </si>
  <si>
    <t>Swish +46707489942</t>
  </si>
  <si>
    <t>Swish +46704564291</t>
  </si>
  <si>
    <t>Swish +46736521959</t>
  </si>
  <si>
    <t>Swish +46702748468</t>
  </si>
  <si>
    <t>Swish +46739555999</t>
  </si>
  <si>
    <t>Swish +46706458785</t>
  </si>
  <si>
    <t>Swish +46733447009</t>
  </si>
  <si>
    <t>Swish +46763296647</t>
  </si>
  <si>
    <t>Swish +46707170730</t>
  </si>
  <si>
    <t>Swish +46700811359</t>
  </si>
  <si>
    <t>Swish +46709154101</t>
  </si>
  <si>
    <t>Swish +46702420589</t>
  </si>
  <si>
    <t>Swish +46702166834</t>
  </si>
  <si>
    <t>Swish +46705456943</t>
  </si>
  <si>
    <t>Swish +46702317902</t>
  </si>
  <si>
    <t>Swish +46707952960</t>
  </si>
  <si>
    <t>Swish +46707122997</t>
  </si>
  <si>
    <t>Swish +46734271129</t>
  </si>
  <si>
    <t>Swish +46707919701</t>
  </si>
  <si>
    <t>Swish +46704646511</t>
  </si>
  <si>
    <t>Swish +46705259706</t>
  </si>
  <si>
    <t>Swish +46705837340</t>
  </si>
  <si>
    <t>Swish +46707770364</t>
  </si>
  <si>
    <t>Swish +46702359837</t>
  </si>
  <si>
    <t>Swish +46761425488</t>
  </si>
  <si>
    <t>Swish +46707731416</t>
  </si>
  <si>
    <t>Swish +46707558155</t>
  </si>
  <si>
    <t>Swish +46735447045</t>
  </si>
  <si>
    <t>Swish +46704611528</t>
  </si>
  <si>
    <t>Swish +46705254994</t>
  </si>
  <si>
    <t>Swish +46709359134</t>
  </si>
  <si>
    <t>Swish +46709383544</t>
  </si>
  <si>
    <t>Swish +46701645009</t>
  </si>
  <si>
    <t>Swish +46725786924</t>
  </si>
  <si>
    <t>2016-08-29</t>
  </si>
  <si>
    <t>Swish +46766507103</t>
  </si>
  <si>
    <t>Swish +46705803908</t>
  </si>
  <si>
    <t>Swish +46708654874</t>
  </si>
  <si>
    <t>Swish +46708602760</t>
  </si>
  <si>
    <t>CDM PARKERING</t>
  </si>
  <si>
    <t>2016-08-25</t>
  </si>
  <si>
    <t>2016-08-24</t>
  </si>
  <si>
    <t>Integrationsbidr</t>
  </si>
  <si>
    <t>2016-08-23</t>
  </si>
  <si>
    <t>Swish +46736669295</t>
  </si>
  <si>
    <t>Swish +46730300047</t>
  </si>
  <si>
    <t>Swish +46702950819</t>
  </si>
  <si>
    <t>Swish +46705545060</t>
  </si>
  <si>
    <t>Swish +46762625171</t>
  </si>
  <si>
    <t>Swish +46767633290</t>
  </si>
  <si>
    <t>Swish +46735072210</t>
  </si>
  <si>
    <t>Företagarföreningen</t>
  </si>
  <si>
    <t>Spelaravgift F03 (225 kr), Pantamera 600 kr</t>
  </si>
  <si>
    <t>Åkers Pall &amp; Bygg</t>
  </si>
  <si>
    <t>Utdrag serie</t>
  </si>
  <si>
    <t>M-freds Pizzeria, Rekane, Insulanders, Åkers Pall</t>
  </si>
  <si>
    <t>Varav WO-avgift () , Utvisnkostn (), Fair-Playavgift () , Flytt matcher (), Urdrag lag serie (3.100)</t>
  </si>
  <si>
    <t>Varav A-lag (22.490), Damlag (), Ungdom (52.988), Allmänt (41.009)</t>
  </si>
  <si>
    <t>Varav A-lag (10.603), Damlag () Ungdom (23.805), Allmänt (600)</t>
  </si>
  <si>
    <t>82701</t>
  </si>
  <si>
    <t>2016-10-21</t>
  </si>
  <si>
    <t>2016-10-20</t>
  </si>
  <si>
    <t>2016-10-19</t>
  </si>
  <si>
    <t>2016-10-17</t>
  </si>
  <si>
    <t>Swish +46737464140</t>
  </si>
  <si>
    <t>Swish +46702261723</t>
  </si>
  <si>
    <t>Swish +46708178952</t>
  </si>
  <si>
    <t>Swish +46734043621</t>
  </si>
  <si>
    <t>Swish +46768528484</t>
  </si>
  <si>
    <t>Swish +46721727342</t>
  </si>
  <si>
    <t>Swish +46708550299</t>
  </si>
  <si>
    <t>2016-10-13</t>
  </si>
  <si>
    <t>2016-10-10</t>
  </si>
  <si>
    <t>Swish +46737773997</t>
  </si>
  <si>
    <t>Swish +46769120254</t>
  </si>
  <si>
    <t>Swish +46765270474</t>
  </si>
  <si>
    <t>Swish +46706374500</t>
  </si>
  <si>
    <t>Swish +46707865492</t>
  </si>
  <si>
    <t>Swish +46762101550</t>
  </si>
  <si>
    <t>Swish +46708269649</t>
  </si>
  <si>
    <t>Swish +46707964150</t>
  </si>
  <si>
    <t>Swish +46706661537</t>
  </si>
  <si>
    <t>Swish +46703128691</t>
  </si>
  <si>
    <t>Swish +46725293849</t>
  </si>
  <si>
    <t>Swish +46705641264</t>
  </si>
  <si>
    <t>Swish +46707210479</t>
  </si>
  <si>
    <t>Swish +46706122662</t>
  </si>
  <si>
    <t>Swish +46733182615</t>
  </si>
  <si>
    <t>2016-10-07</t>
  </si>
  <si>
    <t>2016-10-06</t>
  </si>
  <si>
    <t>2016-10-05</t>
  </si>
  <si>
    <t>2016-10-03</t>
  </si>
  <si>
    <t>Swish +46767143601</t>
  </si>
  <si>
    <t>Swish +46760017302</t>
  </si>
  <si>
    <t>Swish +46706904977</t>
  </si>
  <si>
    <t>Swish +46708335616</t>
  </si>
  <si>
    <t>Swish +46700608384</t>
  </si>
  <si>
    <t>Swish +46736336098</t>
  </si>
  <si>
    <t>Swish +46725429099</t>
  </si>
  <si>
    <t>Swish +46768080942</t>
  </si>
  <si>
    <t>Swish +46708377686</t>
  </si>
  <si>
    <t>Swish +46704534234</t>
  </si>
  <si>
    <t>Swish +46709527069</t>
  </si>
  <si>
    <t>2016-09-29</t>
  </si>
  <si>
    <t>2016-09-26</t>
  </si>
  <si>
    <t>Swish +46705515919</t>
  </si>
  <si>
    <t>Swish +46707502801</t>
  </si>
  <si>
    <t>Swish +46736708316</t>
  </si>
  <si>
    <t>Swish +46706576233</t>
  </si>
  <si>
    <t>Swish +46706328100</t>
  </si>
  <si>
    <t>Swish +46730529686</t>
  </si>
  <si>
    <t>2016-09-22</t>
  </si>
  <si>
    <t>Hyra IP Hammaren</t>
  </si>
  <si>
    <t>2016-09-21</t>
  </si>
  <si>
    <t>2016-09-20</t>
  </si>
  <si>
    <t>2016-09-19</t>
  </si>
  <si>
    <t>Swish +46722121149</t>
  </si>
  <si>
    <t>Swish +46708792282</t>
  </si>
  <si>
    <t>Swish +46708665332</t>
  </si>
  <si>
    <t>Swish +46707677007</t>
  </si>
  <si>
    <t>Swish +46700680552</t>
  </si>
  <si>
    <t>Swish +46769469665</t>
  </si>
  <si>
    <t>Swish +46722891567</t>
  </si>
  <si>
    <t>Swish +46735269822</t>
  </si>
  <si>
    <t>Swish +46708992313</t>
  </si>
  <si>
    <t>Swish +46720166076</t>
  </si>
  <si>
    <t>Swish +46704178758</t>
  </si>
  <si>
    <t>Swish +46765606090</t>
  </si>
  <si>
    <t>Swish +46709691644</t>
  </si>
  <si>
    <t>Swish +46769428461</t>
  </si>
  <si>
    <t>Swish +46706540654</t>
  </si>
  <si>
    <t>Swish +46703954588</t>
  </si>
  <si>
    <t>Swish +46765565895</t>
  </si>
  <si>
    <t>Swish +46707945757</t>
  </si>
  <si>
    <t>Swish +46702716425</t>
  </si>
  <si>
    <t>Aktivitetsbidrag 43.522, Utbildningsbidrag 2.752</t>
  </si>
  <si>
    <t>M-freds Pizzeria, Rekane, Insulanders, Åkers Pall, Werners</t>
  </si>
  <si>
    <t>Varav Fotbollsskolan ca 5.000 kr</t>
  </si>
  <si>
    <t>Varav A-lag (26.988), Damlag (), Ungdom (54.285), Allmänt (40.741)</t>
  </si>
  <si>
    <t>Varav A-lag (12.254), Damlag (600) Ungdom (34.300), Allmänt (600)</t>
  </si>
  <si>
    <t>2016-11-24</t>
  </si>
  <si>
    <t>Swish +46737890087</t>
  </si>
  <si>
    <t>2016-11-23</t>
  </si>
  <si>
    <t>2016-11-16</t>
  </si>
  <si>
    <t>2016-11-14</t>
  </si>
  <si>
    <t>Swish +46735931036</t>
  </si>
  <si>
    <t>Swish +46735327086</t>
  </si>
  <si>
    <t>Swish +46738555544</t>
  </si>
  <si>
    <t>Swish +46720142095</t>
  </si>
  <si>
    <t>Swish +46735122714</t>
  </si>
  <si>
    <t>2016-11-11</t>
  </si>
  <si>
    <t>2016-11-09</t>
  </si>
  <si>
    <t>2016-11-08</t>
  </si>
  <si>
    <t>2016-11-07</t>
  </si>
  <si>
    <t>2016-11-04</t>
  </si>
  <si>
    <t>2016-11-03</t>
  </si>
  <si>
    <t>2016-11-01</t>
  </si>
  <si>
    <t>2016-10-31</t>
  </si>
  <si>
    <t>2016-10-27</t>
  </si>
  <si>
    <t>2016-10-26</t>
  </si>
  <si>
    <t>WO-avgift Damlag</t>
  </si>
  <si>
    <t>Inträde</t>
  </si>
  <si>
    <t>Gräsroten 4.950 kr, Däckshopen sponsring 5.080 kr</t>
  </si>
  <si>
    <t>Varav A-lag (26.988), Damlag (), Ungdom (54.524), Allmänt (40.741)</t>
  </si>
  <si>
    <t>M-freds Pizzeria, Rekane, Insulanders, Åkers Pall, Werners, Däckshopen</t>
  </si>
  <si>
    <t>Varav A-lag (15.515), Damlag (600) Ungdom (34.300), Allmänt (600)</t>
  </si>
  <si>
    <t>2016-12-27</t>
  </si>
  <si>
    <t>2016-12-22</t>
  </si>
  <si>
    <t>2016-12-21</t>
  </si>
  <si>
    <t>2016-12-19</t>
  </si>
  <si>
    <t>Arvode, spelarav</t>
  </si>
  <si>
    <t>Ledararvode, Res</t>
  </si>
  <si>
    <t>2016-12-16</t>
  </si>
  <si>
    <t>2016-12-13</t>
  </si>
  <si>
    <t>2016-12-12</t>
  </si>
  <si>
    <t>Swish +46738512046</t>
  </si>
  <si>
    <t>Swish +46704155646</t>
  </si>
  <si>
    <t>Swish +46704412756</t>
  </si>
  <si>
    <t>Swish +46705776667</t>
  </si>
  <si>
    <t>Swish +46708364000</t>
  </si>
  <si>
    <t>Swish +46700446493</t>
  </si>
  <si>
    <t>Swish +46709223973</t>
  </si>
  <si>
    <t>Swish +46704582527</t>
  </si>
  <si>
    <t>2016-12-09</t>
  </si>
  <si>
    <t>2016-12-08</t>
  </si>
  <si>
    <t>2016-12-07</t>
  </si>
  <si>
    <t>2016-12-05</t>
  </si>
  <si>
    <t>2016-12-01</t>
  </si>
  <si>
    <t>Licensavgifter,</t>
  </si>
  <si>
    <t>2016-11-30</t>
  </si>
  <si>
    <t>2016-11-29</t>
  </si>
  <si>
    <t>2016-11-28</t>
  </si>
  <si>
    <t>Swish +46722508857</t>
  </si>
  <si>
    <t>Swish +46705797082</t>
  </si>
  <si>
    <t>Swish +46760183040</t>
  </si>
  <si>
    <t>Swish +46730216858</t>
  </si>
  <si>
    <t>Swish +46722601763</t>
  </si>
  <si>
    <t>2016-11-25</t>
  </si>
  <si>
    <t>Fairplayavgift</t>
  </si>
  <si>
    <t>Handbollen</t>
  </si>
  <si>
    <t>HS</t>
  </si>
  <si>
    <t>Ledararvode, Resersättning</t>
  </si>
  <si>
    <t>Ledararvode, Spelaravgifter</t>
  </si>
  <si>
    <t>Damlag: Ledararvode 1.500 kr, Resersättning 500 kr</t>
  </si>
  <si>
    <t>Damlag: Ledararvode 500 kr, Resersättning 500 kr</t>
  </si>
  <si>
    <t>Damlag: Ledararvode 4.000 kr, Reseersättning 1.000 kr, Spelaravgifter Damlag 2.875 kr</t>
  </si>
  <si>
    <t>Herrlag: Ledararvode 10.000 kr, Reseersättning 2.500 kr, Licensavgifter 8.400 kr, Spelaravgifter Herrlag 2.800 kr</t>
  </si>
  <si>
    <t>A-lag (13.000), P02, P03, P04, P05, P06, P07, P08, Dam-lag (2.875), F02, F03, F04, F05, F07, F08</t>
  </si>
  <si>
    <t>Varav A-lag (20.927), Damlag (600) Ungdom (52.475), Allmänt (600)</t>
  </si>
  <si>
    <t>A-lag (10.000) + Damlag (6.000)</t>
  </si>
  <si>
    <t>A-lag (2.500) + Damlag (2.000)</t>
  </si>
  <si>
    <t>M-freds Pizzeria, Rekane, Insulanders, Åkers Pall, Werners, Däckshopen (Coop ej bet 31/12)</t>
  </si>
  <si>
    <t>2016-12-29</t>
  </si>
  <si>
    <t>Utvisn kostn</t>
  </si>
  <si>
    <t>CDM INTRÄDE</t>
  </si>
  <si>
    <t>2016-12-28</t>
  </si>
  <si>
    <t>Utvkostnad</t>
  </si>
  <si>
    <t>Varav WO-avgift (2.400) , Utvisnkostn (500), Fair-Playavgift (400), Flytt matcher (), Urdrag lag serie (3.100)</t>
  </si>
  <si>
    <t>Varav A-lag (30.859), Damlag (), Ungdom (54.524), Allmänt (40.741)</t>
  </si>
  <si>
    <t>Varav inträde 9.995, lotteri 1.880 kr</t>
  </si>
  <si>
    <t>SLUTLIG</t>
  </si>
  <si>
    <t>Balansräkning IFK Mariefred Fotboll 2016</t>
  </si>
  <si>
    <t>Sparbanken Rekarne Företagskonto</t>
  </si>
  <si>
    <t>Sparbanken Rekarne Sparkapitalkonto</t>
  </si>
  <si>
    <t>Åkers Pall, Werners, Däckshopen</t>
  </si>
  <si>
    <t>2017 Budget</t>
  </si>
  <si>
    <t>Varav Fotbollsskolan ca () kr</t>
  </si>
  <si>
    <t>A-lag (), P02, P03, P04, P05, P06, P07, P08, Dam-lag (), F02, F03, F04, F05, F07, F08, P09, F09</t>
  </si>
  <si>
    <t>Varav inträde (), lotteri () kr</t>
  </si>
  <si>
    <t>Varav A-lag (), Damlag (), Ungdom (), Allmänt ()</t>
  </si>
  <si>
    <t>Varav WO-avgift () , Utvisnkostn (), Fair-Playavgift (), Flytt matcher (), Urdrag lag serie ()</t>
  </si>
  <si>
    <r>
      <t xml:space="preserve">A-lag (), </t>
    </r>
    <r>
      <rPr>
        <sz val="8"/>
        <color rgb="FF00FF00"/>
        <rFont val="Calibri"/>
        <family val="2"/>
        <scheme val="minor"/>
      </rPr>
      <t>P02, P03, P04, P05, P06, P07</t>
    </r>
    <r>
      <rPr>
        <sz val="8"/>
        <rFont val="Calibri"/>
        <family val="2"/>
        <scheme val="minor"/>
      </rPr>
      <t xml:space="preserve">, P08, P09, P10, Vets, </t>
    </r>
    <r>
      <rPr>
        <sz val="8"/>
        <color rgb="FF00FF00"/>
        <rFont val="Calibri"/>
        <family val="2"/>
        <scheme val="minor"/>
      </rPr>
      <t>F02, F03</t>
    </r>
    <r>
      <rPr>
        <sz val="8"/>
        <rFont val="Calibri"/>
        <family val="2"/>
        <scheme val="minor"/>
      </rPr>
      <t>, F04,</t>
    </r>
    <r>
      <rPr>
        <sz val="8"/>
        <color rgb="FF00FF00"/>
        <rFont val="Calibri"/>
        <family val="2"/>
        <scheme val="minor"/>
      </rPr>
      <t xml:space="preserve"> F05, F07, F08,</t>
    </r>
    <r>
      <rPr>
        <sz val="8"/>
        <rFont val="Calibri"/>
        <family val="2"/>
        <scheme val="minor"/>
      </rPr>
      <t xml:space="preserve"> F09, F10</t>
    </r>
  </si>
  <si>
    <t>Hast, M-freds pizzeria, Intersport</t>
  </si>
  <si>
    <t>Stftelsen 40.000, Idrottslyftet 15.500, Utbild kummun, 14.397.</t>
  </si>
  <si>
    <t>Varav inträde (), lotteri () kr. Domarbidrag 2016 10.215</t>
  </si>
  <si>
    <t>A-lag () + P0203 ()</t>
  </si>
  <si>
    <t>Stiftelsen 40.000, Idrottslyftet 15.500, Utbild kummun, 14.397.</t>
  </si>
  <si>
    <r>
      <rPr>
        <sz val="8"/>
        <color rgb="FF33CC33"/>
        <rFont val="Calibri"/>
        <family val="2"/>
        <scheme val="minor"/>
      </rPr>
      <t>A-lag (),</t>
    </r>
    <r>
      <rPr>
        <sz val="8"/>
        <rFont val="Calibri"/>
        <family val="2"/>
        <scheme val="minor"/>
      </rPr>
      <t xml:space="preserve"> </t>
    </r>
    <r>
      <rPr>
        <sz val="8"/>
        <color rgb="FF00FF00"/>
        <rFont val="Calibri"/>
        <family val="2"/>
        <scheme val="minor"/>
      </rPr>
      <t>P02, P03, P04, P05, P06, P07</t>
    </r>
    <r>
      <rPr>
        <sz val="8"/>
        <rFont val="Calibri"/>
        <family val="2"/>
        <scheme val="minor"/>
      </rPr>
      <t>,</t>
    </r>
    <r>
      <rPr>
        <sz val="8"/>
        <color rgb="FF33CC33"/>
        <rFont val="Calibri"/>
        <family val="2"/>
        <scheme val="minor"/>
      </rPr>
      <t xml:space="preserve"> P08, P09, P10,</t>
    </r>
    <r>
      <rPr>
        <sz val="8"/>
        <rFont val="Calibri"/>
        <family val="2"/>
        <scheme val="minor"/>
      </rPr>
      <t xml:space="preserve"> </t>
    </r>
    <r>
      <rPr>
        <sz val="8"/>
        <color rgb="FF33CC33"/>
        <rFont val="Calibri"/>
        <family val="2"/>
        <scheme val="minor"/>
      </rPr>
      <t>Vets,</t>
    </r>
    <r>
      <rPr>
        <sz val="8"/>
        <rFont val="Calibri"/>
        <family val="2"/>
        <scheme val="minor"/>
      </rPr>
      <t xml:space="preserve"> </t>
    </r>
    <r>
      <rPr>
        <sz val="8"/>
        <color rgb="FF00FF00"/>
        <rFont val="Calibri"/>
        <family val="2"/>
        <scheme val="minor"/>
      </rPr>
      <t>F02, F03</t>
    </r>
    <r>
      <rPr>
        <sz val="8"/>
        <rFont val="Calibri"/>
        <family val="2"/>
        <scheme val="minor"/>
      </rPr>
      <t>, F04,</t>
    </r>
    <r>
      <rPr>
        <sz val="8"/>
        <color rgb="FF00FF00"/>
        <rFont val="Calibri"/>
        <family val="2"/>
        <scheme val="minor"/>
      </rPr>
      <t xml:space="preserve"> F05, F07, F08,</t>
    </r>
    <r>
      <rPr>
        <sz val="8"/>
        <rFont val="Calibri"/>
        <family val="2"/>
        <scheme val="minor"/>
      </rPr>
      <t xml:space="preserve"> F09, </t>
    </r>
    <r>
      <rPr>
        <sz val="8"/>
        <color rgb="FF33CC33"/>
        <rFont val="Calibri"/>
        <family val="2"/>
        <scheme val="minor"/>
      </rPr>
      <t>F10</t>
    </r>
  </si>
  <si>
    <t>Stiftelsen 40.000, Idrottslyftet 15.500, Utbild kommun, 14.397, Utvecklingsgruppen 24.500, Utbildnbidrag SöFF 8.900.</t>
  </si>
  <si>
    <t>Varav ViLirare 25.100.</t>
  </si>
  <si>
    <t>Varav WO-avgift () , Utvisnkostn (1.000), Fair-Playavgift (1.300), Flytt matcher (), Urdrag lag serie ()</t>
  </si>
  <si>
    <t>Varav Fotbollsskolan ca (5.000) kr</t>
  </si>
  <si>
    <t>Stiftelsen 40.000, Idrottslyftet 15.500, Utbild kommun, 14.397, Utvecklingsgruppen 24.500, Utbildnbidrag SöFF 9.900.</t>
  </si>
  <si>
    <t>Domarbidrag 2016 10.215, Gräsroten 5.986 kr.</t>
  </si>
  <si>
    <t>Varav A-lag (24.890), Damlag (0), Ungdom (119.004), Allmänt (57.867)</t>
  </si>
  <si>
    <t>Varav färdigställande kioskbygge (0)</t>
  </si>
  <si>
    <t>Varav A-lag (35.869), Damlag (0) Ungdom (38.750), Allmänt (1.770)</t>
  </si>
  <si>
    <t>A-lag (19.400) + P0203 (20.000)</t>
  </si>
  <si>
    <t>A-lag (5.000) + P0203 (5.000)</t>
  </si>
  <si>
    <t>A-lag (10.500), P02, P03, P04, P05, P06, P07, P08, P09, P10, Vets, F02, F03, F04, F05, F07, F08, F09, F10</t>
  </si>
  <si>
    <t>Balansräkning IFK Mariefred Fotboll 2017</t>
  </si>
  <si>
    <t>Skulder</t>
  </si>
  <si>
    <t>Summa Skulder</t>
  </si>
  <si>
    <t>Leverantörsskulder</t>
  </si>
  <si>
    <t>2018 Budget</t>
  </si>
  <si>
    <t>Varav A-lag (), Damlag (0) Ungdom (), Allmänt ()</t>
  </si>
  <si>
    <t>Varav ViLirare 0.</t>
  </si>
  <si>
    <t>Varav A-lag (), Damlag (0), Ungdom (), Allmänt ()</t>
  </si>
  <si>
    <t>Stiftelsen (40.000), Idrottslyftet, Utbild kommun, Utvecklingsgruppen, Utbildnbidrag SöFF .</t>
  </si>
  <si>
    <r>
      <t xml:space="preserve">A-lag (), Veteraner, </t>
    </r>
    <r>
      <rPr>
        <sz val="8"/>
        <color rgb="FF00FF00"/>
        <rFont val="Calibri"/>
        <family val="2"/>
        <scheme val="minor"/>
      </rPr>
      <t>P0203, P0405, P06</t>
    </r>
    <r>
      <rPr>
        <sz val="8"/>
        <color theme="1"/>
        <rFont val="Calibri"/>
        <family val="2"/>
        <scheme val="minor"/>
      </rPr>
      <t xml:space="preserve">, P07, P08, P09, P10, P11, F0203, F04, </t>
    </r>
    <r>
      <rPr>
        <sz val="8"/>
        <color rgb="FF00FF00"/>
        <rFont val="Calibri"/>
        <family val="2"/>
        <scheme val="minor"/>
      </rPr>
      <t>F05, F060708</t>
    </r>
    <r>
      <rPr>
        <sz val="8"/>
        <color theme="1"/>
        <rFont val="Calibri"/>
        <family val="2"/>
        <scheme val="minor"/>
      </rPr>
      <t>, F09, F10, F11</t>
    </r>
  </si>
  <si>
    <t>Bidrag Stiftelsen läktare (50.000), Domarbidrag 2018 , Gräsroten .</t>
  </si>
  <si>
    <t>Stiftelsen (40.000), Idrottslyftet, Utbild kommun (7.000), Utvecklingsgruppen, Utbildnbidrag SöFF (21.300) .</t>
  </si>
  <si>
    <t>Däck-shopen (x2), Coop</t>
  </si>
  <si>
    <t>Varav ViLirare (14.500).</t>
  </si>
  <si>
    <r>
      <t xml:space="preserve">Bidrag Stiftelsen läktare (50.000), </t>
    </r>
    <r>
      <rPr>
        <sz val="8"/>
        <color rgb="FFFF0000"/>
        <rFont val="Calibri"/>
        <family val="2"/>
        <scheme val="minor"/>
      </rPr>
      <t>Domarbidrag 2018 (0)</t>
    </r>
    <r>
      <rPr>
        <sz val="8"/>
        <color theme="1"/>
        <rFont val="Calibri"/>
        <family val="2"/>
        <scheme val="minor"/>
      </rPr>
      <t>, Gräsroten (6.040) .</t>
    </r>
  </si>
  <si>
    <t>Stiftelsen Utvecklingsgruppen (40.000), Idrottslyftet, Utbild kommun (7.000), Utbildnbidrag SöFF (21.300+25.120) .</t>
  </si>
  <si>
    <t>Däck-shopen (x2), Coop, Hast</t>
  </si>
  <si>
    <t>Saknas?</t>
  </si>
  <si>
    <t>Varav Fotbollsskolan ca (4.000) kr</t>
  </si>
  <si>
    <t>A-lag (20.950), Veteraner, P0203, P0405, P06, P07, P08, P09, P10, P11, F0203, F04, F05, F060708, F09, F10, F11</t>
  </si>
  <si>
    <t>Varav A-lag (25.377), Damlag (0), Ungdom (), Allmänt ()</t>
  </si>
  <si>
    <t>Varav A-lag (7.440), Damlag (0) Ungdom (), Allmänt ()</t>
  </si>
  <si>
    <t>Varav A-lag (12.480)</t>
  </si>
  <si>
    <t>Varav A-lag (38.397), Damlag (0) Ungdom (), Allmänt ()</t>
  </si>
  <si>
    <t>A-lag (21.000)</t>
  </si>
  <si>
    <t>A-lag (9.000)</t>
  </si>
  <si>
    <t>A-lag (cirka 20.000)</t>
  </si>
  <si>
    <t>-123.068</t>
  </si>
  <si>
    <t>Varav WO-avgift () , Utvisnkostn (1.500 kr), Fair-Playavgift (), Flytt matcher (), A-lag (10.500)</t>
  </si>
  <si>
    <t>Balansräkning IFK Mariefred Fotboll 2018</t>
  </si>
  <si>
    <t>2019 Budget</t>
  </si>
  <si>
    <t>A-lag (), Veteraner, P0203, P0405, P06, P07, P08, P09, P10, P11, F0203, F04, F05, F060708, F09, F10, F11</t>
  </si>
  <si>
    <t>Stiftelsen Utvecklingsgruppen (30.000), Idrottslyftet, Utbild kommun (), Utbildnbidrag SöFF () .</t>
  </si>
  <si>
    <r>
      <t xml:space="preserve">Bidrag Stiftelsen läktare (), </t>
    </r>
    <r>
      <rPr>
        <sz val="8"/>
        <color rgb="FFFF0000"/>
        <rFont val="Calibri"/>
        <family val="2"/>
        <scheme val="minor"/>
      </rPr>
      <t>Domarbidrag 2018 (0)</t>
    </r>
    <r>
      <rPr>
        <sz val="8"/>
        <color theme="1"/>
        <rFont val="Calibri"/>
        <family val="2"/>
        <scheme val="minor"/>
      </rPr>
      <t>, Gräsroten () .</t>
    </r>
  </si>
  <si>
    <t>A-lag (cirka )</t>
  </si>
  <si>
    <t>Varav ViLirare ().</t>
  </si>
  <si>
    <t>Varav WO-avgift () , Utvisnkostn (), Fair-Playavgift (), Flytt matcher (), A-lag ()</t>
  </si>
  <si>
    <t>Varav A-lag ()</t>
  </si>
  <si>
    <t>A-lag ()</t>
  </si>
  <si>
    <t>Bollbod, bankkost, Visma</t>
  </si>
  <si>
    <r>
      <t xml:space="preserve">A-lag (), </t>
    </r>
    <r>
      <rPr>
        <sz val="8"/>
        <color rgb="FF33CC33"/>
        <rFont val="Calibri"/>
        <family val="2"/>
        <scheme val="minor"/>
      </rPr>
      <t>Veteraner</t>
    </r>
    <r>
      <rPr>
        <sz val="8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P0203</t>
    </r>
    <r>
      <rPr>
        <sz val="8"/>
        <rFont val="Calibri"/>
        <family val="2"/>
        <scheme val="minor"/>
      </rPr>
      <t xml:space="preserve">, P0405, </t>
    </r>
    <r>
      <rPr>
        <sz val="8"/>
        <color rgb="FF33CC33"/>
        <rFont val="Calibri"/>
        <family val="2"/>
        <scheme val="minor"/>
      </rPr>
      <t>P06</t>
    </r>
    <r>
      <rPr>
        <sz val="8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P07</t>
    </r>
    <r>
      <rPr>
        <sz val="8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P08</t>
    </r>
    <r>
      <rPr>
        <sz val="8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P09</t>
    </r>
    <r>
      <rPr>
        <sz val="8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P10</t>
    </r>
    <r>
      <rPr>
        <sz val="8"/>
        <rFont val="Calibri"/>
        <family val="2"/>
        <scheme val="minor"/>
      </rPr>
      <t xml:space="preserve">, P11, </t>
    </r>
    <r>
      <rPr>
        <sz val="8"/>
        <color rgb="FF33CC33"/>
        <rFont val="Calibri"/>
        <family val="2"/>
        <scheme val="minor"/>
      </rPr>
      <t>F05</t>
    </r>
    <r>
      <rPr>
        <sz val="8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F060708</t>
    </r>
    <r>
      <rPr>
        <sz val="8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F0910</t>
    </r>
    <r>
      <rPr>
        <sz val="8"/>
        <rFont val="Calibri"/>
        <family val="2"/>
        <scheme val="minor"/>
      </rPr>
      <t>, F11</t>
    </r>
  </si>
  <si>
    <t>Stiftelsen Utvecklingsgruppen (30.000), Idrottslyftet, Utbild kommun (), Utbildnbidrag SöFF (6.650) .</t>
  </si>
  <si>
    <t xml:space="preserve">Del av domare/plan (1.921), Domarbidrag 2017 (9.688) &amp; 2018 (0), Gräsroten () </t>
  </si>
  <si>
    <t>A-lag (12.000), Veteraner, P0203, P0405, P06, P07, P08, P09, P10, P11, F05, F060708, F0910, F11</t>
  </si>
  <si>
    <r>
      <rPr>
        <sz val="8"/>
        <color rgb="FF33CC33"/>
        <rFont val="Calibri"/>
        <family val="2"/>
        <scheme val="minor"/>
      </rPr>
      <t>Däck-shopen</t>
    </r>
    <r>
      <rPr>
        <sz val="8"/>
        <color theme="1"/>
        <rFont val="Calibri"/>
        <family val="2"/>
        <scheme val="minor"/>
      </rPr>
      <t>, Coop, Hast</t>
    </r>
  </si>
  <si>
    <t>Stiftelsen Utvecklingsgruppen (30.000), Idrottslyftet, Utbild kommun (), Utbildnbidrag SöFF (6.650+19.000).</t>
  </si>
  <si>
    <t>Balansräkning IFK Mariefred Fotboll 2019</t>
  </si>
  <si>
    <t>A-lag (21.600), Veteraner, P0203, P0405, P06, P07, P08, P09, P10, P11, F05, F060708, F0910, F11</t>
  </si>
  <si>
    <r>
      <rPr>
        <sz val="8"/>
        <color rgb="FF33CC33"/>
        <rFont val="Calibri"/>
        <family val="2"/>
        <scheme val="minor"/>
      </rPr>
      <t>Däck-shopen</t>
    </r>
    <r>
      <rPr>
        <sz val="8"/>
        <color theme="1"/>
        <rFont val="Calibri"/>
        <family val="2"/>
        <scheme val="minor"/>
      </rPr>
      <t xml:space="preserve">, Coop, </t>
    </r>
    <r>
      <rPr>
        <sz val="8"/>
        <color rgb="FF33CC33"/>
        <rFont val="Calibri"/>
        <family val="2"/>
        <scheme val="minor"/>
      </rPr>
      <t>Hast</t>
    </r>
  </si>
  <si>
    <t>Stiftelsen Utvecklingsgruppen (30.000), Idrottslyftet (0), Utbild kommun (8.250), Utbildnbidrag SöFF (6.650+19.000).</t>
  </si>
  <si>
    <t>Varav A-lag (20.000)</t>
  </si>
  <si>
    <t>A-lag (14.000)</t>
  </si>
  <si>
    <t>A-lag (6.000)</t>
  </si>
  <si>
    <t>Varav ViLirare (22.000).</t>
  </si>
  <si>
    <t>Varav A-lag (44.518), Ungdom (44.282), Allmänt (665)</t>
  </si>
  <si>
    <t>Varav A-lag (9.559), Ungdom (76.240), Allmänt (46.498)</t>
  </si>
  <si>
    <t xml:space="preserve">Del av domare/plan (1.921), Domarbidrag 2018 (9.688) &amp; 2019 (0), Gräsroten () </t>
  </si>
  <si>
    <t>Varav A-lag (800), Ungdom (19.700), Allmänt (0)</t>
  </si>
  <si>
    <t>Varav WO-avgift (4.900) , Utvisnkostn (), Fair-Playavgift (2.900), Flytt matcher (), A-lag ()</t>
  </si>
  <si>
    <t>Varav A-lag (10.500)</t>
  </si>
  <si>
    <t>(Ej bollar)</t>
  </si>
  <si>
    <t>2020 Budget</t>
  </si>
  <si>
    <t>Däck-shopen, Coop, Hast</t>
  </si>
  <si>
    <t>Stiftelsen Utvecklingsgruppen (0), Idrottslyftet (0), Utbild kommun (0), Utbildnbidrag SöFF (0).</t>
  </si>
  <si>
    <t>A-lag (0), Veteraner, P0203, P0405, P06, P07, P08, P09, P10, P11, F05, F060708, F0910, F11</t>
  </si>
  <si>
    <t>Varav Fotbollsskolan ca (0) kr</t>
  </si>
  <si>
    <t xml:space="preserve">Del av domare/plan (0), Domarbidrag 2019 (0) &amp; 2020 (0), Gräsroten () </t>
  </si>
  <si>
    <t>A-lag (cirka 0)</t>
  </si>
  <si>
    <t>Varav A-lag (0), Ungdom (0), Allmänt (0)</t>
  </si>
  <si>
    <t>Varav A-lag (0)</t>
  </si>
  <si>
    <t>Varav ViLirare (0).</t>
  </si>
  <si>
    <t>Varav WO-avgift (0) , Utvisnkostn (), Fair-Playavgift (0), Flytt matcher (), A-lag ()</t>
  </si>
  <si>
    <t>A-lag (0)</t>
  </si>
  <si>
    <t>Stiftelsen Utvecklingsgruppen (30.000), Idrottslyftet (0), Utbild kommun (0), Utbildnbidrag SöFF (0).</t>
  </si>
  <si>
    <r>
      <t xml:space="preserve">Däck-shopen, </t>
    </r>
    <r>
      <rPr>
        <sz val="8"/>
        <color rgb="FF00FF00"/>
        <rFont val="Calibri"/>
        <family val="2"/>
        <scheme val="minor"/>
      </rPr>
      <t>Coop</t>
    </r>
    <r>
      <rPr>
        <sz val="8"/>
        <rFont val="Calibri"/>
        <family val="2"/>
        <scheme val="minor"/>
      </rPr>
      <t>, Hast</t>
    </r>
  </si>
  <si>
    <r>
      <rPr>
        <sz val="8"/>
        <color rgb="FF33CC33"/>
        <rFont val="Calibri"/>
        <family val="2"/>
        <scheme val="minor"/>
      </rPr>
      <t>A-lag (21.600)</t>
    </r>
    <r>
      <rPr>
        <sz val="8"/>
        <rFont val="Calibri"/>
        <family val="2"/>
        <scheme val="minor"/>
      </rPr>
      <t xml:space="preserve">, Veteraner, </t>
    </r>
    <r>
      <rPr>
        <sz val="8"/>
        <color rgb="FF33CC33"/>
        <rFont val="Calibri"/>
        <family val="2"/>
        <scheme val="minor"/>
      </rPr>
      <t xml:space="preserve">P0203, P0405, P0607, P08, P09, P10, </t>
    </r>
    <r>
      <rPr>
        <sz val="8"/>
        <rFont val="Calibri"/>
        <family val="2"/>
        <scheme val="minor"/>
      </rPr>
      <t>P11</t>
    </r>
    <r>
      <rPr>
        <sz val="8"/>
        <color rgb="FF33CC33"/>
        <rFont val="Calibri"/>
        <family val="2"/>
        <scheme val="minor"/>
      </rPr>
      <t xml:space="preserve">, P12, F05, </t>
    </r>
    <r>
      <rPr>
        <sz val="8"/>
        <rFont val="Calibri"/>
        <family val="2"/>
        <scheme val="minor"/>
      </rPr>
      <t>F060708</t>
    </r>
    <r>
      <rPr>
        <sz val="8"/>
        <color rgb="FF33CC33"/>
        <rFont val="Calibri"/>
        <family val="2"/>
        <scheme val="minor"/>
      </rPr>
      <t>, F0910,</t>
    </r>
    <r>
      <rPr>
        <sz val="8"/>
        <rFont val="Calibri"/>
        <family val="2"/>
        <scheme val="minor"/>
      </rPr>
      <t xml:space="preserve"> F11</t>
    </r>
  </si>
  <si>
    <t>Varav A-lag (0), Ungdom (0), Allmänt (0), Läktare (50.000 prognos)</t>
  </si>
  <si>
    <r>
      <t xml:space="preserve">A-lag (21.600), Veteraner, P0203, P0405, P0607, P08, P09, P10, P11, P12, F05, </t>
    </r>
    <r>
      <rPr>
        <sz val="8"/>
        <rFont val="Calibri"/>
        <family val="2"/>
        <scheme val="minor"/>
      </rPr>
      <t>F0708</t>
    </r>
    <r>
      <rPr>
        <sz val="8"/>
        <color rgb="FF00FF00"/>
        <rFont val="Calibri"/>
        <family val="2"/>
        <scheme val="minor"/>
      </rPr>
      <t>, F0910, F11, F12</t>
    </r>
  </si>
  <si>
    <r>
      <rPr>
        <sz val="8"/>
        <color rgb="FF00FF00"/>
        <rFont val="Calibri"/>
        <family val="2"/>
        <scheme val="minor"/>
      </rPr>
      <t>Däck-shopen, Coop</t>
    </r>
    <r>
      <rPr>
        <sz val="8"/>
        <rFont val="Calibri"/>
        <family val="2"/>
        <scheme val="minor"/>
      </rPr>
      <t>, Hast</t>
    </r>
  </si>
  <si>
    <r>
      <rPr>
        <sz val="8"/>
        <color rgb="FF00FF00"/>
        <rFont val="Calibri"/>
        <family val="2"/>
        <scheme val="minor"/>
      </rPr>
      <t>Däck-shopen, Coop x 2</t>
    </r>
    <r>
      <rPr>
        <sz val="8"/>
        <rFont val="Calibri"/>
        <family val="2"/>
        <scheme val="minor"/>
      </rPr>
      <t>, Hast</t>
    </r>
  </si>
  <si>
    <t>A-lag (21.600), Veteraner, P0203, P0405, P0607, P08, P09, P10, P11, P12, F05, F0708, F0910, F11, F12</t>
  </si>
  <si>
    <t>Varav ViLirare (25.000).</t>
  </si>
  <si>
    <t>Del av domare/plan (0), Domarbidrag 2019 (10.780) &amp; 2020 (0), Gräsroten (), Kompensationsstöd RF (42.000), ViLIrare (10.000)</t>
  </si>
  <si>
    <t>Varav Fotbollsskolan ca (6.000 kr)</t>
  </si>
  <si>
    <t>Varav A-lag (0), Ungdom (0), Allmänt (0), Läktare (7.000)</t>
  </si>
  <si>
    <t>Ledare, Mat</t>
  </si>
  <si>
    <t>Däck-shopen, Coop x 2, Hast</t>
  </si>
  <si>
    <t>Varav A-lag (15.412), Ungdom (0), Allmänt (0), Läktare (7.000)</t>
  </si>
  <si>
    <t>Varav A-lag (3.392), ViLirare (25.000).</t>
  </si>
  <si>
    <t>Varav A-lag (24.156), Ungdom (0), Allmänt (0)</t>
  </si>
  <si>
    <t>Varav A-lag (5.550)</t>
  </si>
  <si>
    <t>Varav A-lag (2.000), Ungdom (0), Allmänt (0)</t>
  </si>
  <si>
    <t>A-lag (30.800), Veteraner, P0203, P0405, P0607, P08, P09, P10, P11, P12, F05, F0708, F0910, F11, F12</t>
  </si>
  <si>
    <t>Stiftelsen Utvecklingsgruppen (30.000), Idrottslyftet (0), Utbild kommun (0), Utbildnbidrag RF, Tjejåret (10.000).</t>
  </si>
  <si>
    <t>INTÄKTER TOTALT</t>
  </si>
  <si>
    <t>UTGIFTER TOTALT</t>
  </si>
  <si>
    <t>TOTALT</t>
  </si>
  <si>
    <t>RESULTAT</t>
  </si>
  <si>
    <t>Stiftelsen Utvecklingsgruppen (30.000), Idrottslyftet (0), Utbild kommun (0), Tjejåret SöFF (10.000).</t>
  </si>
  <si>
    <t>A-lag (30.800), Veteraner, U19, P0405, P0607, P08, P09, P10, P11, P12, F05, F0708, F0910, F11, F12</t>
  </si>
  <si>
    <t>Domarbidrag 2019 (10.780) &amp; 2020 (0), Gräsroten (), Kompensationsstöd RF (42.000+31.000), ViLirare (10.000)</t>
  </si>
  <si>
    <t>Varav A-lag (3.392), ViLirare (25.000), SöFF (6.800).</t>
  </si>
  <si>
    <t>Utvisnkostn (3.000), Fair-Playavgift (-680), A-lag (12.920)</t>
  </si>
  <si>
    <t>Varav A-lag (24.156), Ungdom (44.976), Allmänt (3.600)</t>
  </si>
  <si>
    <t>Varav A-lag (15.412), Ungdom (42.382), Allmänt (16.578), Läktare (7.000)</t>
  </si>
  <si>
    <t>Varav A-lag (2.000), Ungdom (4.700)</t>
  </si>
  <si>
    <t>Balansräkning IFK Mariefred Fotboll 2020</t>
  </si>
  <si>
    <t>2021 Budget</t>
  </si>
  <si>
    <t>Varav Fotbollsskolan ca (0 kr)</t>
  </si>
  <si>
    <t>A-lag (0), Veteraner, U19, U17, P0607, P08, P09, P10, P11, P12, P13, F0708, F09, F10, F11, F12, F13</t>
  </si>
  <si>
    <t>Stiftelsen Utvecklingsgruppen (0), Idrottslyftet (0), Utbild kommun (0).</t>
  </si>
  <si>
    <t>Domarbidrag 2020 (11.040), Gräsroten (), Kompensationsstöd RF (1.557), ViLirare (0), Lagkassa P16 (3.254).</t>
  </si>
  <si>
    <t>Varav A-lag (), Ungdom (), Allmänt ()</t>
  </si>
  <si>
    <t>Varav A-lag (), ViLirare (), SöFF ().</t>
  </si>
  <si>
    <t>Varav A-lag (), Ungdom ()</t>
  </si>
  <si>
    <t>Utvisnkostn (), Fair-Playavgift (), A-lag ()</t>
  </si>
  <si>
    <r>
      <rPr>
        <sz val="8"/>
        <color rgb="FF33CC33"/>
        <rFont val="Calibri"/>
        <family val="2"/>
        <scheme val="minor"/>
      </rPr>
      <t>A-lag (11.000)</t>
    </r>
    <r>
      <rPr>
        <sz val="8"/>
        <color theme="1"/>
        <rFont val="Calibri"/>
        <family val="2"/>
        <scheme val="minor"/>
      </rPr>
      <t xml:space="preserve">, Veteraner, </t>
    </r>
    <r>
      <rPr>
        <sz val="8"/>
        <color rgb="FF33CC33"/>
        <rFont val="Calibri"/>
        <family val="2"/>
        <scheme val="minor"/>
      </rPr>
      <t>U19, U17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P0607, P08, P09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P10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P11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P12,</t>
    </r>
    <r>
      <rPr>
        <sz val="8"/>
        <color theme="1"/>
        <rFont val="Calibri"/>
        <family val="2"/>
        <scheme val="minor"/>
      </rPr>
      <t xml:space="preserve"> </t>
    </r>
    <r>
      <rPr>
        <sz val="8"/>
        <color rgb="FF33CC33"/>
        <rFont val="Calibri"/>
        <family val="2"/>
        <scheme val="minor"/>
      </rPr>
      <t>P13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F0708</t>
    </r>
    <r>
      <rPr>
        <sz val="8"/>
        <color theme="1"/>
        <rFont val="Calibri"/>
        <family val="2"/>
        <scheme val="minor"/>
      </rPr>
      <t>,</t>
    </r>
    <r>
      <rPr>
        <sz val="8"/>
        <color rgb="FF33CC33"/>
        <rFont val="Calibri"/>
        <family val="2"/>
        <scheme val="minor"/>
      </rPr>
      <t xml:space="preserve"> F09, F10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F11, F12</t>
    </r>
    <r>
      <rPr>
        <sz val="8"/>
        <color theme="1"/>
        <rFont val="Calibri"/>
        <family val="2"/>
        <scheme val="minor"/>
      </rPr>
      <t>, F13</t>
    </r>
  </si>
  <si>
    <t>Stiftelsen Fotbollskollot (10.000), Idrottslyftet (0), Utbild kommun (5.103), Länsstyrelsen (0)</t>
  </si>
  <si>
    <t>Bollbod, bankkost, Visma, Pris ledare</t>
  </si>
  <si>
    <t>Stiftelsen Fotbollskollot (10.000), SISU, ledarbidrag sommar (30.000), Utbild kommun (5.103), Region Sörmland, ledarbidrag (42.000)</t>
  </si>
  <si>
    <r>
      <rPr>
        <sz val="8"/>
        <color rgb="FF33CC33"/>
        <rFont val="Calibri"/>
        <family val="2"/>
        <scheme val="minor"/>
      </rPr>
      <t>A-lag (11.000)</t>
    </r>
    <r>
      <rPr>
        <sz val="8"/>
        <color theme="1"/>
        <rFont val="Calibri"/>
        <family val="2"/>
        <scheme val="minor"/>
      </rPr>
      <t xml:space="preserve">, Veteraner, </t>
    </r>
    <r>
      <rPr>
        <sz val="8"/>
        <color rgb="FF33CC33"/>
        <rFont val="Calibri"/>
        <family val="2"/>
        <scheme val="minor"/>
      </rPr>
      <t>U19, U17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P0607, P08, P09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P10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P11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P12,</t>
    </r>
    <r>
      <rPr>
        <sz val="8"/>
        <color theme="1"/>
        <rFont val="Calibri"/>
        <family val="2"/>
        <scheme val="minor"/>
      </rPr>
      <t xml:space="preserve"> </t>
    </r>
    <r>
      <rPr>
        <sz val="8"/>
        <color rgb="FF33CC33"/>
        <rFont val="Calibri"/>
        <family val="2"/>
        <scheme val="minor"/>
      </rPr>
      <t>P13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F0708</t>
    </r>
    <r>
      <rPr>
        <sz val="8"/>
        <color theme="1"/>
        <rFont val="Calibri"/>
        <family val="2"/>
        <scheme val="minor"/>
      </rPr>
      <t>,</t>
    </r>
    <r>
      <rPr>
        <sz val="8"/>
        <color rgb="FF33CC33"/>
        <rFont val="Calibri"/>
        <family val="2"/>
        <scheme val="minor"/>
      </rPr>
      <t xml:space="preserve"> F09, F10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F11, F12, F13</t>
    </r>
  </si>
  <si>
    <t>Domarbidrag 2020 (11.040), Kompensationsstöd RF (5.785), ViLirare (28.000), Lagkassa P06 (3.254).</t>
  </si>
  <si>
    <t>Varav A-lag (), ViLirare (24.000), SöFF ().</t>
  </si>
  <si>
    <r>
      <t xml:space="preserve">Utvisnkostn (), Fair-Playavgift (), A-lag (). </t>
    </r>
    <r>
      <rPr>
        <i/>
        <sz val="9"/>
        <color rgb="FFFF0000"/>
        <rFont val="Calibri"/>
        <family val="2"/>
        <scheme val="minor"/>
      </rPr>
      <t>50% rabatt 2021.</t>
    </r>
  </si>
  <si>
    <t>A-lag (), ViLirare (22.000), Sommaraktivitet (16.000)</t>
  </si>
  <si>
    <t>Ledare (22.000), Mat</t>
  </si>
  <si>
    <t>Bankkost, Visma</t>
  </si>
  <si>
    <t>A-lag (11.000), Veteraner, U19, U17, P0607, P08, P09, P10, P11, P12, P13, F0708, F09, F10, F11, F12, F13</t>
  </si>
  <si>
    <t>Domarbidrag 2020 (11.040), Kompensationsstöd RF (1.557+3.928+9.000), ViLirare (28.000), Lagkassa P06 (3.254), Gräsroten (4.848)</t>
  </si>
  <si>
    <t>Stiftelsen Fotbollskollot (10.000), SISU, ledarbidrag sommar (30.000), Utbild kommun (5.103+6.500), Region Sörmland, ledarbidrag (42.000)</t>
  </si>
  <si>
    <t>Varav Fotbollsskolan ca (6.000kr)</t>
  </si>
  <si>
    <t>A-lag (11.000), Veteraner (6.750), U19, U17, P0607, P08, P09, P10, P11, P12, P13, F0708, F09, F10, F11, F12, F13</t>
  </si>
  <si>
    <t>Varav A-lag (2.000)</t>
  </si>
  <si>
    <t>Varav A-lag (9.570)</t>
  </si>
  <si>
    <t>A-lag (15.500), ViLirare (22.000), Sommaraktivitet (16.000)</t>
  </si>
  <si>
    <t>A-lag (9.500)</t>
  </si>
  <si>
    <t>Varav A-lag (0), ViLirare (24.000), SöFF (2.250).</t>
  </si>
  <si>
    <t>A-lag (cirka 15.000)</t>
  </si>
  <si>
    <t>Varav A-lag (14.393), Ungdom (40.607), Allmänt (3.100)</t>
  </si>
  <si>
    <t>Varav A-lag (13.768), Ungdom (108.155), Allmänt (37.919)</t>
  </si>
  <si>
    <r>
      <t xml:space="preserve">Utvisnkostn (1.000), Fair-Playavgift (390), A-lag (2.390). </t>
    </r>
    <r>
      <rPr>
        <i/>
        <sz val="9"/>
        <color rgb="FFFF0000"/>
        <rFont val="Calibri"/>
        <family val="2"/>
        <scheme val="minor"/>
      </rPr>
      <t>50% rabatt 2021.</t>
    </r>
  </si>
  <si>
    <t>Varav A-lag (0), Ungdom (4.050)</t>
  </si>
  <si>
    <t>Balansräkning IFK Mariefred Fotboll 2021</t>
  </si>
  <si>
    <t>2022 Budget</t>
  </si>
  <si>
    <t>Reserv för upprustning kiosk</t>
  </si>
  <si>
    <t>Varav Fotbollsskolan ca ()</t>
  </si>
  <si>
    <t>A-lag (), Veteraner (), U19, U17, P0607, P08, P09, P10, P11, P12, P13, F0708, F09, F10, F11, F12, F13</t>
  </si>
  <si>
    <t>Stiftelsen Fotbollskollot (), SISU, ledarbidrag sommar (), Utbild kommun (), Region Sörmland, ledarbidrag ()</t>
  </si>
  <si>
    <t>Domarbidrag 2020 (), Kompensationsstöd RF (), ViLirare (), Lagkassa P06 (), Gräsroten ()</t>
  </si>
  <si>
    <t>Varav A-lag (0), ViLirare (), SöFF ().</t>
  </si>
  <si>
    <t>Varav A-lag (0), Ungdom ()</t>
  </si>
  <si>
    <t>Utvisnkostn (), Fair-Playavgift (), A-lag ().</t>
  </si>
  <si>
    <t>A-lag (), ViLirare (), Sommaraktivitet ()</t>
  </si>
  <si>
    <t>Ledare (), Mat</t>
  </si>
  <si>
    <t>Stiftelsen Fotbollskollot (40.000), SISU, ledarbidrag sommar (), Utbild kommun (3.500), Region Sörmland, ledarbidrag (), SvFF, Olika är bra (20.000)</t>
  </si>
  <si>
    <t>Bankkost, Visma, Styrelsemöte, Pris ledare</t>
  </si>
  <si>
    <t>Domarbidrag 2021 (10.620), Kompensationsstöd RF (), ViLirare (), Lagkassa P06 (), Gräsroten ()</t>
  </si>
  <si>
    <r>
      <rPr>
        <sz val="8"/>
        <color rgb="FF33CC33"/>
        <rFont val="Calibri"/>
        <family val="2"/>
        <scheme val="minor"/>
      </rPr>
      <t>A-lag (15.000)</t>
    </r>
    <r>
      <rPr>
        <sz val="8"/>
        <rFont val="Calibri"/>
        <family val="2"/>
        <scheme val="minor"/>
      </rPr>
      <t xml:space="preserve">, Veteraner (), </t>
    </r>
    <r>
      <rPr>
        <sz val="8"/>
        <color rgb="FF33CC33"/>
        <rFont val="Calibri"/>
        <family val="2"/>
        <scheme val="minor"/>
      </rPr>
      <t>P0607</t>
    </r>
    <r>
      <rPr>
        <sz val="8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P09</t>
    </r>
    <r>
      <rPr>
        <sz val="8"/>
        <rFont val="Calibri"/>
        <family val="2"/>
        <scheme val="minor"/>
      </rPr>
      <t>,</t>
    </r>
    <r>
      <rPr>
        <sz val="8"/>
        <color rgb="FF33CC33"/>
        <rFont val="Calibri"/>
        <family val="2"/>
        <scheme val="minor"/>
      </rPr>
      <t xml:space="preserve"> P10</t>
    </r>
    <r>
      <rPr>
        <sz val="8"/>
        <rFont val="Calibri"/>
        <family val="2"/>
        <scheme val="minor"/>
      </rPr>
      <t>,</t>
    </r>
    <r>
      <rPr>
        <sz val="8"/>
        <color rgb="FF33CC33"/>
        <rFont val="Calibri"/>
        <family val="2"/>
        <scheme val="minor"/>
      </rPr>
      <t xml:space="preserve"> P11</t>
    </r>
    <r>
      <rPr>
        <sz val="8"/>
        <rFont val="Calibri"/>
        <family val="2"/>
        <scheme val="minor"/>
      </rPr>
      <t xml:space="preserve">, P12, P13, </t>
    </r>
    <r>
      <rPr>
        <sz val="8"/>
        <color rgb="FF33CC33"/>
        <rFont val="Calibri"/>
        <family val="2"/>
        <scheme val="minor"/>
      </rPr>
      <t>P14</t>
    </r>
    <r>
      <rPr>
        <sz val="8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F0708</t>
    </r>
    <r>
      <rPr>
        <sz val="8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F09/10</t>
    </r>
    <r>
      <rPr>
        <sz val="8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F11</t>
    </r>
    <r>
      <rPr>
        <sz val="8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F12,</t>
    </r>
    <r>
      <rPr>
        <sz val="8"/>
        <rFont val="Calibri"/>
        <family val="2"/>
        <scheme val="minor"/>
      </rPr>
      <t xml:space="preserve"> F13. F14</t>
    </r>
  </si>
  <si>
    <r>
      <rPr>
        <sz val="8"/>
        <color rgb="FF33CC33"/>
        <rFont val="Calibri"/>
        <family val="2"/>
        <scheme val="minor"/>
      </rPr>
      <t>Däck-shopen,</t>
    </r>
    <r>
      <rPr>
        <sz val="8"/>
        <color theme="1"/>
        <rFont val="Calibri"/>
        <family val="2"/>
        <scheme val="minor"/>
      </rPr>
      <t xml:space="preserve"> Coop, </t>
    </r>
    <r>
      <rPr>
        <sz val="8"/>
        <color rgb="FF33CC33"/>
        <rFont val="Calibri"/>
        <family val="2"/>
        <scheme val="minor"/>
      </rPr>
      <t>Hast</t>
    </r>
  </si>
  <si>
    <t>Stiftelsen Fotbollskollot (40.000), SISU, ledarbidrag sommar (), Utbild kommun (3.500+2.000), Region Sörmland, ledarbidrag (), SvFF, Olika är bra (20.000)</t>
  </si>
  <si>
    <r>
      <rPr>
        <sz val="8"/>
        <color rgb="FF33CC33"/>
        <rFont val="Calibri"/>
        <family val="2"/>
        <scheme val="minor"/>
      </rPr>
      <t>A-lag (15.000)</t>
    </r>
    <r>
      <rPr>
        <sz val="8"/>
        <rFont val="Calibri"/>
        <family val="2"/>
        <scheme val="minor"/>
      </rPr>
      <t xml:space="preserve">, Veteraner (), </t>
    </r>
    <r>
      <rPr>
        <sz val="8"/>
        <color rgb="FF33CC33"/>
        <rFont val="Calibri"/>
        <family val="2"/>
        <scheme val="minor"/>
      </rPr>
      <t>P0607</t>
    </r>
    <r>
      <rPr>
        <sz val="8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P09</t>
    </r>
    <r>
      <rPr>
        <sz val="8"/>
        <rFont val="Calibri"/>
        <family val="2"/>
        <scheme val="minor"/>
      </rPr>
      <t>,</t>
    </r>
    <r>
      <rPr>
        <sz val="8"/>
        <color rgb="FF33CC33"/>
        <rFont val="Calibri"/>
        <family val="2"/>
        <scheme val="minor"/>
      </rPr>
      <t xml:space="preserve"> P10</t>
    </r>
    <r>
      <rPr>
        <sz val="8"/>
        <rFont val="Calibri"/>
        <family val="2"/>
        <scheme val="minor"/>
      </rPr>
      <t>,</t>
    </r>
    <r>
      <rPr>
        <sz val="8"/>
        <color rgb="FF33CC33"/>
        <rFont val="Calibri"/>
        <family val="2"/>
        <scheme val="minor"/>
      </rPr>
      <t xml:space="preserve"> P11</t>
    </r>
    <r>
      <rPr>
        <sz val="8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P12</t>
    </r>
    <r>
      <rPr>
        <sz val="8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P13,</t>
    </r>
    <r>
      <rPr>
        <sz val="8"/>
        <rFont val="Calibri"/>
        <family val="2"/>
        <scheme val="minor"/>
      </rPr>
      <t xml:space="preserve"> </t>
    </r>
    <r>
      <rPr>
        <sz val="8"/>
        <color rgb="FF33CC33"/>
        <rFont val="Calibri"/>
        <family val="2"/>
        <scheme val="minor"/>
      </rPr>
      <t>P14</t>
    </r>
    <r>
      <rPr>
        <sz val="8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F0708</t>
    </r>
    <r>
      <rPr>
        <sz val="8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F09/10</t>
    </r>
    <r>
      <rPr>
        <sz val="8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F11</t>
    </r>
    <r>
      <rPr>
        <sz val="8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F12,</t>
    </r>
    <r>
      <rPr>
        <sz val="8"/>
        <rFont val="Calibri"/>
        <family val="2"/>
        <scheme val="minor"/>
      </rPr>
      <t xml:space="preserve"> </t>
    </r>
    <r>
      <rPr>
        <sz val="8"/>
        <color rgb="FF33CC33"/>
        <rFont val="Calibri"/>
        <family val="2"/>
        <scheme val="minor"/>
      </rPr>
      <t>F13/14</t>
    </r>
  </si>
  <si>
    <t>Sevab (HS), Däck-shopen, Coop, Hast</t>
  </si>
  <si>
    <t>A-lag (15.000), Veteraner (8.000), P07, P09, P10, P11, P12, P13, P14, F07/08, F09/10, F11, F12, F13/14</t>
  </si>
  <si>
    <t>Domarbidrag 2021 (10.620), ViLirare (20.520), Gräsroten (), Parkering (4.800)</t>
  </si>
  <si>
    <t>Varav A-lag (0), ViLirare (), SöFF (), Tjejfotbollens dag (28.000)</t>
  </si>
  <si>
    <t>Stiftelsen Fotbollskollot (40.000), SISU/HS ledarbidrag sommar (14.400), Utbild kommun (3.500+2.000), SvFF Olika är bra (20.000)</t>
  </si>
  <si>
    <t>Varav Fotbollsskolan ca (6.000)</t>
  </si>
  <si>
    <t>Stiftelsen (), Fotbollskollot (40.000), SISU/HS ledarbidrag sommar (14.400), Utbild kommun (3.500+2.000+10000), SvFF Olika är bra (20.000)</t>
  </si>
  <si>
    <t>Varav A-lag (24.585), ViLirare (22.000), SöFF (), Tjejfotbollens dag (28.000)</t>
  </si>
  <si>
    <t>Ledare (32.000), Mat (67.739), Material (67.368)</t>
  </si>
  <si>
    <t>A-lag (16.000), ViLirare (22.000), Sommaraktivitet (14.400), FoodTruck 1.400), Unga ledare (1.100)</t>
  </si>
  <si>
    <t>A-lag (22.500)</t>
  </si>
  <si>
    <t>Varav A-lag (26.000), Ungdom (50.544), Allmänt (2.600)</t>
  </si>
  <si>
    <t>Varav A-lag (35.135), Ungdom (98.678), Allmänt (46.746)</t>
  </si>
  <si>
    <t>Varav A-lag (0), Ungdom (21.000)</t>
  </si>
  <si>
    <t>Utvisnkostn (500), Fair-Playavgift (840), A-lag ().</t>
  </si>
  <si>
    <t>Domarbidrag 2021 (10.620), ViLirare (20.520), Gräsroten (10.499), Parkering (4.800)</t>
  </si>
  <si>
    <t>Balansräkning IFK Mariefred Fotboll 2022</t>
  </si>
  <si>
    <t>2023 Budget</t>
  </si>
  <si>
    <t>Kioskfix</t>
  </si>
  <si>
    <t>Stiftelsen Fotbollskollot (40.000), SISU/HS ledarbidrag sommar (14.400), Utbild kommun (3.500+2.000+10000), SvFF Olika är bra (20.000), SöFF Fotbollsutvecklare (20.000)</t>
  </si>
  <si>
    <t>A-lag (23.000)</t>
  </si>
  <si>
    <t>A-lag (15.500), ViLirare (22.000), Sommaraktivitet (14.400), FoodTruck (1.200), Unga ledare (2.650)</t>
  </si>
  <si>
    <t>Ledare (32.000), Mat (67.239), Material (67.368)</t>
  </si>
  <si>
    <t>A-lag (), Veteraner (), P07, P09, P10, P11, P12, P13, P14, F07/08, F09/10, F11, F12, F13/14</t>
  </si>
  <si>
    <t>Stiftelsen Fotbollskollot (), SISU/HS ledarbidrag sommar (), Utbild kommun (), SvFF Olika är bra (), SöFF Fotbollsutvecklare ()</t>
  </si>
  <si>
    <t>Domarbidrag 2021 (), ViLirare (), Gräsroten (1, Parkering ()</t>
  </si>
  <si>
    <t>Varav A-lag (), ViLirare (), SöFF (), Tjejfotbollens dag ()</t>
  </si>
  <si>
    <t>A-lag (), ViLirare (), Sommaraktivitet (), FoodTruck (), Unga ledare ()</t>
  </si>
  <si>
    <t>Ledare (), Mat (), Material ()</t>
  </si>
  <si>
    <r>
      <t xml:space="preserve">A-lag (), Veteraner (), P07, P09, P10, P11, P12, P13, P14, F07/08, F09/10, F11, </t>
    </r>
    <r>
      <rPr>
        <sz val="8"/>
        <color rgb="FF00FF00"/>
        <rFont val="Calibri"/>
        <family val="2"/>
        <scheme val="minor"/>
      </rPr>
      <t>F12</t>
    </r>
    <r>
      <rPr>
        <sz val="8"/>
        <rFont val="Calibri"/>
        <family val="2"/>
        <scheme val="minor"/>
      </rPr>
      <t>, F13/14</t>
    </r>
  </si>
  <si>
    <t>Domarbidrag 2021 (), ViLirare (), Gräsroten (-6.472, fel 2022), Parkering ()</t>
  </si>
  <si>
    <t>Varav A-lag (19.000, träningsläger), ViLirare (), Tillslag (15.000), SöFF (), Tjejfotbollens dag ()</t>
  </si>
  <si>
    <r>
      <t xml:space="preserve">Sevab (HS), </t>
    </r>
    <r>
      <rPr>
        <sz val="8"/>
        <color rgb="FF00B050"/>
        <rFont val="Calibri"/>
        <family val="2"/>
        <scheme val="minor"/>
      </rPr>
      <t>Däck-shopen, Coop, Contrado</t>
    </r>
  </si>
  <si>
    <t>Stiftelsen Tjejfotbollens Dag (30.000), SISU/HS ledarbidrag sommar (), Utbild kommun ()</t>
  </si>
  <si>
    <t>A-lag (15.600), Veteraner (), P09, P10, P11, P12, P13, P14, P15, F09/10, F11, F12, F13/14, F15</t>
  </si>
  <si>
    <t>Ledare HS</t>
  </si>
  <si>
    <t>Fotbollsskolan kostn</t>
  </si>
  <si>
    <t>est</t>
  </si>
  <si>
    <t>paket, mat</t>
  </si>
  <si>
    <t>bidrag HS</t>
  </si>
  <si>
    <t>A-lag (15.000)</t>
  </si>
  <si>
    <t>Ledare (30.000), Mat (), Material ()</t>
  </si>
  <si>
    <t>A-lag (27.500), ViLirare (22.000), Sommaraktivitet (16.000), Unga ledare ()</t>
  </si>
  <si>
    <t>Inköpskostnader varor (38.000)</t>
  </si>
  <si>
    <t>ViLirare (23.000), Tjejfotbollens Dag (30.000), SISU/HS ledarbidrag sommar (), Utbild kommun ()</t>
  </si>
  <si>
    <t>Varav A-lag (21.043), ViLirare (33.000), Tillslag (15.000), Coerver (9.000), SöFF (2.000), Tjejfotbollens dag (), VEO (3.783)</t>
  </si>
  <si>
    <t>KOMMANDE</t>
  </si>
  <si>
    <t>Domarbidrag 2021 (), Gräsroten (-6.472, fel 2022), Parkering (0)</t>
  </si>
  <si>
    <t>Planhyra juli-aug</t>
  </si>
  <si>
    <t>Aktivitetsbidrag VT-23</t>
  </si>
  <si>
    <t>RF</t>
  </si>
  <si>
    <t>Kommun</t>
  </si>
  <si>
    <t>???</t>
  </si>
  <si>
    <t>paket</t>
  </si>
  <si>
    <t>Planhyra sept-okt</t>
  </si>
  <si>
    <r>
      <t xml:space="preserve">Domarbidrag 2021 (13.697), </t>
    </r>
    <r>
      <rPr>
        <sz val="8"/>
        <color rgb="FFFF0000"/>
        <rFont val="Calibri"/>
        <family val="2"/>
        <scheme val="minor"/>
      </rPr>
      <t>Gräsroten</t>
    </r>
    <r>
      <rPr>
        <sz val="8"/>
        <rFont val="Calibri"/>
        <family val="2"/>
        <scheme val="minor"/>
      </rPr>
      <t xml:space="preserve"> (-6.472, fel 2022)</t>
    </r>
  </si>
  <si>
    <r>
      <t xml:space="preserve">ViLirare (23.000), Stiftelsen Tjejfotbollens Dag (30.000), Region/HS ledarbidrag sommar (68.000), </t>
    </r>
    <r>
      <rPr>
        <sz val="8"/>
        <color rgb="FFFF0000"/>
        <rFont val="Calibri"/>
        <family val="2"/>
        <scheme val="minor"/>
      </rPr>
      <t>Utbild kommun</t>
    </r>
    <r>
      <rPr>
        <sz val="8"/>
        <color theme="1"/>
        <rFont val="Calibri"/>
        <family val="2"/>
        <scheme val="minor"/>
      </rPr>
      <t xml:space="preserve"> ()</t>
    </r>
  </si>
  <si>
    <t>Utvisnkostn (), Fair-Playavgift (), A-lag (10.800).</t>
  </si>
  <si>
    <t>A-lag (18.000)</t>
  </si>
  <si>
    <t>A-lag (16.400), Veteraner (), P09, P10, P11, P12, P13, P14, P15, F09/10, F11, F12, F13/14, F15</t>
  </si>
  <si>
    <t>A-lag (27.500), ViLirare (22.000), Sommaraktivitet (16.000), Unga ledare (850)</t>
  </si>
  <si>
    <t>Varav A-lag (36.543), ViLirare (33.000), Tillslag (15.000), Coerver (9.000), SöFF (2.000), Tjejfotbollens dag (0), VEO (3.783)</t>
  </si>
  <si>
    <t>Varav A-lag (29.959), Ungdom (154.542), Allmänt (31.616)</t>
  </si>
  <si>
    <t>Varav A-lag (39.201), Ungdom (64.457), Allmänt (0)</t>
  </si>
  <si>
    <t>Varav A-lag (4.500), Ungdom (29.150)</t>
  </si>
  <si>
    <t>Utbildningsbidrag H2</t>
  </si>
  <si>
    <t>A-lag (16.400), Veteraner (6.750), P09, P10, P11, P12, P13, P14, P15, F09/10, F11, F12, F13/14, F15</t>
  </si>
  <si>
    <t>Nettointäkt (125.913)</t>
  </si>
  <si>
    <t>Däck-shopen, Coop, Contrado</t>
  </si>
  <si>
    <t>ViLirare (23.000), Stiftelsen Tjejfotbollens Dag (30.000), Region/HS ledarbidrag sommar (68.000), Utbild kommun (16.850)</t>
  </si>
  <si>
    <t>Domarbidrag 2021 (13.697), Gräsroten (-6.472, fel 2022 +3.810)</t>
  </si>
  <si>
    <t>Varav A-lag (30.660), Ungdom (154.542), Allmänt (35.290)</t>
  </si>
  <si>
    <t>Inköpskostnader varor (52.004)</t>
  </si>
  <si>
    <t>Varav A-lag (36.543), ViLirare (33.000), Tillslag (15.000), Coerver (9.000), SöFF (2.600), Tjejfotbollens dag (0), VEO (3.783)</t>
  </si>
  <si>
    <t>Varav A-lag (39.201), Ungdom (65.587), Allmänt (0)</t>
  </si>
  <si>
    <t>Varav A-lag (4.500), Ungdom (30.400)</t>
  </si>
  <si>
    <t>Utvisnkostn (500), Fair-Playavgift (0), A-lag (10.800).</t>
  </si>
  <si>
    <t>Ledare (30.000), Mat (67.210), Material (64.633)</t>
  </si>
  <si>
    <t>Bankkost, Visma, Styrelsemöte, Pris ledare, Tävlingsärende, Nycklar</t>
  </si>
  <si>
    <t>Balansräkning IFK Mariefred Fotboll 2023</t>
  </si>
  <si>
    <t>2024 Budget</t>
  </si>
  <si>
    <t>Nettointäkt ()</t>
  </si>
  <si>
    <t>Utvisnkostn (), Fair-Playavgift (0), A-lag ().</t>
  </si>
  <si>
    <t>-</t>
  </si>
  <si>
    <t>Bankkostnader, Visma, Styrelsemöte, Pris ledare, Tävlingsärende, Nycklar</t>
  </si>
  <si>
    <t>Domarbidrag 2022 (12.620), Gräsroten ()</t>
  </si>
  <si>
    <t>Varav A-lag (), Ungdom (9.805)</t>
  </si>
  <si>
    <t>Varav A-lag (3.835), ViLirare (), Coerver (), SöFF (), Tjejfotbollens dag (0), VEO ()</t>
  </si>
  <si>
    <t>Inköpskostnader varor (), Kioskfix (867)</t>
  </si>
  <si>
    <t>A-lag (2.500)</t>
  </si>
  <si>
    <t>Varav A-lag (8.134), Ungdom (2.550), Allmänt (0)</t>
  </si>
  <si>
    <t>A-lag (), ViLirare (), Unga ledare (2.650)</t>
  </si>
  <si>
    <t>Varav A-lag (9.842), Ungdom (3.481), Allmänt (46.845), Bonus (-52.000)</t>
  </si>
  <si>
    <t>Varav A-lag (0), Ledarmöte allmänt (2.775)</t>
  </si>
  <si>
    <t>ViLirare (), Stiftelsen (), Utbild kommun (), Svff Alla är Olika (30.000)</t>
  </si>
  <si>
    <r>
      <t xml:space="preserve">A-lag (), Veteraner (), </t>
    </r>
    <r>
      <rPr>
        <sz val="8"/>
        <color rgb="FF00B050"/>
        <rFont val="Calibri"/>
        <family val="2"/>
        <scheme val="minor"/>
      </rPr>
      <t>P08/09</t>
    </r>
    <r>
      <rPr>
        <sz val="8"/>
        <rFont val="Calibri"/>
        <family val="2"/>
        <scheme val="minor"/>
      </rPr>
      <t xml:space="preserve">, P10/11, </t>
    </r>
    <r>
      <rPr>
        <sz val="8"/>
        <color rgb="FF00B050"/>
        <rFont val="Calibri"/>
        <family val="2"/>
        <scheme val="minor"/>
      </rPr>
      <t>P12, P13, P14,</t>
    </r>
    <r>
      <rPr>
        <sz val="8"/>
        <rFont val="Calibri"/>
        <family val="2"/>
        <scheme val="minor"/>
      </rPr>
      <t xml:space="preserve"> P15, P16, </t>
    </r>
    <r>
      <rPr>
        <sz val="8"/>
        <color rgb="FF00B050"/>
        <rFont val="Calibri"/>
        <family val="2"/>
        <scheme val="minor"/>
      </rPr>
      <t>F09/10, F12, F13/14</t>
    </r>
    <r>
      <rPr>
        <sz val="8"/>
        <rFont val="Calibri"/>
        <family val="2"/>
        <scheme val="minor"/>
      </rPr>
      <t>, F15, F16</t>
    </r>
  </si>
  <si>
    <r>
      <t xml:space="preserve">A-lag (), Veteraner (), </t>
    </r>
    <r>
      <rPr>
        <sz val="8"/>
        <color rgb="FF00B050"/>
        <rFont val="Calibri"/>
        <family val="2"/>
        <scheme val="minor"/>
      </rPr>
      <t>P08/09</t>
    </r>
    <r>
      <rPr>
        <sz val="8"/>
        <rFont val="Calibri"/>
        <family val="2"/>
        <scheme val="minor"/>
      </rPr>
      <t>,</t>
    </r>
    <r>
      <rPr>
        <sz val="8"/>
        <color rgb="FF33CC33"/>
        <rFont val="Calibri"/>
        <family val="2"/>
        <scheme val="minor"/>
      </rPr>
      <t xml:space="preserve"> P10/11,</t>
    </r>
    <r>
      <rPr>
        <sz val="8"/>
        <rFont val="Calibri"/>
        <family val="2"/>
        <scheme val="minor"/>
      </rPr>
      <t xml:space="preserve"> </t>
    </r>
    <r>
      <rPr>
        <sz val="8"/>
        <color rgb="FF00B050"/>
        <rFont val="Calibri"/>
        <family val="2"/>
        <scheme val="minor"/>
      </rPr>
      <t>P12, P13, P14,</t>
    </r>
    <r>
      <rPr>
        <sz val="8"/>
        <rFont val="Calibri"/>
        <family val="2"/>
        <scheme val="minor"/>
      </rPr>
      <t xml:space="preserve"> P15, P16, </t>
    </r>
    <r>
      <rPr>
        <sz val="8"/>
        <color rgb="FF00B050"/>
        <rFont val="Calibri"/>
        <family val="2"/>
        <scheme val="minor"/>
      </rPr>
      <t>F09/10, F12, F13/14</t>
    </r>
    <r>
      <rPr>
        <sz val="8"/>
        <rFont val="Calibri"/>
        <family val="2"/>
        <scheme val="minor"/>
      </rPr>
      <t>, F15, F16</t>
    </r>
  </si>
  <si>
    <t>Varav A-lag (25.860), ViLirare (), Coerver (), SöFF (2.000), Tjejfotbollens dag (0), VEO ()</t>
  </si>
  <si>
    <t>Varav A-lag (0), Ledarmöte allmänt (2.775), Supercoach (1.990)</t>
  </si>
  <si>
    <t>Inköpskostnader varor (677), Kioskfix (867)</t>
  </si>
  <si>
    <t>Varav A-lag (), Ungdom (13.265)</t>
  </si>
  <si>
    <t>A-lag (6.800)</t>
  </si>
  <si>
    <t>A-lag (), ViLirare (), Unga ledare (2.850)</t>
  </si>
  <si>
    <t>Varav A-lag (15.583), Ungdom (6.391), Allmänt (0)</t>
  </si>
  <si>
    <t>Utvisnkostn (), Fair-Playavgift (0), A-lag (5.000), Ungdom (11.800)</t>
  </si>
  <si>
    <t>Varav A-lag (9.842), Ungdom (13.304), Allmänt (53.809), Bonus (-52.000)</t>
  </si>
  <si>
    <t>ViLirare (), Stiftelsen (50.000), Utbild kommun (), Svff Alla är Olika (30.000), SöFF Fotbollsutv (15.000)</t>
  </si>
  <si>
    <r>
      <rPr>
        <sz val="8"/>
        <color rgb="FF33CC33"/>
        <rFont val="Calibri"/>
        <family val="2"/>
        <scheme val="minor"/>
      </rPr>
      <t>A-lag (), Veteraner (),</t>
    </r>
    <r>
      <rPr>
        <sz val="8"/>
        <rFont val="Calibri"/>
        <family val="2"/>
        <scheme val="minor"/>
      </rPr>
      <t xml:space="preserve"> </t>
    </r>
    <r>
      <rPr>
        <sz val="8"/>
        <color rgb="FF00B050"/>
        <rFont val="Calibri"/>
        <family val="2"/>
        <scheme val="minor"/>
      </rPr>
      <t>P08/09</t>
    </r>
    <r>
      <rPr>
        <sz val="8"/>
        <rFont val="Calibri"/>
        <family val="2"/>
        <scheme val="minor"/>
      </rPr>
      <t>,</t>
    </r>
    <r>
      <rPr>
        <sz val="8"/>
        <color rgb="FF33CC33"/>
        <rFont val="Calibri"/>
        <family val="2"/>
        <scheme val="minor"/>
      </rPr>
      <t xml:space="preserve"> P10/11,</t>
    </r>
    <r>
      <rPr>
        <sz val="8"/>
        <rFont val="Calibri"/>
        <family val="2"/>
        <scheme val="minor"/>
      </rPr>
      <t xml:space="preserve"> </t>
    </r>
    <r>
      <rPr>
        <sz val="8"/>
        <color rgb="FF00B050"/>
        <rFont val="Calibri"/>
        <family val="2"/>
        <scheme val="minor"/>
      </rPr>
      <t>P12, P13, P14</t>
    </r>
    <r>
      <rPr>
        <sz val="8"/>
        <color rgb="FF33CC33"/>
        <rFont val="Calibri"/>
        <family val="2"/>
        <scheme val="minor"/>
      </rPr>
      <t>, P15, P16,</t>
    </r>
    <r>
      <rPr>
        <sz val="8"/>
        <rFont val="Calibri"/>
        <family val="2"/>
        <scheme val="minor"/>
      </rPr>
      <t xml:space="preserve"> </t>
    </r>
    <r>
      <rPr>
        <sz val="8"/>
        <color rgb="FF00B050"/>
        <rFont val="Calibri"/>
        <family val="2"/>
        <scheme val="minor"/>
      </rPr>
      <t>F09/10, F12, F13/14</t>
    </r>
    <r>
      <rPr>
        <sz val="8"/>
        <rFont val="Calibri"/>
        <family val="2"/>
        <scheme val="minor"/>
      </rPr>
      <t>,</t>
    </r>
    <r>
      <rPr>
        <sz val="8"/>
        <color rgb="FF33CC33"/>
        <rFont val="Calibri"/>
        <family val="2"/>
        <scheme val="minor"/>
      </rPr>
      <t xml:space="preserve"> F15, F16</t>
    </r>
  </si>
  <si>
    <t>A-lag (), ViLirare (), Unga ledare (3.150)</t>
  </si>
  <si>
    <t>Varav A-lag (), Ungdom (17.965)</t>
  </si>
  <si>
    <t>Varav A-lag (25.860), ViLirare (), Coerver (8.400), SöFF (3.800), Tjejfotbollens dag (0), VEO ()</t>
  </si>
  <si>
    <t>Bollar 38.638
Klubbmärken 12.000
Ledartröjor 6.647</t>
  </si>
  <si>
    <t>Varav A-lag (11.089), Ungdom (27.281), Allmänt (65.956), Bonus (-52.000)</t>
  </si>
  <si>
    <t>Varav A-lag (23.134), Ungdom (13.578), Allmänt (0)</t>
  </si>
  <si>
    <t>ViLirare (18.000), Stiftelsen (50.000), Utbild kommun (), Svff Alla är Olika (30.000), SöFF Fotbollsutv (15.000)</t>
  </si>
  <si>
    <t>Varav A-lag (0), Ledarmöte allmänt (2.775), Supercoach (1.990), SöFF (38.390)</t>
  </si>
  <si>
    <t>Varav A-lag (25.860), ViLirare (31.000), Coerver (8.400), SöFF (3.800), Tjejfotbollens dag (0), VEO ()</t>
  </si>
  <si>
    <t>Ledare (54.000), Mat (6.018), Material ()</t>
  </si>
  <si>
    <t>Varav A-lag (), Ungdom (19.365)</t>
  </si>
  <si>
    <t>Varav A-lag (33.740), Ungdom (25.932), Allmänt (0)</t>
  </si>
  <si>
    <t>Utvisnkostn (), Fair-Playavgift (0), A-lag (5.000), Ungdom (11.800), SöFF (2.500)</t>
  </si>
  <si>
    <t>Fotbollsskolan mat</t>
  </si>
  <si>
    <t>Fotbollsskolan material</t>
  </si>
  <si>
    <t>est.</t>
  </si>
  <si>
    <t>Bollar 39.387
Klubbmärken 12.000
Ledartröjor 11.271
Övrigt 7.922</t>
  </si>
  <si>
    <t>Varav A-lag (19.104), Ungdom (35.507), Allmänt (71.197), Bonus (-52.000)</t>
  </si>
  <si>
    <t>A-lag (22.500), ViLirare (24.000), Unga ledare (4.875)</t>
  </si>
  <si>
    <t>Varav A-lag (), Ungdom (30.165)</t>
  </si>
  <si>
    <t>A-lag (13.800)</t>
  </si>
  <si>
    <t>A-lag (22.500), ViLirare (24.000), Unga ledare (4.975)</t>
  </si>
  <si>
    <t>Varav A-lag (22.017), Ungdom (40.610), Allmänt (72.896), Bonus (-52.000)</t>
  </si>
  <si>
    <t>Bollar 39.387
Klubbmärken 12.000
Ledartröjor 11.271
Övrigt 10.238</t>
  </si>
  <si>
    <t>Inköpskostnader varor (15.146), Kioskfix (867)</t>
  </si>
  <si>
    <t>Varav A-lag (35.235), ViLirare (31.000), Coerver (8.400), SöFF (3.800), Tjejfotbollens dag (0), VEO ()</t>
  </si>
  <si>
    <t>Varav A-lag (38.816), Ungdom (35.216), Allmänt (0)</t>
  </si>
  <si>
    <r>
      <rPr>
        <sz val="8"/>
        <color rgb="FF33CC33"/>
        <rFont val="Calibri"/>
        <family val="2"/>
        <scheme val="minor"/>
      </rPr>
      <t>A-lag (18.200), Veteraner (8.250),</t>
    </r>
    <r>
      <rPr>
        <sz val="8"/>
        <rFont val="Calibri"/>
        <family val="2"/>
        <scheme val="minor"/>
      </rPr>
      <t xml:space="preserve"> </t>
    </r>
    <r>
      <rPr>
        <sz val="8"/>
        <color rgb="FF00B050"/>
        <rFont val="Calibri"/>
        <family val="2"/>
        <scheme val="minor"/>
      </rPr>
      <t>P08/09</t>
    </r>
    <r>
      <rPr>
        <sz val="8"/>
        <rFont val="Calibri"/>
        <family val="2"/>
        <scheme val="minor"/>
      </rPr>
      <t>,</t>
    </r>
    <r>
      <rPr>
        <sz val="8"/>
        <color rgb="FF33CC33"/>
        <rFont val="Calibri"/>
        <family val="2"/>
        <scheme val="minor"/>
      </rPr>
      <t xml:space="preserve"> P10/11,</t>
    </r>
    <r>
      <rPr>
        <sz val="8"/>
        <rFont val="Calibri"/>
        <family val="2"/>
        <scheme val="minor"/>
      </rPr>
      <t xml:space="preserve"> </t>
    </r>
    <r>
      <rPr>
        <sz val="8"/>
        <color rgb="FF00B050"/>
        <rFont val="Calibri"/>
        <family val="2"/>
        <scheme val="minor"/>
      </rPr>
      <t>P12, P13, P14</t>
    </r>
    <r>
      <rPr>
        <sz val="8"/>
        <color rgb="FF33CC33"/>
        <rFont val="Calibri"/>
        <family val="2"/>
        <scheme val="minor"/>
      </rPr>
      <t>, P15, P16,</t>
    </r>
    <r>
      <rPr>
        <sz val="8"/>
        <rFont val="Calibri"/>
        <family val="2"/>
        <scheme val="minor"/>
      </rPr>
      <t xml:space="preserve"> </t>
    </r>
    <r>
      <rPr>
        <sz val="8"/>
        <color rgb="FF00B050"/>
        <rFont val="Calibri"/>
        <family val="2"/>
        <scheme val="minor"/>
      </rPr>
      <t>F09/10, F12, F13/14</t>
    </r>
    <r>
      <rPr>
        <sz val="8"/>
        <rFont val="Calibri"/>
        <family val="2"/>
        <scheme val="minor"/>
      </rPr>
      <t>,</t>
    </r>
    <r>
      <rPr>
        <sz val="8"/>
        <color rgb="FF33CC33"/>
        <rFont val="Calibri"/>
        <family val="2"/>
        <scheme val="minor"/>
      </rPr>
      <t xml:space="preserve"> F15, F16</t>
    </r>
  </si>
  <si>
    <t>A-lag (23.000), ungdom (100)</t>
  </si>
  <si>
    <t>A-lag (22.500), ViLirare (24.000), Unga ledare (5.125)</t>
  </si>
  <si>
    <t>Ledare (54.000), Mat (81.218), Material (67.357)</t>
  </si>
  <si>
    <t>Varav A-lag (35.235), ViLirare (31.000), Coerver (8.400), SöFF (4.100), Tjejfotbollens dag (0), VEO ()</t>
  </si>
  <si>
    <t>Varav A-lag (41.214), Ungdom (36.556), Allmänt (0)</t>
  </si>
  <si>
    <t>Varav A-lag (), Ungdom (30.915)</t>
  </si>
  <si>
    <t>Varav Fotbollsskolan ca (7.000)</t>
  </si>
  <si>
    <t>Utvisnkostn (), Fair-Playavgift (0), A-lag (5.000), Ungdom (11.800), SöFF (6.500)</t>
  </si>
  <si>
    <t>A-lag (22.500), ViLirare (24.000), Unga ledare (5.425)</t>
  </si>
  <si>
    <t>A-lag (23.000), ungdom (150)</t>
  </si>
  <si>
    <t>Varav A-lag (22.017), Ungdom (43.118), Allmänt (72.896), Bonus (-52.000)</t>
  </si>
  <si>
    <t>Varav A-lag (44.406), Ungdom (41.923), Allmänt (0)</t>
  </si>
  <si>
    <t>ViLirare (18.000), Stiftelsen (50.000), Utbild kommun (12.900), Svff Alla är Olika (30.000), SöFF Fotbollsutv (15.000)</t>
  </si>
  <si>
    <t>Varav A-lag (41.235), ViLirare (31.000), Coerver (8.400), SöFF (4.100), Tjejfotbollens dag (2.242), VEO ()</t>
  </si>
  <si>
    <t>Domarbidrag 2022 (12.620), Gräsroten (4.443)</t>
  </si>
  <si>
    <t>Bankkostnader, Visma, Styrelsemöte, Pris ledare, Tävlingsärende, Nycklar, Blommor</t>
  </si>
  <si>
    <t>A-lag (49.500), ViLirare (24.000), Unga ledare (6.525)</t>
  </si>
  <si>
    <t>Varav A-lag (0), Ungdom (31.665)</t>
  </si>
  <si>
    <t>Varav A-lag (44.406), Ungdom (43.768), Allmänt (0)</t>
  </si>
  <si>
    <t>Varav A-lag (62.503), ViLirare (31.000), Coerver (8.400), SöFF (4.700), Tjejfotbollens dag (2.242)</t>
  </si>
  <si>
    <t>Inköpskostnader varor (15.146), Kioskfix (1.110)</t>
  </si>
  <si>
    <t>Varav A-lag (25.375), Ungdom (45.332), Allmänt (72.896), Bonus (-52.000)</t>
  </si>
  <si>
    <r>
      <t>Däck-shopen, Coop, Contrado,</t>
    </r>
    <r>
      <rPr>
        <sz val="8"/>
        <rFont val="Calibri"/>
        <family val="2"/>
        <scheme val="minor"/>
      </rPr>
      <t xml:space="preserve"> HBNB</t>
    </r>
  </si>
  <si>
    <t>A-lag (20.300, varav 7.000 nyförvärv 2025), Licenstian (1.740)</t>
  </si>
  <si>
    <t xml:space="preserve">Kostnader tagna A-lag 2025 </t>
  </si>
  <si>
    <t>Gym</t>
  </si>
  <si>
    <t>Licens</t>
  </si>
  <si>
    <t>Spons</t>
  </si>
  <si>
    <t>Intäkter tagna A-lag 2025</t>
  </si>
  <si>
    <t>FOTBOLLSEKTIONEN</t>
  </si>
  <si>
    <t>Utvisnkostn (500), Fair-Playavgift (0), A-lag (5.000), Ungdom (12.300), SöFF (6.500)</t>
  </si>
  <si>
    <t>A-lag (21.800, varav 8.500 nyförvärv 2025), Licenstian (1.740)</t>
  </si>
  <si>
    <t>Däck-shopen, Coop, Contrado, Bettingstugan (A-lag)</t>
  </si>
  <si>
    <t>Balansräkning IFK Mariefred Fotboll 2024</t>
  </si>
  <si>
    <t>A-lag (18.200), Veteraner (8.250), P08/09, P10/11, P12, P13, P14, P15, P16, F09/10, F12, F13/14, F15, F16</t>
  </si>
  <si>
    <t>Bollar 39.387
Klubbmärken 12.000
Ledartröjor 11.271
Övrigt 12.418</t>
  </si>
  <si>
    <t>Varav A-lag (27.279), Ungdom (45.332), Allmänt (75.076), Bonus (-52.000)</t>
  </si>
  <si>
    <t>Inköpskostnader varor (28.313), Kioskfix (1.110)</t>
  </si>
  <si>
    <t>Varav A-lag (0), Ledarmöte allmänt (2.775), Supercoach (1.990), SöFF (47.790)</t>
  </si>
  <si>
    <t>A-lag (27.480), ungdom (150)</t>
  </si>
  <si>
    <t>ViLirare, aktivitetsbidrag</t>
  </si>
  <si>
    <t xml:space="preserve">ViLirare, bidrag </t>
  </si>
  <si>
    <t>ViLirare, Ledararvoden</t>
  </si>
  <si>
    <t>ViLirare, Subvention</t>
  </si>
  <si>
    <t>SCFC, intäkter</t>
  </si>
  <si>
    <t>SCFC, Ledare UK</t>
  </si>
  <si>
    <t>SCFC, Unga ledare</t>
  </si>
  <si>
    <t>SCFC, Kost &amp; logi UK</t>
  </si>
  <si>
    <t>SCFC, Lunch aktiva</t>
  </si>
  <si>
    <t>SCFC, aktivitetsbidrag/plan</t>
  </si>
  <si>
    <t>SCFC, bidrag Stiftelsen</t>
  </si>
  <si>
    <t>Friskvårdsbidrag</t>
  </si>
  <si>
    <t>Förutbetalda intäkter</t>
  </si>
  <si>
    <t>SCFC, Buffert kostnader</t>
  </si>
  <si>
    <t>FOTBOLLSEKTIONEN 2023</t>
  </si>
  <si>
    <t>2025 Budget</t>
  </si>
  <si>
    <t>Deltagaravgifter SCFC</t>
  </si>
  <si>
    <t>Kostnader SCFC</t>
  </si>
  <si>
    <t>Stiftelsen (48), Kommun (15), SöFF (15), ViLirare (-18 från 2024)</t>
  </si>
  <si>
    <t>Senior (36)</t>
  </si>
  <si>
    <t>Senior (64), Unga Ledare (8), SCFC (8), ViLirare (-24 från 2024)</t>
  </si>
  <si>
    <t>Senior (95), Coerver (10), SöFF (5), ViLirare (-31 från 2024)</t>
  </si>
  <si>
    <t>(42 st x 2.950 kr)</t>
  </si>
  <si>
    <t>Däck-shopen (5), Coop (5), Contrado (5), Kruus (20), HBNB (10), Jönemark (10?), Gunilla (50)</t>
  </si>
  <si>
    <t>A-lag/U-lag (), Veteraner (), P12, P13, P14, P15, P16, P17, F09/10, F12, F13/14, F15, F16, F17</t>
  </si>
  <si>
    <t>Stiftelsen (48.000), Utbild kommun (), SöFF Fotbollsutv ()</t>
  </si>
  <si>
    <t>Deltagaravgifter Stoke City Camp</t>
  </si>
  <si>
    <t>Utvisnkostn (), Fair-Playavgift (0), A-lag (), Ungdom (), SöFF ()</t>
  </si>
  <si>
    <t>A-lag (4.000), Licenstian ()</t>
  </si>
  <si>
    <t>A-lag (), ungdom ()</t>
  </si>
  <si>
    <t>Däck-shopen, Coop, Contrado, A-lag (60.500)</t>
  </si>
  <si>
    <t>Inköpskostnader varor (), Kioskfix (174)</t>
  </si>
  <si>
    <t>Varav A-lag (6.438), Ungdom (412), Allmänt (0)</t>
  </si>
  <si>
    <t>Kostnader Stoke City Camp</t>
  </si>
  <si>
    <t>A-lag (6.600), Unga ledare (1.475)</t>
  </si>
  <si>
    <t>Varav A-lag (0), Ungdom (15.900)</t>
  </si>
  <si>
    <t>Varav A-lag (18.728), Coerver (), SöFF (), Supercoach (1.990), Tjejfotbollens dag ()</t>
  </si>
  <si>
    <t>Varav A-lag (599), Ledarmöte allmänt (), SöFF (20.000)</t>
  </si>
  <si>
    <t>Varav A-lag (25.264), Ungdom (15.696), Allmänt (29.733), Bonus (-43.019)</t>
  </si>
  <si>
    <t xml:space="preserve">Bollar 20.733
Klubbmärken 9.000
Ledartröjor 
Övrigt </t>
  </si>
  <si>
    <t>Domarbidrag 2023 (16.235), Gräsroten ()</t>
  </si>
  <si>
    <t>Domarbidrag 2023 (16.235), Gräsroten (), Säsongskort (2.800)</t>
  </si>
  <si>
    <r>
      <t>A-lag/U-lag (), Veteraner (),</t>
    </r>
    <r>
      <rPr>
        <sz val="8"/>
        <color rgb="FF33CC33"/>
        <rFont val="Calibri"/>
        <family val="2"/>
        <scheme val="minor"/>
      </rPr>
      <t xml:space="preserve"> P12</t>
    </r>
    <r>
      <rPr>
        <sz val="8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P13</t>
    </r>
    <r>
      <rPr>
        <sz val="8"/>
        <rFont val="Calibri"/>
        <family val="2"/>
        <scheme val="minor"/>
      </rPr>
      <t>, P14,</t>
    </r>
    <r>
      <rPr>
        <sz val="8"/>
        <color rgb="FF33CC33"/>
        <rFont val="Calibri"/>
        <family val="2"/>
        <scheme val="minor"/>
      </rPr>
      <t xml:space="preserve"> P15</t>
    </r>
    <r>
      <rPr>
        <sz val="8"/>
        <rFont val="Calibri"/>
        <family val="2"/>
        <scheme val="minor"/>
      </rPr>
      <t xml:space="preserve">, P16, P17, </t>
    </r>
    <r>
      <rPr>
        <sz val="8"/>
        <color rgb="FF33CC33"/>
        <rFont val="Calibri"/>
        <family val="2"/>
        <scheme val="minor"/>
      </rPr>
      <t>F09/10,</t>
    </r>
    <r>
      <rPr>
        <sz val="8"/>
        <rFont val="Calibri"/>
        <family val="2"/>
        <scheme val="minor"/>
      </rPr>
      <t xml:space="preserve"> </t>
    </r>
    <r>
      <rPr>
        <sz val="8"/>
        <color rgb="FF33CC33"/>
        <rFont val="Calibri"/>
        <family val="2"/>
        <scheme val="minor"/>
      </rPr>
      <t>F12, F13/14</t>
    </r>
    <r>
      <rPr>
        <sz val="8"/>
        <rFont val="Calibri"/>
        <family val="2"/>
        <scheme val="minor"/>
      </rPr>
      <t>,</t>
    </r>
    <r>
      <rPr>
        <sz val="8"/>
        <color rgb="FF33CC33"/>
        <rFont val="Calibri"/>
        <family val="2"/>
        <scheme val="minor"/>
      </rPr>
      <t xml:space="preserve"> F15,</t>
    </r>
    <r>
      <rPr>
        <sz val="8"/>
        <rFont val="Calibri"/>
        <family val="2"/>
        <scheme val="minor"/>
      </rPr>
      <t xml:space="preserve"> F16, F17</t>
    </r>
  </si>
  <si>
    <t>Stiftelsen (48.000), Utbild kommun (4.750), SöFF Fotbollsutv ()</t>
  </si>
  <si>
    <t>Domarbidrag 2023 (16.235), Gräsroten (), Säsongskort (3.400)</t>
  </si>
  <si>
    <t>Stiftelsen (158.000), Utbild kommun (4.750), SöFF Fotbollsutv ()</t>
  </si>
  <si>
    <t>Inköpskostnader varor (), Kioskfix (290)</t>
  </si>
  <si>
    <t>Varav A-lag (599), Ledarmöte allmänt (), SöFF (73.400)</t>
  </si>
  <si>
    <t>A-lag (11.000), Unga ledare (1.475)</t>
  </si>
  <si>
    <t>Däck-shopen, Coop, Contrado, A-lag (84.550)</t>
  </si>
  <si>
    <r>
      <rPr>
        <sz val="8"/>
        <color rgb="FF00B050"/>
        <rFont val="Calibri"/>
        <family val="2"/>
        <scheme val="minor"/>
      </rPr>
      <t xml:space="preserve">A-lag/U-lag (), </t>
    </r>
    <r>
      <rPr>
        <sz val="8"/>
        <rFont val="Calibri"/>
        <family val="2"/>
        <scheme val="minor"/>
      </rPr>
      <t>Veteraner ()</t>
    </r>
    <r>
      <rPr>
        <sz val="8"/>
        <color rgb="FF00B050"/>
        <rFont val="Calibri"/>
        <family val="2"/>
        <scheme val="minor"/>
      </rPr>
      <t>, P12, P13, P14, P15,</t>
    </r>
    <r>
      <rPr>
        <sz val="8"/>
        <rFont val="Calibri"/>
        <family val="2"/>
        <scheme val="minor"/>
      </rPr>
      <t xml:space="preserve"> P16, P17</t>
    </r>
    <r>
      <rPr>
        <sz val="8"/>
        <color rgb="FF00B050"/>
        <rFont val="Calibri"/>
        <family val="2"/>
        <scheme val="minor"/>
      </rPr>
      <t>, F09/10, F12, F13/14, F15,</t>
    </r>
    <r>
      <rPr>
        <sz val="8"/>
        <rFont val="Calibri"/>
        <family val="2"/>
        <scheme val="minor"/>
      </rPr>
      <t xml:space="preserve"> F16, F17</t>
    </r>
  </si>
  <si>
    <t>Varav A-lag (43.674), Ungdom (87.710), Allmänt (65.570), Bonus (-43.019)</t>
  </si>
  <si>
    <t xml:space="preserve">Bollar 22.161
Klubbmärken 19.500
Ledartröjor 4.240
Ljud 12.579
Övrigt </t>
  </si>
  <si>
    <t>Varav A-lag (35.052), Coerver (5.200), SöFF (6.600), Supercoach (1.990)</t>
  </si>
  <si>
    <t>Varav A-lag (19.561), Ungdom (14.536)</t>
  </si>
  <si>
    <t>Varav Ungdom (8.771)</t>
  </si>
  <si>
    <t>Varav A-lag (0), Ungdom (28.250)</t>
  </si>
  <si>
    <t>Utvisnkostn (), Fair-Playavgift (0), A-lag (2.000), Ungdom (), SöFF (28.450)</t>
  </si>
  <si>
    <t>A-lag (14.300), Licenstian ()</t>
  </si>
  <si>
    <t xml:space="preserve">Bedömt 400 st x 350 kr </t>
  </si>
  <si>
    <t>Extra fokus TUD, UEFA B</t>
  </si>
  <si>
    <t>Senior (95), Coerver (10), SöFF (5), ViLirare (-31 från 2024), FU IF (100)</t>
  </si>
  <si>
    <t>Juni saknas ännu</t>
  </si>
  <si>
    <t>Utvisnkostn (), Fair-Playavgift (0), Senior (2.000), Ungdom (), SöFF (28.450)</t>
  </si>
  <si>
    <t>Varav Senior (599), Ledarmöte allmänt (), SöFF (73.400)</t>
  </si>
  <si>
    <t>Däck-shopen, Coop, Contrado, Senior (84.574)</t>
  </si>
  <si>
    <t>Senior (45.575), Veteraner (11.700), P12, P13, P14, P15, P16, P17, F09/10, F12, F13/14, F15, F16, F17</t>
  </si>
  <si>
    <t xml:space="preserve">Bollar 22.161
Klubbmärken 22.500
Ledartröjor 4.240
Ljud 12.579
Övrigt </t>
  </si>
  <si>
    <t>Varav Senior (53.430), Ungdom (122.151), Allmänt (63.437), Bonus (-43.019)</t>
  </si>
  <si>
    <t>Varav Senior (49.147), Coerver (5.200), SöFF (6.600), Supercoach (1.990)</t>
  </si>
  <si>
    <t>Varav Senior (41.223), Ungdom (24.748)</t>
  </si>
  <si>
    <t>Varav Senior (0), Ungdom (39.900)</t>
  </si>
  <si>
    <t>Senior (15.800), Licenstian ()</t>
  </si>
  <si>
    <t>Senior (56.400), Unga ledare (4.175)</t>
  </si>
  <si>
    <t>Senior (29.500), ungdom ()</t>
  </si>
  <si>
    <t>Ledare (93.453), Mat (), Material (0)</t>
  </si>
  <si>
    <t>Ledare (60.500), Mat (4.055), Material ()</t>
  </si>
  <si>
    <t>Stiftelsen (158.000), Utbild kommun (4.700), SöFF Fotbollsutv ()</t>
  </si>
  <si>
    <t>Domarbidrag 2023 (16.235), Gräsroten (), Säsongskort (400)</t>
  </si>
  <si>
    <t>Varav Senior (57.574), Ungdom (124.875), Allmänt (73.963), Bonus (-43.019)</t>
  </si>
  <si>
    <t>Bollar 22.161
Klubbmärken 22.500
Ledartröjor 4.240
Ljud 12.579
VEO 3 8.133
Övrigt 4.350</t>
  </si>
  <si>
    <t>Inköpskostnader varor (8.467), Kioskfix (290)</t>
  </si>
  <si>
    <t>Varav Senior (599), Ledarmöte allmänt (), SöFF (73.261), Coerver (5.200)</t>
  </si>
  <si>
    <t>Varav Senior (47.147), Coerver (5.200), SöFF (8.900), Supercoach (1.990)</t>
  </si>
  <si>
    <t>Varav Senior (51.752), Ungdom (34.825)</t>
  </si>
  <si>
    <t>Varav Senior (0), Ungdom (40.100)</t>
  </si>
  <si>
    <t>Utvisnkostn (), Fair-Playavgift (0), Senior (), Ungdom (), SöFF (28.450)</t>
  </si>
  <si>
    <t>Senior (16.800), Licenstian ()</t>
  </si>
  <si>
    <t>Senior (60.800), Unga ledare (4.175)</t>
  </si>
  <si>
    <t>Ledare (64.555), Mat (81.600), Material (110.395)</t>
  </si>
  <si>
    <t>Ledare (93.408), Mat (21.295), Material (0)</t>
  </si>
  <si>
    <t>Senior (36.000), ungdom ()</t>
  </si>
  <si>
    <t>Däck-shopen, Coop, Contrado, Senior (91.574)</t>
  </si>
  <si>
    <t>Stiftelsen (158.000), Utbild kommun (30.897), SöFF Fotbollsutv (5.000). SöFF UEFA B (5.000)</t>
  </si>
  <si>
    <t>Varav Senior (59.074), Ungdom (128.774), Allmänt (79.464), Bonus (-43.019)</t>
  </si>
  <si>
    <t>Bollar 22.161
Klubbmärken 25.500
Ledartröjor 4.529
Ljud 12.579
VEO 3 8.133
Övrigt 6.562</t>
  </si>
  <si>
    <t>Varav Senior (599), Ledarmöte allmänt (5.860), SöFF (73.261), Coerver (5.200)</t>
  </si>
  <si>
    <t>Varav Senior (60.863), Ungdom (39.866)</t>
  </si>
  <si>
    <t>Varav Ungdom (18.771)</t>
  </si>
  <si>
    <t>Varav Senior (4-500), Ungdom (35.600)</t>
  </si>
  <si>
    <t>Utvisnkostn (), Fair-Playavgift (0), WO-kostnad (4.400), Senior (2.000), Ungdom (), SöFF (26.250)</t>
  </si>
  <si>
    <t>Senior (63.000), Unga ledare (4.825)</t>
  </si>
  <si>
    <t>Varav Senior (78.187), Coerver (5.200), SöFF (8.900), Supercoach (1.990)</t>
  </si>
  <si>
    <t>Senior (16.800), Licenstian (1.810)</t>
  </si>
  <si>
    <t>Varav Fotbollsskolan (ca 6.000), Stoke (ca 2.500)</t>
  </si>
  <si>
    <t>Domarbidrag 2023 (16.235), Gräsroten (5.014)</t>
  </si>
  <si>
    <t>Varav Senior (84.074), Ungdom (159.816), Allmänt (85.643), Bonus (-43.019)</t>
  </si>
  <si>
    <t>Bollar 22.161
Klubbmärken 25.500
Ledartröjor 4.529
Ljud IP 12.579
VEO 3 8.133
Övrigt 12.741</t>
  </si>
  <si>
    <t>Inköpskostnader varor (30.964), Kioskfix (290)</t>
  </si>
  <si>
    <t>Varav Senior (599), Ledarmöte allmänt (5.460), SöFF (73.261), Coerver (5.200)</t>
  </si>
  <si>
    <t>Varav Senior (79.987), Coerver (5.200), SöFF (10.800), Supercoach (1.990)</t>
  </si>
  <si>
    <t>Varav Senior (60.863), Ungdom (40.126)</t>
  </si>
  <si>
    <t>Varav Senior (4.500), Ungdom (38.600)</t>
  </si>
  <si>
    <t>Utvisnkostn (), Fair-Playavgift (0), WO-kostnad (4.400), SöFF (26.250)</t>
  </si>
  <si>
    <t>Senior (70.000), Unga ledare (4.825)</t>
  </si>
  <si>
    <t>Senior (36.000)</t>
  </si>
  <si>
    <t>Balansräkning IFK Mariefred Fotboll 2025</t>
  </si>
  <si>
    <t>2026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</si>
</sst>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k_r_-;\-* #,##0.00\ _k_r_-;_-* &quot;-&quot;??\ _k_r_-;_-@_-"/>
    <numFmt numFmtId="165" formatCode="#0.00"/>
    <numFmt numFmtId="166" formatCode="_-* #,##0\ &quot;kr&quot;_-;\-* #,##0\ &quot;kr&quot;_-;_-* &quot;-&quot;??\ &quot;kr&quot;_-;_-@_-"/>
    <numFmt numFmtId="167" formatCode="#,##0\ &quot;kr&quot;"/>
    <numFmt numFmtId="168" formatCode="#\ ##0.00"/>
    <numFmt numFmtId="169" formatCode="_-* #,##0\ _k_r_-;\-* #,##0\ _k_r_-;_-* &quot;-&quot;??\ _k_r_-;_-@_-"/>
    <numFmt numFmtId="170" formatCode="######\-####"/>
    <numFmt numFmtId="171" formatCode="#,##0.0"/>
    <numFmt numFmtId="172" formatCode="0.0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u/>
      <sz val="10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2"/>
      <color rgb="FFFF0000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24"/>
      <name val="Calibri"/>
      <family val="2"/>
      <scheme val="minor"/>
    </font>
    <font>
      <b/>
      <sz val="2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rgb="FF0070C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3" tint="0.39997558519241921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6"/>
      <color theme="3" tint="0.3999755851924192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rgb="FF00FF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FF00"/>
      <name val="Calibri"/>
      <family val="2"/>
      <scheme val="minor"/>
    </font>
    <font>
      <sz val="8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sz val="8"/>
      <color rgb="FF33CC33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8"/>
      <color rgb="FF00B050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3" fillId="0" borderId="0"/>
    <xf numFmtId="0" fontId="1" fillId="0" borderId="0"/>
    <xf numFmtId="0" fontId="8" fillId="0" borderId="0" applyNumberFormat="0" applyFill="0" applyBorder="0" applyAlignment="0" applyProtection="0"/>
    <xf numFmtId="0" fontId="12" fillId="0" borderId="0"/>
    <xf numFmtId="164" fontId="1" fillId="0" borderId="0" applyFont="0" applyFill="0" applyBorder="0" applyAlignment="0" applyProtection="0"/>
    <xf numFmtId="0" fontId="21" fillId="0" borderId="0"/>
    <xf numFmtId="0" fontId="3" fillId="0" borderId="0"/>
    <xf numFmtId="0" fontId="1" fillId="0" borderId="0"/>
  </cellStyleXfs>
  <cellXfs count="309">
    <xf numFmtId="0" fontId="0" fillId="0" borderId="0" xfId="0"/>
    <xf numFmtId="0" fontId="1" fillId="0" borderId="0" xfId="1"/>
    <xf numFmtId="165" fontId="3" fillId="0" borderId="0" xfId="2" applyNumberFormat="1"/>
    <xf numFmtId="0" fontId="3" fillId="0" borderId="0" xfId="2"/>
    <xf numFmtId="0" fontId="4" fillId="0" borderId="0" xfId="1" applyFont="1"/>
    <xf numFmtId="0" fontId="4" fillId="0" borderId="1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5" fillId="0" borderId="0" xfId="1" applyFont="1"/>
    <xf numFmtId="0" fontId="4" fillId="0" borderId="2" xfId="1" applyFont="1" applyBorder="1"/>
    <xf numFmtId="166" fontId="6" fillId="0" borderId="2" xfId="2" applyNumberFormat="1" applyFont="1" applyBorder="1"/>
    <xf numFmtId="166" fontId="6" fillId="0" borderId="0" xfId="2" applyNumberFormat="1" applyFont="1"/>
    <xf numFmtId="166" fontId="7" fillId="0" borderId="2" xfId="2" applyNumberFormat="1" applyFont="1" applyBorder="1"/>
    <xf numFmtId="166" fontId="7" fillId="0" borderId="0" xfId="2" applyNumberFormat="1" applyFont="1"/>
    <xf numFmtId="0" fontId="2" fillId="0" borderId="0" xfId="1" applyFont="1"/>
    <xf numFmtId="166" fontId="7" fillId="0" borderId="3" xfId="2" applyNumberFormat="1" applyFont="1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9" fillId="2" borderId="0" xfId="1" applyFont="1" applyFill="1"/>
    <xf numFmtId="167" fontId="9" fillId="2" borderId="0" xfId="1" applyNumberFormat="1" applyFont="1" applyFill="1"/>
    <xf numFmtId="166" fontId="7" fillId="2" borderId="0" xfId="2" applyNumberFormat="1" applyFont="1" applyFill="1"/>
    <xf numFmtId="167" fontId="9" fillId="3" borderId="0" xfId="1" applyNumberFormat="1" applyFont="1" applyFill="1"/>
    <xf numFmtId="0" fontId="2" fillId="2" borderId="0" xfId="1" applyFont="1" applyFill="1"/>
    <xf numFmtId="167" fontId="5" fillId="3" borderId="0" xfId="1" applyNumberFormat="1" applyFont="1" applyFill="1"/>
    <xf numFmtId="166" fontId="2" fillId="0" borderId="0" xfId="1" applyNumberFormat="1" applyFont="1"/>
    <xf numFmtId="0" fontId="2" fillId="0" borderId="0" xfId="0" applyFont="1"/>
    <xf numFmtId="0" fontId="10" fillId="0" borderId="0" xfId="1" applyFont="1"/>
    <xf numFmtId="0" fontId="5" fillId="0" borderId="0" xfId="0" applyFont="1"/>
    <xf numFmtId="0" fontId="12" fillId="0" borderId="0" xfId="5"/>
    <xf numFmtId="165" fontId="12" fillId="0" borderId="0" xfId="5" applyNumberFormat="1"/>
    <xf numFmtId="0" fontId="3" fillId="0" borderId="0" xfId="5" applyFont="1"/>
    <xf numFmtId="0" fontId="12" fillId="2" borderId="0" xfId="5" applyFill="1"/>
    <xf numFmtId="0" fontId="5" fillId="4" borderId="6" xfId="1" applyFont="1" applyFill="1" applyBorder="1"/>
    <xf numFmtId="166" fontId="13" fillId="0" borderId="6" xfId="2" applyNumberFormat="1" applyFont="1" applyBorder="1"/>
    <xf numFmtId="0" fontId="4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4" fillId="0" borderId="2" xfId="1" applyFont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166" fontId="14" fillId="0" borderId="0" xfId="2" applyNumberFormat="1" applyFont="1"/>
    <xf numFmtId="166" fontId="15" fillId="0" borderId="0" xfId="2" applyNumberFormat="1" applyFont="1"/>
    <xf numFmtId="0" fontId="14" fillId="0" borderId="0" xfId="1" applyFont="1"/>
    <xf numFmtId="0" fontId="15" fillId="0" borderId="0" xfId="1" applyFont="1"/>
    <xf numFmtId="14" fontId="11" fillId="0" borderId="0" xfId="1" applyNumberFormat="1" applyFont="1" applyAlignment="1">
      <alignment horizontal="center"/>
    </xf>
    <xf numFmtId="0" fontId="2" fillId="5" borderId="6" xfId="1" applyFont="1" applyFill="1" applyBorder="1" applyAlignment="1">
      <alignment horizontal="center"/>
    </xf>
    <xf numFmtId="0" fontId="5" fillId="6" borderId="6" xfId="1" applyFont="1" applyFill="1" applyBorder="1" applyAlignment="1">
      <alignment horizontal="center"/>
    </xf>
    <xf numFmtId="168" fontId="0" fillId="0" borderId="0" xfId="0" applyNumberFormat="1"/>
    <xf numFmtId="0" fontId="9" fillId="0" borderId="0" xfId="1" applyFont="1"/>
    <xf numFmtId="0" fontId="2" fillId="0" borderId="0" xfId="3" applyFont="1"/>
    <xf numFmtId="0" fontId="2" fillId="0" borderId="0" xfId="3" applyFont="1" applyAlignment="1">
      <alignment horizontal="left"/>
    </xf>
    <xf numFmtId="0" fontId="2" fillId="0" borderId="0" xfId="3" applyFont="1" applyAlignment="1">
      <alignment horizontal="center" vertical="center"/>
    </xf>
    <xf numFmtId="0" fontId="1" fillId="0" borderId="0" xfId="3"/>
    <xf numFmtId="0" fontId="1" fillId="0" borderId="0" xfId="3" applyAlignment="1">
      <alignment horizontal="left"/>
    </xf>
    <xf numFmtId="0" fontId="1" fillId="0" borderId="0" xfId="3" applyAlignment="1">
      <alignment horizontal="center"/>
    </xf>
    <xf numFmtId="0" fontId="1" fillId="0" borderId="0" xfId="3" applyAlignment="1">
      <alignment horizontal="center" vertical="center"/>
    </xf>
    <xf numFmtId="0" fontId="0" fillId="0" borderId="8" xfId="0" applyBorder="1"/>
    <xf numFmtId="0" fontId="0" fillId="0" borderId="0" xfId="1" applyFont="1"/>
    <xf numFmtId="0" fontId="16" fillId="0" borderId="0" xfId="1" applyFont="1"/>
    <xf numFmtId="0" fontId="2" fillId="7" borderId="6" xfId="1" applyFont="1" applyFill="1" applyBorder="1" applyAlignment="1">
      <alignment horizontal="center"/>
    </xf>
    <xf numFmtId="0" fontId="17" fillId="0" borderId="0" xfId="1" applyFont="1"/>
    <xf numFmtId="0" fontId="0" fillId="0" borderId="9" xfId="0" applyBorder="1"/>
    <xf numFmtId="168" fontId="0" fillId="0" borderId="9" xfId="0" applyNumberFormat="1" applyBorder="1"/>
    <xf numFmtId="0" fontId="20" fillId="8" borderId="10" xfId="1" applyFont="1" applyFill="1" applyBorder="1"/>
    <xf numFmtId="0" fontId="6" fillId="8" borderId="10" xfId="1" applyFont="1" applyFill="1" applyBorder="1"/>
    <xf numFmtId="0" fontId="6" fillId="8" borderId="11" xfId="1" applyFont="1" applyFill="1" applyBorder="1"/>
    <xf numFmtId="0" fontId="19" fillId="8" borderId="12" xfId="1" applyFont="1" applyFill="1" applyBorder="1"/>
    <xf numFmtId="0" fontId="9" fillId="0" borderId="0" xfId="0" applyFont="1"/>
    <xf numFmtId="0" fontId="23" fillId="0" borderId="0" xfId="5" applyFont="1"/>
    <xf numFmtId="14" fontId="23" fillId="0" borderId="0" xfId="5" applyNumberFormat="1" applyFont="1"/>
    <xf numFmtId="4" fontId="23" fillId="0" borderId="0" xfId="5" applyNumberFormat="1" applyFont="1"/>
    <xf numFmtId="0" fontId="12" fillId="0" borderId="0" xfId="5" applyAlignment="1">
      <alignment horizontal="left"/>
    </xf>
    <xf numFmtId="0" fontId="2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8" xfId="0" applyBorder="1" applyAlignment="1">
      <alignment horizontal="left"/>
    </xf>
    <xf numFmtId="0" fontId="23" fillId="0" borderId="8" xfId="5" applyFont="1" applyBorder="1"/>
    <xf numFmtId="14" fontId="23" fillId="0" borderId="8" xfId="5" applyNumberFormat="1" applyFont="1" applyBorder="1"/>
    <xf numFmtId="0" fontId="22" fillId="0" borderId="8" xfId="0" applyFont="1" applyBorder="1" applyAlignment="1">
      <alignment horizontal="left"/>
    </xf>
    <xf numFmtId="4" fontId="23" fillId="0" borderId="8" xfId="5" applyNumberFormat="1" applyFont="1" applyBorder="1"/>
    <xf numFmtId="2" fontId="23" fillId="0" borderId="8" xfId="5" applyNumberFormat="1" applyFont="1" applyBorder="1"/>
    <xf numFmtId="2" fontId="23" fillId="0" borderId="0" xfId="5" applyNumberFormat="1" applyFont="1"/>
    <xf numFmtId="14" fontId="9" fillId="0" borderId="0" xfId="5" applyNumberFormat="1" applyFont="1"/>
    <xf numFmtId="0" fontId="9" fillId="0" borderId="0" xfId="5" applyFont="1"/>
    <xf numFmtId="4" fontId="9" fillId="0" borderId="0" xfId="5" applyNumberFormat="1" applyFont="1"/>
    <xf numFmtId="0" fontId="5" fillId="2" borderId="6" xfId="3" applyFont="1" applyFill="1" applyBorder="1" applyAlignment="1">
      <alignment horizontal="center"/>
    </xf>
    <xf numFmtId="0" fontId="4" fillId="0" borderId="0" xfId="3" applyFont="1"/>
    <xf numFmtId="0" fontId="6" fillId="0" borderId="0" xfId="3" applyFont="1"/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 vertical="center"/>
    </xf>
    <xf numFmtId="0" fontId="6" fillId="0" borderId="0" xfId="3" applyFont="1" applyAlignment="1">
      <alignment horizontal="center"/>
    </xf>
    <xf numFmtId="0" fontId="18" fillId="0" borderId="0" xfId="3" applyFont="1"/>
    <xf numFmtId="0" fontId="18" fillId="0" borderId="0" xfId="3" applyFont="1" applyAlignment="1">
      <alignment horizontal="left"/>
    </xf>
    <xf numFmtId="169" fontId="7" fillId="9" borderId="7" xfId="6" applyNumberFormat="1" applyFont="1" applyFill="1" applyBorder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4" fillId="0" borderId="0" xfId="3" applyFont="1" applyAlignment="1">
      <alignment horizontal="left"/>
    </xf>
    <xf numFmtId="0" fontId="4" fillId="0" borderId="0" xfId="3" applyFont="1" applyAlignment="1">
      <alignment horizontal="center" vertical="center"/>
    </xf>
    <xf numFmtId="0" fontId="5" fillId="10" borderId="6" xfId="3" applyFont="1" applyFill="1" applyBorder="1" applyAlignment="1">
      <alignment horizontal="center"/>
    </xf>
    <xf numFmtId="168" fontId="11" fillId="0" borderId="8" xfId="0" applyNumberFormat="1" applyFont="1" applyBorder="1"/>
    <xf numFmtId="14" fontId="0" fillId="0" borderId="9" xfId="0" applyNumberFormat="1" applyBorder="1"/>
    <xf numFmtId="169" fontId="0" fillId="0" borderId="0" xfId="6" applyNumberFormat="1" applyFont="1" applyAlignment="1">
      <alignment horizontal="center"/>
    </xf>
    <xf numFmtId="169" fontId="1" fillId="0" borderId="0" xfId="6" applyNumberFormat="1"/>
    <xf numFmtId="169" fontId="0" fillId="0" borderId="0" xfId="6" applyNumberFormat="1" applyFont="1"/>
    <xf numFmtId="0" fontId="2" fillId="2" borderId="3" xfId="0" applyFont="1" applyFill="1" applyBorder="1" applyAlignment="1">
      <alignment horizontal="center"/>
    </xf>
    <xf numFmtId="0" fontId="24" fillId="12" borderId="6" xfId="1" applyFont="1" applyFill="1" applyBorder="1" applyAlignment="1">
      <alignment horizontal="center"/>
    </xf>
    <xf numFmtId="14" fontId="24" fillId="0" borderId="3" xfId="1" applyNumberFormat="1" applyFont="1" applyBorder="1" applyAlignment="1">
      <alignment horizontal="center"/>
    </xf>
    <xf numFmtId="0" fontId="24" fillId="0" borderId="3" xfId="1" applyFont="1" applyBorder="1" applyAlignment="1">
      <alignment horizontal="center"/>
    </xf>
    <xf numFmtId="164" fontId="1" fillId="0" borderId="8" xfId="6" applyBorder="1"/>
    <xf numFmtId="164" fontId="2" fillId="0" borderId="0" xfId="6" applyFont="1"/>
    <xf numFmtId="164" fontId="9" fillId="0" borderId="8" xfId="6" applyFont="1" applyBorder="1"/>
    <xf numFmtId="164" fontId="17" fillId="0" borderId="7" xfId="6" applyFont="1" applyBorder="1"/>
    <xf numFmtId="0" fontId="5" fillId="2" borderId="12" xfId="1" applyFont="1" applyFill="1" applyBorder="1" applyAlignment="1">
      <alignment horizontal="center"/>
    </xf>
    <xf numFmtId="14" fontId="11" fillId="0" borderId="2" xfId="1" applyNumberFormat="1" applyFont="1" applyBorder="1" applyAlignment="1">
      <alignment horizontal="center"/>
    </xf>
    <xf numFmtId="0" fontId="1" fillId="0" borderId="2" xfId="1" applyBorder="1"/>
    <xf numFmtId="0" fontId="2" fillId="0" borderId="2" xfId="1" applyFont="1" applyBorder="1"/>
    <xf numFmtId="0" fontId="9" fillId="0" borderId="2" xfId="1" applyFont="1" applyBorder="1"/>
    <xf numFmtId="0" fontId="2" fillId="5" borderId="10" xfId="1" applyFont="1" applyFill="1" applyBorder="1" applyAlignment="1">
      <alignment horizontal="center"/>
    </xf>
    <xf numFmtId="166" fontId="18" fillId="0" borderId="2" xfId="2" applyNumberFormat="1" applyFont="1" applyBorder="1"/>
    <xf numFmtId="166" fontId="13" fillId="0" borderId="2" xfId="2" applyNumberFormat="1" applyFont="1" applyBorder="1"/>
    <xf numFmtId="0" fontId="11" fillId="0" borderId="2" xfId="1" applyFont="1" applyBorder="1"/>
    <xf numFmtId="0" fontId="17" fillId="0" borderId="2" xfId="1" applyFont="1" applyBorder="1"/>
    <xf numFmtId="0" fontId="2" fillId="0" borderId="13" xfId="1" applyFont="1" applyBorder="1"/>
    <xf numFmtId="0" fontId="1" fillId="0" borderId="9" xfId="1" applyBorder="1"/>
    <xf numFmtId="0" fontId="1" fillId="0" borderId="14" xfId="1" applyBorder="1"/>
    <xf numFmtId="0" fontId="0" fillId="0" borderId="15" xfId="1" applyFont="1" applyBorder="1"/>
    <xf numFmtId="169" fontId="1" fillId="0" borderId="16" xfId="6" applyNumberFormat="1" applyBorder="1"/>
    <xf numFmtId="0" fontId="1" fillId="0" borderId="15" xfId="1" applyBorder="1"/>
    <xf numFmtId="0" fontId="1" fillId="0" borderId="17" xfId="1" applyBorder="1"/>
    <xf numFmtId="0" fontId="1" fillId="0" borderId="8" xfId="1" applyBorder="1"/>
    <xf numFmtId="169" fontId="2" fillId="0" borderId="18" xfId="6" applyNumberFormat="1" applyFont="1" applyBorder="1"/>
    <xf numFmtId="166" fontId="4" fillId="0" borderId="0" xfId="1" applyNumberFormat="1" applyFont="1"/>
    <xf numFmtId="0" fontId="15" fillId="0" borderId="0" xfId="2" applyFont="1"/>
    <xf numFmtId="0" fontId="11" fillId="0" borderId="0" xfId="1" applyFont="1"/>
    <xf numFmtId="0" fontId="25" fillId="2" borderId="12" xfId="1" applyFont="1" applyFill="1" applyBorder="1"/>
    <xf numFmtId="0" fontId="11" fillId="2" borderId="11" xfId="1" applyFont="1" applyFill="1" applyBorder="1"/>
    <xf numFmtId="0" fontId="1" fillId="2" borderId="10" xfId="1" applyFill="1" applyBorder="1"/>
    <xf numFmtId="0" fontId="1" fillId="2" borderId="11" xfId="1" applyFill="1" applyBorder="1"/>
    <xf numFmtId="0" fontId="25" fillId="0" borderId="15" xfId="1" applyFont="1" applyBorder="1"/>
    <xf numFmtId="0" fontId="1" fillId="0" borderId="16" xfId="1" applyBorder="1"/>
    <xf numFmtId="0" fontId="2" fillId="0" borderId="15" xfId="1" applyFont="1" applyBorder="1"/>
    <xf numFmtId="164" fontId="1" fillId="0" borderId="0" xfId="6"/>
    <xf numFmtId="164" fontId="1" fillId="0" borderId="16" xfId="6" applyBorder="1"/>
    <xf numFmtId="164" fontId="1" fillId="0" borderId="19" xfId="6" applyBorder="1"/>
    <xf numFmtId="164" fontId="2" fillId="0" borderId="16" xfId="6" applyFont="1" applyBorder="1"/>
    <xf numFmtId="164" fontId="9" fillId="0" borderId="19" xfId="6" applyFont="1" applyBorder="1"/>
    <xf numFmtId="0" fontId="17" fillId="0" borderId="15" xfId="1" applyFont="1" applyBorder="1"/>
    <xf numFmtId="164" fontId="17" fillId="0" borderId="20" xfId="6" applyFont="1" applyBorder="1"/>
    <xf numFmtId="0" fontId="1" fillId="0" borderId="19" xfId="1" applyBorder="1"/>
    <xf numFmtId="0" fontId="26" fillId="0" borderId="15" xfId="1" applyFont="1" applyBorder="1"/>
    <xf numFmtId="0" fontId="27" fillId="0" borderId="15" xfId="1" applyFont="1" applyBorder="1"/>
    <xf numFmtId="0" fontId="3" fillId="0" borderId="0" xfId="8"/>
    <xf numFmtId="0" fontId="3" fillId="0" borderId="0" xfId="8" applyAlignment="1">
      <alignment horizontal="left"/>
    </xf>
    <xf numFmtId="0" fontId="3" fillId="0" borderId="0" xfId="8" applyAlignment="1">
      <alignment wrapText="1"/>
    </xf>
    <xf numFmtId="0" fontId="11" fillId="0" borderId="0" xfId="0" applyFont="1"/>
    <xf numFmtId="0" fontId="0" fillId="0" borderId="0" xfId="0" applyAlignment="1">
      <alignment wrapText="1"/>
    </xf>
    <xf numFmtId="168" fontId="0" fillId="0" borderId="8" xfId="0" applyNumberFormat="1" applyBorder="1"/>
    <xf numFmtId="166" fontId="7" fillId="0" borderId="6" xfId="2" applyNumberFormat="1" applyFont="1" applyBorder="1"/>
    <xf numFmtId="0" fontId="1" fillId="0" borderId="0" xfId="1" applyAlignment="1">
      <alignment wrapText="1"/>
    </xf>
    <xf numFmtId="0" fontId="1" fillId="0" borderId="0" xfId="1" applyAlignment="1">
      <alignment horizontal="center" wrapText="1"/>
    </xf>
    <xf numFmtId="0" fontId="16" fillId="0" borderId="0" xfId="1" applyFont="1" applyAlignment="1">
      <alignment wrapText="1"/>
    </xf>
    <xf numFmtId="0" fontId="0" fillId="0" borderId="0" xfId="1" applyFont="1" applyAlignment="1">
      <alignment wrapText="1"/>
    </xf>
    <xf numFmtId="0" fontId="2" fillId="0" borderId="0" xfId="1" applyFont="1" applyAlignment="1">
      <alignment wrapText="1"/>
    </xf>
    <xf numFmtId="168" fontId="11" fillId="0" borderId="0" xfId="0" applyNumberFormat="1" applyFont="1"/>
    <xf numFmtId="0" fontId="18" fillId="0" borderId="0" xfId="3" applyFont="1" applyAlignment="1">
      <alignment horizontal="center"/>
    </xf>
    <xf numFmtId="0" fontId="1" fillId="0" borderId="0" xfId="9"/>
    <xf numFmtId="0" fontId="1" fillId="0" borderId="0" xfId="9" applyAlignment="1">
      <alignment horizontal="center"/>
    </xf>
    <xf numFmtId="0" fontId="0" fillId="0" borderId="0" xfId="9" applyFont="1"/>
    <xf numFmtId="0" fontId="0" fillId="0" borderId="0" xfId="9" applyFont="1" applyAlignment="1">
      <alignment horizontal="center"/>
    </xf>
    <xf numFmtId="0" fontId="0" fillId="2" borderId="0" xfId="0" applyFill="1"/>
    <xf numFmtId="168" fontId="0" fillId="2" borderId="0" xfId="0" applyNumberFormat="1" applyFill="1"/>
    <xf numFmtId="169" fontId="16" fillId="0" borderId="16" xfId="6" applyNumberFormat="1" applyFont="1" applyBorder="1"/>
    <xf numFmtId="169" fontId="16" fillId="0" borderId="16" xfId="6" applyNumberFormat="1" applyFont="1" applyBorder="1" applyAlignment="1">
      <alignment wrapText="1"/>
    </xf>
    <xf numFmtId="0" fontId="0" fillId="0" borderId="8" xfId="0" applyBorder="1" applyAlignment="1">
      <alignment wrapText="1"/>
    </xf>
    <xf numFmtId="0" fontId="11" fillId="0" borderId="0" xfId="0" applyFont="1" applyAlignment="1">
      <alignment wrapText="1"/>
    </xf>
    <xf numFmtId="0" fontId="0" fillId="0" borderId="15" xfId="1" applyFont="1" applyBorder="1" applyAlignment="1">
      <alignment wrapText="1"/>
    </xf>
    <xf numFmtId="3" fontId="0" fillId="0" borderId="0" xfId="0" applyNumberFormat="1" applyAlignment="1">
      <alignment horizontal="center"/>
    </xf>
    <xf numFmtId="170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72" fontId="0" fillId="0" borderId="0" xfId="0" applyNumberFormat="1" applyAlignment="1">
      <alignment horizontal="center"/>
    </xf>
    <xf numFmtId="0" fontId="17" fillId="0" borderId="0" xfId="0" applyFont="1"/>
    <xf numFmtId="171" fontId="0" fillId="0" borderId="8" xfId="0" applyNumberFormat="1" applyBorder="1" applyAlignment="1">
      <alignment horizontal="center"/>
    </xf>
    <xf numFmtId="172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0" borderId="0" xfId="0" applyNumberFormat="1"/>
    <xf numFmtId="164" fontId="0" fillId="0" borderId="16" xfId="6" applyFont="1" applyBorder="1"/>
    <xf numFmtId="0" fontId="0" fillId="2" borderId="8" xfId="0" applyFill="1" applyBorder="1"/>
    <xf numFmtId="168" fontId="0" fillId="2" borderId="8" xfId="0" applyNumberFormat="1" applyFill="1" applyBorder="1"/>
    <xf numFmtId="0" fontId="11" fillId="2" borderId="0" xfId="0" applyFont="1" applyFill="1"/>
    <xf numFmtId="0" fontId="11" fillId="2" borderId="8" xfId="0" applyFont="1" applyFill="1" applyBorder="1"/>
    <xf numFmtId="0" fontId="28" fillId="0" borderId="0" xfId="1" applyFont="1" applyAlignment="1">
      <alignment wrapText="1"/>
    </xf>
    <xf numFmtId="166" fontId="31" fillId="0" borderId="2" xfId="2" applyNumberFormat="1" applyFont="1" applyBorder="1"/>
    <xf numFmtId="166" fontId="32" fillId="0" borderId="2" xfId="2" applyNumberFormat="1" applyFont="1" applyBorder="1"/>
    <xf numFmtId="166" fontId="32" fillId="0" borderId="6" xfId="2" applyNumberFormat="1" applyFont="1" applyBorder="1"/>
    <xf numFmtId="0" fontId="34" fillId="13" borderId="12" xfId="1" applyFont="1" applyFill="1" applyBorder="1"/>
    <xf numFmtId="0" fontId="35" fillId="13" borderId="11" xfId="1" applyFont="1" applyFill="1" applyBorder="1"/>
    <xf numFmtId="0" fontId="35" fillId="13" borderId="10" xfId="1" applyFont="1" applyFill="1" applyBorder="1"/>
    <xf numFmtId="0" fontId="4" fillId="0" borderId="0" xfId="1" applyFont="1" applyAlignment="1">
      <alignment wrapText="1"/>
    </xf>
    <xf numFmtId="0" fontId="0" fillId="0" borderId="0" xfId="0" applyAlignment="1">
      <alignment horizontal="center" wrapText="1"/>
    </xf>
    <xf numFmtId="0" fontId="2" fillId="0" borderId="13" xfId="1" applyFont="1" applyBorder="1" applyAlignment="1">
      <alignment wrapText="1"/>
    </xf>
    <xf numFmtId="0" fontId="1" fillId="0" borderId="14" xfId="1" applyBorder="1" applyAlignment="1">
      <alignment wrapText="1"/>
    </xf>
    <xf numFmtId="0" fontId="33" fillId="0" borderId="15" xfId="1" applyFont="1" applyBorder="1" applyAlignment="1">
      <alignment wrapText="1"/>
    </xf>
    <xf numFmtId="169" fontId="1" fillId="0" borderId="16" xfId="6" applyNumberFormat="1" applyBorder="1" applyAlignment="1">
      <alignment wrapText="1"/>
    </xf>
    <xf numFmtId="0" fontId="1" fillId="0" borderId="15" xfId="1" applyBorder="1" applyAlignment="1">
      <alignment wrapText="1"/>
    </xf>
    <xf numFmtId="0" fontId="1" fillId="0" borderId="17" xfId="1" applyBorder="1" applyAlignment="1">
      <alignment wrapText="1"/>
    </xf>
    <xf numFmtId="169" fontId="2" fillId="0" borderId="18" xfId="6" applyNumberFormat="1" applyFont="1" applyBorder="1" applyAlignment="1">
      <alignment wrapText="1"/>
    </xf>
    <xf numFmtId="0" fontId="33" fillId="0" borderId="0" xfId="1" applyFont="1" applyAlignment="1">
      <alignment wrapText="1"/>
    </xf>
    <xf numFmtId="169" fontId="1" fillId="0" borderId="0" xfId="6" applyNumberFormat="1" applyAlignment="1">
      <alignment wrapText="1"/>
    </xf>
    <xf numFmtId="169" fontId="16" fillId="0" borderId="0" xfId="6" applyNumberFormat="1" applyFont="1" applyAlignment="1">
      <alignment wrapText="1"/>
    </xf>
    <xf numFmtId="169" fontId="2" fillId="0" borderId="0" xfId="6" applyNumberFormat="1" applyFont="1" applyAlignment="1">
      <alignment wrapText="1"/>
    </xf>
    <xf numFmtId="0" fontId="4" fillId="0" borderId="1" xfId="1" applyFont="1" applyBorder="1" applyAlignment="1">
      <alignment horizontal="center"/>
    </xf>
    <xf numFmtId="166" fontId="32" fillId="0" borderId="3" xfId="2" applyNumberFormat="1" applyFont="1" applyBorder="1"/>
    <xf numFmtId="0" fontId="36" fillId="14" borderId="12" xfId="1" applyFont="1" applyFill="1" applyBorder="1"/>
    <xf numFmtId="0" fontId="37" fillId="14" borderId="10" xfId="1" applyFont="1" applyFill="1" applyBorder="1"/>
    <xf numFmtId="0" fontId="38" fillId="14" borderId="10" xfId="1" applyFont="1" applyFill="1" applyBorder="1"/>
    <xf numFmtId="0" fontId="38" fillId="14" borderId="11" xfId="1" applyFont="1" applyFill="1" applyBorder="1"/>
    <xf numFmtId="0" fontId="0" fillId="0" borderId="21" xfId="0" applyBorder="1"/>
    <xf numFmtId="168" fontId="0" fillId="0" borderId="21" xfId="0" applyNumberFormat="1" applyBorder="1"/>
    <xf numFmtId="0" fontId="40" fillId="0" borderId="0" xfId="1" applyFont="1" applyAlignment="1">
      <alignment wrapText="1"/>
    </xf>
    <xf numFmtId="0" fontId="0" fillId="0" borderId="22" xfId="0" applyBorder="1"/>
    <xf numFmtId="168" fontId="0" fillId="0" borderId="22" xfId="0" applyNumberFormat="1" applyBorder="1"/>
    <xf numFmtId="9" fontId="0" fillId="0" borderId="0" xfId="0" applyNumberFormat="1" applyAlignment="1">
      <alignment horizontal="left"/>
    </xf>
    <xf numFmtId="0" fontId="28" fillId="2" borderId="0" xfId="0" applyFont="1" applyFill="1" applyAlignment="1">
      <alignment wrapText="1"/>
    </xf>
    <xf numFmtId="169" fontId="16" fillId="0" borderId="0" xfId="6" applyNumberFormat="1" applyFont="1"/>
    <xf numFmtId="169" fontId="2" fillId="0" borderId="0" xfId="6" applyNumberFormat="1" applyFont="1"/>
    <xf numFmtId="0" fontId="38" fillId="0" borderId="0" xfId="1" applyFont="1"/>
    <xf numFmtId="166" fontId="31" fillId="9" borderId="2" xfId="2" applyNumberFormat="1" applyFont="1" applyFill="1" applyBorder="1"/>
    <xf numFmtId="166" fontId="32" fillId="0" borderId="0" xfId="2" applyNumberFormat="1" applyFont="1"/>
    <xf numFmtId="0" fontId="5" fillId="15" borderId="6" xfId="1" applyFont="1" applyFill="1" applyBorder="1" applyAlignment="1">
      <alignment horizontal="center"/>
    </xf>
    <xf numFmtId="0" fontId="0" fillId="6" borderId="0" xfId="0" applyFill="1"/>
    <xf numFmtId="0" fontId="0" fillId="16" borderId="0" xfId="0" applyFill="1" applyAlignment="1">
      <alignment wrapText="1"/>
    </xf>
    <xf numFmtId="0" fontId="0" fillId="9" borderId="0" xfId="0" applyFill="1" applyAlignment="1">
      <alignment wrapText="1"/>
    </xf>
    <xf numFmtId="0" fontId="0" fillId="2" borderId="0" xfId="0" applyFill="1" applyAlignment="1">
      <alignment wrapText="1"/>
    </xf>
    <xf numFmtId="0" fontId="0" fillId="2" borderId="8" xfId="0" applyFill="1" applyBorder="1" applyAlignment="1">
      <alignment wrapText="1"/>
    </xf>
    <xf numFmtId="0" fontId="3" fillId="0" borderId="0" xfId="0" applyFont="1"/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42" fillId="0" borderId="0" xfId="1" applyFont="1" applyAlignment="1">
      <alignment wrapText="1"/>
    </xf>
    <xf numFmtId="0" fontId="0" fillId="0" borderId="2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5" fillId="17" borderId="6" xfId="1" applyFont="1" applyFill="1" applyBorder="1" applyAlignment="1">
      <alignment horizontal="center"/>
    </xf>
    <xf numFmtId="0" fontId="5" fillId="13" borderId="6" xfId="1" applyFont="1" applyFill="1" applyBorder="1" applyAlignment="1">
      <alignment horizontal="center"/>
    </xf>
    <xf numFmtId="0" fontId="5" fillId="2" borderId="11" xfId="1" applyFont="1" applyFill="1" applyBorder="1" applyAlignment="1">
      <alignment horizontal="center"/>
    </xf>
    <xf numFmtId="14" fontId="11" fillId="0" borderId="16" xfId="1" applyNumberFormat="1" applyFont="1" applyBorder="1" applyAlignment="1">
      <alignment horizontal="center"/>
    </xf>
    <xf numFmtId="0" fontId="2" fillId="0" borderId="16" xfId="1" applyFont="1" applyBorder="1" applyAlignment="1">
      <alignment horizontal="center"/>
    </xf>
    <xf numFmtId="166" fontId="6" fillId="0" borderId="16" xfId="2" applyNumberFormat="1" applyFont="1" applyBorder="1"/>
    <xf numFmtId="166" fontId="7" fillId="0" borderId="16" xfId="2" applyNumberFormat="1" applyFont="1" applyBorder="1"/>
    <xf numFmtId="0" fontId="2" fillId="0" borderId="16" xfId="1" applyFont="1" applyBorder="1"/>
    <xf numFmtId="0" fontId="9" fillId="0" borderId="16" xfId="1" applyFont="1" applyBorder="1"/>
    <xf numFmtId="166" fontId="15" fillId="0" borderId="6" xfId="2" applyNumberFormat="1" applyFont="1" applyBorder="1"/>
    <xf numFmtId="166" fontId="43" fillId="0" borderId="2" xfId="2" applyNumberFormat="1" applyFont="1" applyBorder="1"/>
    <xf numFmtId="166" fontId="44" fillId="0" borderId="2" xfId="2" applyNumberFormat="1" applyFont="1" applyBorder="1"/>
    <xf numFmtId="166" fontId="44" fillId="0" borderId="3" xfId="2" applyNumberFormat="1" applyFont="1" applyBorder="1"/>
    <xf numFmtId="166" fontId="44" fillId="0" borderId="6" xfId="2" applyNumberFormat="1" applyFont="1" applyBorder="1"/>
    <xf numFmtId="0" fontId="2" fillId="18" borderId="6" xfId="1" applyFont="1" applyFill="1" applyBorder="1" applyAlignment="1">
      <alignment horizontal="center"/>
    </xf>
    <xf numFmtId="0" fontId="4" fillId="0" borderId="10" xfId="1" applyFont="1" applyBorder="1"/>
    <xf numFmtId="0" fontId="38" fillId="0" borderId="10" xfId="1" applyFont="1" applyBorder="1"/>
    <xf numFmtId="0" fontId="0" fillId="0" borderId="0" xfId="1" applyFont="1" applyAlignment="1">
      <alignment horizontal="center"/>
    </xf>
    <xf numFmtId="0" fontId="11" fillId="0" borderId="0" xfId="1" quotePrefix="1" applyFont="1" applyAlignment="1">
      <alignment horizontal="right"/>
    </xf>
    <xf numFmtId="0" fontId="45" fillId="0" borderId="0" xfId="1" applyFont="1" applyAlignment="1">
      <alignment wrapText="1"/>
    </xf>
    <xf numFmtId="0" fontId="47" fillId="0" borderId="0" xfId="1" applyFont="1"/>
    <xf numFmtId="166" fontId="15" fillId="0" borderId="16" xfId="2" applyNumberFormat="1" applyFont="1" applyBorder="1"/>
    <xf numFmtId="166" fontId="18" fillId="0" borderId="0" xfId="2" applyNumberFormat="1" applyFont="1"/>
    <xf numFmtId="0" fontId="2" fillId="0" borderId="0" xfId="1" applyFont="1" applyAlignment="1">
      <alignment horizontal="center"/>
    </xf>
    <xf numFmtId="14" fontId="11" fillId="0" borderId="14" xfId="1" applyNumberFormat="1" applyFont="1" applyBorder="1" applyAlignment="1">
      <alignment horizontal="center"/>
    </xf>
    <xf numFmtId="0" fontId="0" fillId="0" borderId="16" xfId="1" applyFont="1" applyBorder="1" applyAlignment="1">
      <alignment horizontal="center"/>
    </xf>
    <xf numFmtId="0" fontId="1" fillId="9" borderId="0" xfId="1" applyFill="1"/>
    <xf numFmtId="0" fontId="41" fillId="0" borderId="0" xfId="1" applyFont="1" applyAlignment="1">
      <alignment wrapText="1"/>
    </xf>
    <xf numFmtId="14" fontId="11" fillId="0" borderId="1" xfId="1" applyNumberFormat="1" applyFont="1" applyBorder="1" applyAlignment="1">
      <alignment horizontal="center"/>
    </xf>
    <xf numFmtId="0" fontId="28" fillId="0" borderId="0" xfId="0" applyFont="1" applyAlignment="1">
      <alignment horizontal="center" wrapText="1"/>
    </xf>
    <xf numFmtId="169" fontId="1" fillId="0" borderId="0" xfId="6" applyNumberFormat="1" applyAlignment="1">
      <alignment horizontal="center"/>
    </xf>
    <xf numFmtId="0" fontId="40" fillId="0" borderId="0" xfId="1" applyFont="1" applyAlignment="1">
      <alignment horizontal="center" wrapText="1"/>
    </xf>
    <xf numFmtId="0" fontId="50" fillId="0" borderId="0" xfId="1" applyFont="1" applyAlignment="1">
      <alignment wrapText="1"/>
    </xf>
    <xf numFmtId="0" fontId="51" fillId="0" borderId="0" xfId="1" applyFont="1" applyAlignment="1">
      <alignment wrapText="1"/>
    </xf>
    <xf numFmtId="164" fontId="1" fillId="0" borderId="0" xfId="6" applyBorder="1"/>
    <xf numFmtId="166" fontId="15" fillId="0" borderId="19" xfId="2" applyNumberFormat="1" applyFont="1" applyBorder="1"/>
    <xf numFmtId="14" fontId="11" fillId="0" borderId="9" xfId="1" applyNumberFormat="1" applyFont="1" applyBorder="1" applyAlignment="1">
      <alignment horizontal="center"/>
    </xf>
    <xf numFmtId="0" fontId="40" fillId="0" borderId="0" xfId="0" applyFont="1" applyAlignment="1">
      <alignment horizontal="center" wrapText="1"/>
    </xf>
    <xf numFmtId="169" fontId="52" fillId="0" borderId="0" xfId="6" applyNumberFormat="1" applyFont="1" applyAlignment="1">
      <alignment wrapText="1"/>
    </xf>
    <xf numFmtId="0" fontId="40" fillId="0" borderId="0" xfId="1" applyFont="1"/>
    <xf numFmtId="169" fontId="52" fillId="0" borderId="7" xfId="6" applyNumberFormat="1" applyFont="1" applyBorder="1" applyAlignment="1">
      <alignment wrapText="1"/>
    </xf>
    <xf numFmtId="166" fontId="15" fillId="0" borderId="8" xfId="2" applyNumberFormat="1" applyFont="1" applyBorder="1"/>
    <xf numFmtId="169" fontId="16" fillId="0" borderId="0" xfId="6" applyNumberFormat="1" applyFont="1" applyBorder="1"/>
    <xf numFmtId="169" fontId="16" fillId="0" borderId="0" xfId="6" applyNumberFormat="1" applyFont="1" applyBorder="1" applyAlignment="1">
      <alignment wrapText="1"/>
    </xf>
    <xf numFmtId="169" fontId="1" fillId="0" borderId="0" xfId="6" applyNumberFormat="1" applyBorder="1"/>
    <xf numFmtId="169" fontId="52" fillId="0" borderId="0" xfId="6" applyNumberFormat="1" applyFont="1" applyBorder="1" applyAlignment="1">
      <alignment wrapText="1"/>
    </xf>
    <xf numFmtId="169" fontId="1" fillId="0" borderId="0" xfId="6" applyNumberFormat="1" applyBorder="1" applyAlignment="1">
      <alignment horizontal="center"/>
    </xf>
    <xf numFmtId="169" fontId="2" fillId="0" borderId="0" xfId="6" applyNumberFormat="1" applyFont="1" applyBorder="1"/>
    <xf numFmtId="0" fontId="37" fillId="14" borderId="11" xfId="1" applyFont="1" applyFill="1" applyBorder="1"/>
    <xf numFmtId="164" fontId="0" fillId="0" borderId="19" xfId="6" applyFont="1" applyBorder="1"/>
    <xf numFmtId="0" fontId="37" fillId="0" borderId="0" xfId="1" applyFont="1" applyAlignment="1">
      <alignment horizontal="right"/>
    </xf>
    <xf numFmtId="0" fontId="53" fillId="19" borderId="0" xfId="1" applyFont="1" applyFill="1" applyAlignment="1">
      <alignment horizontal="center"/>
    </xf>
    <xf numFmtId="0" fontId="37" fillId="14" borderId="10" xfId="1" applyFont="1" applyFill="1" applyBorder="1"/>
    <xf numFmtId="0" fontId="37" fillId="14" borderId="11" xfId="1" applyFont="1" applyFill="1" applyBorder="1"/>
    <xf numFmtId="0" fontId="37" fillId="14" borderId="0" xfId="1" applyFont="1" applyFill="1" applyAlignment="1">
      <alignment horizontal="left"/>
    </xf>
    <xf numFmtId="0" fontId="37" fillId="14" borderId="0" xfId="1" applyFont="1" applyFill="1" applyAlignment="1">
      <alignment horizontal="right"/>
    </xf>
    <xf numFmtId="0" fontId="37" fillId="14" borderId="0" xfId="1" applyFont="1" applyFill="1"/>
    <xf numFmtId="0" fontId="36" fillId="14" borderId="15" xfId="1" applyFont="1" applyFill="1" applyBorder="1" applyAlignment="1">
      <alignment horizontal="left"/>
    </xf>
    <xf numFmtId="0" fontId="36" fillId="14" borderId="0" xfId="1" applyFont="1" applyFill="1" applyAlignment="1">
      <alignment horizontal="left"/>
    </xf>
    <xf numFmtId="3" fontId="0" fillId="0" borderId="12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170" fontId="0" fillId="0" borderId="12" xfId="0" applyNumberFormat="1" applyBorder="1" applyAlignment="1">
      <alignment horizontal="center"/>
    </xf>
    <xf numFmtId="170" fontId="0" fillId="0" borderId="11" xfId="0" applyNumberFormat="1" applyBorder="1" applyAlignment="1">
      <alignment horizontal="center"/>
    </xf>
    <xf numFmtId="0" fontId="0" fillId="11" borderId="12" xfId="0" applyFill="1" applyBorder="1" applyAlignment="1">
      <alignment horizontal="center"/>
    </xf>
    <xf numFmtId="0" fontId="0" fillId="11" borderId="10" xfId="0" applyFill="1" applyBorder="1" applyAlignment="1">
      <alignment horizontal="center"/>
    </xf>
    <xf numFmtId="0" fontId="0" fillId="11" borderId="11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0">
    <cellStyle name="Normal" xfId="0" builtinId="0"/>
    <cellStyle name="Normal 2" xfId="2" xr:uid="{00000000-0005-0000-0000-000001000000}"/>
    <cellStyle name="Normal 3" xfId="1" xr:uid="{00000000-0005-0000-0000-000002000000}"/>
    <cellStyle name="Normal 4" xfId="3" xr:uid="{00000000-0005-0000-0000-000003000000}"/>
    <cellStyle name="Normal 5" xfId="5" xr:uid="{00000000-0005-0000-0000-000004000000}"/>
    <cellStyle name="Normal 5 2" xfId="8" xr:uid="{00000000-0005-0000-0000-000005000000}"/>
    <cellStyle name="Normal 6" xfId="7" xr:uid="{00000000-0005-0000-0000-000006000000}"/>
    <cellStyle name="Normal 7" xfId="9" xr:uid="{00000000-0005-0000-0000-000007000000}"/>
    <cellStyle name="Resultat" xfId="4" xr:uid="{00000000-0005-0000-0000-000008000000}"/>
    <cellStyle name="Tusental" xfId="6" builtinId="3"/>
  </cellStyles>
  <dxfs count="0"/>
  <tableStyles count="0" defaultTableStyle="TableStyleMedium9" defaultPivotStyle="PivotStyleLight16"/>
  <colors>
    <mruColors>
      <color rgb="FF33CC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calcChain" Target="calcChain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496A5-970C-4CC4-87EC-D56216D66D89}">
  <sheetPr>
    <tabColor theme="9" tint="-0.249977111117893"/>
    <pageSetUpPr fitToPage="1"/>
  </sheetPr>
  <dimension ref="A1:W52"/>
  <sheetViews>
    <sheetView tabSelected="1" zoomScale="110" zoomScaleNormal="110" workbookViewId="0">
      <pane xSplit="1" ySplit="3" topLeftCell="N4" activePane="bottomRight" state="frozen"/>
      <selection pane="topRight"/>
      <selection pane="bottomLeft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customWidth="1"/>
    <col min="6" max="6" width="16.5546875" style="4" customWidth="1"/>
    <col min="7" max="7" width="18" style="4" customWidth="1"/>
    <col min="8" max="8" width="14.33203125" style="4" customWidth="1"/>
    <col min="9" max="11" width="16.44140625" style="1" customWidth="1"/>
    <col min="12" max="17" width="18" style="1" customWidth="1"/>
    <col min="18" max="19" width="17.6640625" style="1" customWidth="1"/>
    <col min="20" max="20" width="18.5546875" style="1" customWidth="1"/>
    <col min="21" max="21" width="27" style="196" customWidth="1"/>
    <col min="22" max="22" width="12" style="155" customWidth="1"/>
    <col min="23" max="16384" width="9.109375" style="1"/>
  </cols>
  <sheetData>
    <row r="1" spans="1:22" ht="31.8" thickBot="1" x14ac:dyDescent="0.65">
      <c r="A1" s="211" t="s">
        <v>486</v>
      </c>
      <c r="B1" s="254"/>
      <c r="C1" s="255"/>
      <c r="D1" s="255"/>
      <c r="G1" s="1"/>
      <c r="I1" s="4"/>
      <c r="N1" s="212" t="s">
        <v>487</v>
      </c>
      <c r="O1" s="212"/>
      <c r="P1" s="212"/>
      <c r="Q1" s="212"/>
      <c r="R1" s="212"/>
      <c r="S1" s="212"/>
      <c r="T1" s="287"/>
    </row>
    <row r="2" spans="1:22" ht="16.2" thickBot="1" x14ac:dyDescent="0.35"/>
    <row r="3" spans="1:22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37">
        <v>2016</v>
      </c>
      <c r="K3" s="241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37">
        <v>2023</v>
      </c>
      <c r="R3" s="37">
        <v>2024</v>
      </c>
      <c r="S3" s="37">
        <v>2025</v>
      </c>
      <c r="T3" s="240" t="s">
        <v>2914</v>
      </c>
      <c r="U3" s="156"/>
      <c r="V3" s="156"/>
    </row>
    <row r="4" spans="1:22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275"/>
      <c r="P4" s="275"/>
      <c r="Q4" s="275"/>
      <c r="R4" s="263"/>
      <c r="S4" s="110"/>
      <c r="T4" s="209"/>
      <c r="U4" s="156"/>
      <c r="V4" s="156"/>
    </row>
    <row r="5" spans="1:22" ht="16.2" thickBot="1" x14ac:dyDescent="0.35">
      <c r="A5" s="32" t="s">
        <v>19</v>
      </c>
      <c r="B5" s="10"/>
      <c r="C5" s="7"/>
      <c r="D5" s="7"/>
      <c r="I5" s="4"/>
      <c r="J5" s="4"/>
      <c r="K5" s="262"/>
      <c r="L5" s="262"/>
      <c r="M5" s="262"/>
      <c r="N5" s="262"/>
      <c r="O5" s="256"/>
      <c r="P5" s="256"/>
      <c r="Q5" s="256"/>
      <c r="R5" s="264"/>
      <c r="S5" s="237"/>
      <c r="T5" s="8"/>
      <c r="U5" s="155"/>
    </row>
    <row r="6" spans="1:22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38">
        <v>183801</v>
      </c>
      <c r="L6" s="38">
        <v>157419</v>
      </c>
      <c r="M6" s="38">
        <v>174547</v>
      </c>
      <c r="N6" s="38">
        <v>201753</v>
      </c>
      <c r="O6" s="38">
        <v>201232</v>
      </c>
      <c r="P6" s="38">
        <v>225734</v>
      </c>
      <c r="Q6" s="38">
        <v>252983</v>
      </c>
      <c r="R6" s="38">
        <v>209138</v>
      </c>
      <c r="S6" s="9">
        <v>212300</v>
      </c>
      <c r="T6" s="190">
        <v>210000</v>
      </c>
      <c r="U6" s="217"/>
    </row>
    <row r="7" spans="1:22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38">
        <v>131700</v>
      </c>
      <c r="L7" s="38">
        <v>136075</v>
      </c>
      <c r="M7" s="38">
        <v>171450</v>
      </c>
      <c r="N7" s="38">
        <v>179900</v>
      </c>
      <c r="O7" s="38">
        <v>165825</v>
      </c>
      <c r="P7" s="38">
        <v>187000</v>
      </c>
      <c r="Q7" s="38">
        <v>181250</v>
      </c>
      <c r="R7" s="38">
        <v>211575</v>
      </c>
      <c r="S7" s="9">
        <v>343975</v>
      </c>
      <c r="T7" s="190">
        <v>350000</v>
      </c>
      <c r="U7" s="236"/>
    </row>
    <row r="8" spans="1:22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38">
        <v>96525</v>
      </c>
      <c r="L8" s="38">
        <v>71440</v>
      </c>
      <c r="M8" s="38">
        <v>94105</v>
      </c>
      <c r="N8" s="38">
        <v>36227</v>
      </c>
      <c r="O8" s="38">
        <v>38377</v>
      </c>
      <c r="P8" s="38">
        <v>83434</v>
      </c>
      <c r="Q8" s="38">
        <v>177917</v>
      </c>
      <c r="R8" s="38">
        <v>112047</v>
      </c>
      <c r="S8" s="9">
        <v>130306</v>
      </c>
      <c r="T8" s="190">
        <v>130000</v>
      </c>
      <c r="U8" s="155"/>
    </row>
    <row r="9" spans="1:22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38">
        <v>13700</v>
      </c>
      <c r="L9" s="38">
        <v>18200</v>
      </c>
      <c r="M9" s="38">
        <v>12988</v>
      </c>
      <c r="N9" s="38">
        <v>20320</v>
      </c>
      <c r="O9" s="38">
        <v>16440</v>
      </c>
      <c r="P9" s="38">
        <v>33422</v>
      </c>
      <c r="Q9" s="38">
        <v>14330</v>
      </c>
      <c r="R9" s="38">
        <v>27500</v>
      </c>
      <c r="S9" s="9">
        <v>106174</v>
      </c>
      <c r="T9" s="190">
        <v>140000</v>
      </c>
      <c r="U9" s="236"/>
    </row>
    <row r="10" spans="1:22" ht="24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38">
        <v>104297</v>
      </c>
      <c r="L10" s="38">
        <v>93420</v>
      </c>
      <c r="M10" s="38">
        <v>63900</v>
      </c>
      <c r="N10" s="38">
        <v>40260</v>
      </c>
      <c r="O10" s="38">
        <v>93603</v>
      </c>
      <c r="P10" s="38">
        <v>109900</v>
      </c>
      <c r="Q10" s="38">
        <v>137850</v>
      </c>
      <c r="R10" s="38">
        <v>125900</v>
      </c>
      <c r="S10" s="9">
        <v>198897</v>
      </c>
      <c r="T10" s="190">
        <v>75000</v>
      </c>
      <c r="U10" s="217"/>
    </row>
    <row r="11" spans="1:22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38">
        <v>85200</v>
      </c>
      <c r="L11" s="38">
        <v>69517</v>
      </c>
      <c r="M11" s="38">
        <v>89680</v>
      </c>
      <c r="N11" s="38">
        <v>95633</v>
      </c>
      <c r="O11" s="38">
        <v>124778</v>
      </c>
      <c r="P11" s="38">
        <v>145695</v>
      </c>
      <c r="Q11" s="38">
        <v>163300</v>
      </c>
      <c r="R11" s="38">
        <v>203280</v>
      </c>
      <c r="S11" s="9">
        <v>218230</v>
      </c>
      <c r="T11" s="190">
        <v>220000</v>
      </c>
      <c r="U11" s="155"/>
    </row>
    <row r="12" spans="1:22" x14ac:dyDescent="0.3">
      <c r="A12" s="4" t="s">
        <v>2813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>
        <v>0</v>
      </c>
      <c r="S12" s="9">
        <v>130789</v>
      </c>
      <c r="T12" s="190">
        <v>130000</v>
      </c>
      <c r="U12" s="157"/>
    </row>
    <row r="13" spans="1:22" hidden="1" x14ac:dyDescent="0.3">
      <c r="A13" s="4" t="s">
        <v>2143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0</v>
      </c>
      <c r="G13" s="38">
        <v>0</v>
      </c>
      <c r="H13" s="38">
        <v>0</v>
      </c>
      <c r="I13" s="38">
        <v>0</v>
      </c>
      <c r="J13" s="38">
        <f>5750-1743-1743-1453-3486-4358-15750+10000+7640+840+1463+5660</f>
        <v>2820</v>
      </c>
      <c r="K13" s="38">
        <v>5455</v>
      </c>
      <c r="L13" s="38">
        <v>0</v>
      </c>
      <c r="M13" s="38">
        <v>0</v>
      </c>
      <c r="N13" s="38">
        <v>0</v>
      </c>
      <c r="O13" s="38"/>
      <c r="P13" s="38"/>
      <c r="Q13" s="38"/>
      <c r="R13" s="38"/>
      <c r="S13" s="9"/>
      <c r="T13" s="190">
        <v>0</v>
      </c>
      <c r="U13" s="155"/>
    </row>
    <row r="14" spans="1:22" x14ac:dyDescent="0.3">
      <c r="A14" s="4" t="s">
        <v>27</v>
      </c>
      <c r="B14" s="38">
        <v>2474</v>
      </c>
      <c r="C14" s="38">
        <v>239</v>
      </c>
      <c r="D14" s="38">
        <v>450</v>
      </c>
      <c r="E14" s="38">
        <v>2470.9899999999998</v>
      </c>
      <c r="F14" s="38">
        <v>1824.88</v>
      </c>
      <c r="G14" s="38">
        <v>514</v>
      </c>
      <c r="H14" s="38">
        <v>101</v>
      </c>
      <c r="I14" s="38">
        <v>13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/>
      <c r="P14" s="38"/>
      <c r="Q14" s="38"/>
      <c r="R14" s="38">
        <v>6206</v>
      </c>
      <c r="S14" s="9">
        <v>4209</v>
      </c>
      <c r="T14" s="190">
        <v>2000</v>
      </c>
      <c r="U14" s="155"/>
    </row>
    <row r="15" spans="1:22" x14ac:dyDescent="0.3">
      <c r="A15" s="4" t="s">
        <v>490</v>
      </c>
      <c r="B15" s="38">
        <f>3455+2000</f>
        <v>5455</v>
      </c>
      <c r="C15" s="38">
        <f>400+10000+12000</f>
        <v>22400</v>
      </c>
      <c r="D15" s="38">
        <v>4112</v>
      </c>
      <c r="E15" s="38">
        <f>4135+5600</f>
        <v>9735</v>
      </c>
      <c r="F15" s="38">
        <f>1987+4050</f>
        <v>6037</v>
      </c>
      <c r="G15" s="38">
        <v>1630</v>
      </c>
      <c r="H15" s="38">
        <v>16554</v>
      </c>
      <c r="I15" s="38">
        <f>28269-19125+4390+6756</f>
        <v>20290</v>
      </c>
      <c r="J15" s="38">
        <f>2914+5838+4950+240+1000+6365+1880+2390</f>
        <v>25577</v>
      </c>
      <c r="K15" s="38">
        <v>29446</v>
      </c>
      <c r="L15" s="38">
        <v>56040</v>
      </c>
      <c r="M15" s="38">
        <v>21304</v>
      </c>
      <c r="N15" s="38">
        <v>93807</v>
      </c>
      <c r="O15" s="38">
        <v>61627</v>
      </c>
      <c r="P15" s="38">
        <v>46439</v>
      </c>
      <c r="Q15" s="38">
        <v>11035</v>
      </c>
      <c r="R15" s="38">
        <v>17071</v>
      </c>
      <c r="S15" s="9">
        <v>21649</v>
      </c>
      <c r="T15" s="190">
        <v>15000</v>
      </c>
      <c r="U15" s="217"/>
    </row>
    <row r="16" spans="1:22" x14ac:dyDescent="0.3">
      <c r="A16" s="7" t="s">
        <v>2554</v>
      </c>
      <c r="B16" s="39">
        <f t="shared" ref="B16:T16" si="0">SUM(B6:B15)</f>
        <v>194203</v>
      </c>
      <c r="C16" s="39">
        <f t="shared" si="0"/>
        <v>345725</v>
      </c>
      <c r="D16" s="39">
        <f t="shared" si="0"/>
        <v>220557</v>
      </c>
      <c r="E16" s="39">
        <f t="shared" si="0"/>
        <v>242079.27999999997</v>
      </c>
      <c r="F16" s="39">
        <f t="shared" si="0"/>
        <v>299613.28000000003</v>
      </c>
      <c r="G16" s="39">
        <f t="shared" si="0"/>
        <v>289920</v>
      </c>
      <c r="H16" s="39">
        <f t="shared" si="0"/>
        <v>480751</v>
      </c>
      <c r="I16" s="39">
        <f>SUM(I6:I15)</f>
        <v>628336</v>
      </c>
      <c r="J16" s="39">
        <f t="shared" si="0"/>
        <v>621290</v>
      </c>
      <c r="K16" s="39">
        <f t="shared" si="0"/>
        <v>650124</v>
      </c>
      <c r="L16" s="39">
        <f>SUM(L6:L15)</f>
        <v>602111</v>
      </c>
      <c r="M16" s="39">
        <v>627974</v>
      </c>
      <c r="N16" s="39">
        <f>SUM(N6:N15)</f>
        <v>667900</v>
      </c>
      <c r="O16" s="39">
        <f>SUM(O6:O15)</f>
        <v>701882</v>
      </c>
      <c r="P16" s="39">
        <f>SUM(P6:P15)</f>
        <v>831624</v>
      </c>
      <c r="Q16" s="39">
        <f t="shared" ref="Q16:R16" si="1">SUM(Q6:Q15)</f>
        <v>938665</v>
      </c>
      <c r="R16" s="39">
        <f t="shared" si="1"/>
        <v>912717</v>
      </c>
      <c r="S16" s="11">
        <f>SUM(S6:S15)</f>
        <v>1366529</v>
      </c>
      <c r="T16" s="191">
        <f t="shared" si="0"/>
        <v>1272000</v>
      </c>
      <c r="U16" s="155"/>
    </row>
    <row r="17" spans="1:23" ht="16.2" thickBot="1" x14ac:dyDescent="0.35">
      <c r="B17" s="38"/>
      <c r="C17" s="40"/>
      <c r="D17" s="40"/>
      <c r="E17" s="38"/>
      <c r="F17" s="40"/>
      <c r="G17" s="40"/>
      <c r="H17" s="40"/>
      <c r="I17" s="40"/>
      <c r="J17" s="40"/>
      <c r="K17" s="40"/>
      <c r="S17" s="111"/>
      <c r="T17" s="190"/>
      <c r="U17" s="155"/>
    </row>
    <row r="18" spans="1:23" s="13" customFormat="1" ht="16.2" thickBot="1" x14ac:dyDescent="0.35">
      <c r="A18" s="32" t="s">
        <v>30</v>
      </c>
      <c r="B18" s="38"/>
      <c r="C18" s="41"/>
      <c r="D18" s="41"/>
      <c r="E18" s="38"/>
      <c r="F18" s="41"/>
      <c r="G18" s="41"/>
      <c r="H18" s="41"/>
      <c r="I18" s="41"/>
      <c r="J18" s="41"/>
      <c r="K18" s="41"/>
      <c r="S18" s="112"/>
      <c r="T18" s="190"/>
      <c r="U18" s="159"/>
      <c r="V18" s="159"/>
    </row>
    <row r="19" spans="1:23" x14ac:dyDescent="0.3">
      <c r="A19" s="4" t="s">
        <v>46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38">
        <v>-134562</v>
      </c>
      <c r="L19" s="38">
        <v>-150140</v>
      </c>
      <c r="M19" s="38">
        <v>-104717</v>
      </c>
      <c r="N19" s="38">
        <v>-122818</v>
      </c>
      <c r="O19" s="38">
        <v>-159842</v>
      </c>
      <c r="P19" s="38">
        <v>-181432</v>
      </c>
      <c r="Q19" s="38">
        <v>-220492</v>
      </c>
      <c r="R19" s="38">
        <v>-95687</v>
      </c>
      <c r="S19" s="9">
        <f>-230672-15302-25000-15540</f>
        <v>-286514</v>
      </c>
      <c r="T19" s="190">
        <v>-150000</v>
      </c>
      <c r="U19" s="155"/>
      <c r="V19" s="197"/>
      <c r="W19" s="55"/>
    </row>
    <row r="20" spans="1:23" x14ac:dyDescent="0.3">
      <c r="A20" s="4" t="s">
        <v>45</v>
      </c>
      <c r="B20" s="38">
        <f>-60296-7500</f>
        <v>-67796</v>
      </c>
      <c r="C20" s="38">
        <f>-18276-5135</f>
        <v>-23411</v>
      </c>
      <c r="D20" s="38">
        <v>-39936</v>
      </c>
      <c r="E20" s="38">
        <v>-107761</v>
      </c>
      <c r="F20" s="38">
        <v>-154875</v>
      </c>
      <c r="G20" s="38">
        <v>-138715</v>
      </c>
      <c r="H20" s="38">
        <v>-94805</v>
      </c>
      <c r="I20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20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20" s="38">
        <v>-201761</v>
      </c>
      <c r="L20" s="38">
        <v>-70226</v>
      </c>
      <c r="M20" s="38">
        <v>-120875</v>
      </c>
      <c r="N20" s="38">
        <v>-81372</v>
      </c>
      <c r="O20" s="38">
        <v>-100638</v>
      </c>
      <c r="P20" s="38">
        <v>-133504</v>
      </c>
      <c r="Q20" s="38">
        <v>-140769</v>
      </c>
      <c r="R20" s="38">
        <v>-121835</v>
      </c>
      <c r="S20" s="9">
        <f>-140633</f>
        <v>-140633</v>
      </c>
      <c r="T20" s="190">
        <v>-140000</v>
      </c>
      <c r="U20" s="157"/>
      <c r="V20" s="197"/>
    </row>
    <row r="21" spans="1:23" x14ac:dyDescent="0.3">
      <c r="A21" s="4" t="s">
        <v>508</v>
      </c>
      <c r="B21" s="38">
        <v>-11755</v>
      </c>
      <c r="C21" s="38">
        <v>-20024</v>
      </c>
      <c r="D21" s="38">
        <v>-13297</v>
      </c>
      <c r="E21" s="38">
        <v>-14853.42</v>
      </c>
      <c r="F21" s="38">
        <v>-18717</v>
      </c>
      <c r="G21" s="38">
        <v>-4027</v>
      </c>
      <c r="H21" s="38">
        <v>-20624</v>
      </c>
      <c r="I21" s="38">
        <f>-3208-5440+2557-5729-1907+1985-874-1767-2130-3432-789-9120-114-867-1407-1435-38-5807-8282</f>
        <v>-47804</v>
      </c>
      <c r="J21" s="38">
        <f>-3760-1277-3685+3685-2253-17843-2444-4021-349-5145-111-368-279-322</f>
        <v>-38172</v>
      </c>
      <c r="K21" s="38">
        <v>-17887</v>
      </c>
      <c r="L21" s="38">
        <v>-4522</v>
      </c>
      <c r="M21" s="38">
        <v>0</v>
      </c>
      <c r="N21" s="38">
        <v>-469</v>
      </c>
      <c r="O21" s="38">
        <v>-225</v>
      </c>
      <c r="P21" s="38">
        <v>-519</v>
      </c>
      <c r="Q21" s="38">
        <v>-58306</v>
      </c>
      <c r="R21" s="38">
        <v>-29423</v>
      </c>
      <c r="S21" s="9">
        <v>-31254</v>
      </c>
      <c r="T21" s="190">
        <v>-35000</v>
      </c>
      <c r="U21" s="157"/>
      <c r="V21" s="197"/>
    </row>
    <row r="22" spans="1:23" x14ac:dyDescent="0.3">
      <c r="A22" s="4" t="s">
        <v>1633</v>
      </c>
      <c r="B22" s="38">
        <v>-4800</v>
      </c>
      <c r="C22" s="38">
        <v>-3398</v>
      </c>
      <c r="D22" s="38">
        <v>0</v>
      </c>
      <c r="E22" s="38">
        <v>-7138</v>
      </c>
      <c r="F22" s="38">
        <v>-3450</v>
      </c>
      <c r="G22" s="38">
        <v>-8100</v>
      </c>
      <c r="H22" s="38">
        <v>-6790</v>
      </c>
      <c r="I22" s="38">
        <f>-2940-7000-2500-2800-185+23111-23111-31150-1700-495-1000</f>
        <v>-49770</v>
      </c>
      <c r="J22" s="38">
        <f>-2100-1969-5000-500-15500-1440-629-7355</f>
        <v>-34493</v>
      </c>
      <c r="K22" s="38">
        <v>-38345</v>
      </c>
      <c r="L22" s="38">
        <v>-52120</v>
      </c>
      <c r="M22" s="38">
        <v>-70704</v>
      </c>
      <c r="N22" s="38">
        <v>-10498</v>
      </c>
      <c r="O22" s="38">
        <v>-17059</v>
      </c>
      <c r="P22" s="38">
        <v>-29952</v>
      </c>
      <c r="Q22" s="38">
        <v>-42358</v>
      </c>
      <c r="R22" s="38">
        <v>-52555</v>
      </c>
      <c r="S22" s="9">
        <f>-88520</f>
        <v>-88520</v>
      </c>
      <c r="T22" s="190">
        <v>-90000</v>
      </c>
      <c r="U22" s="217"/>
      <c r="V22" s="197"/>
    </row>
    <row r="23" spans="1:23" x14ac:dyDescent="0.3">
      <c r="A23" s="4" t="s">
        <v>940</v>
      </c>
      <c r="B23" s="38">
        <v>0</v>
      </c>
      <c r="C23" s="38">
        <v>-1700</v>
      </c>
      <c r="D23" s="38">
        <v>0</v>
      </c>
      <c r="E23" s="38">
        <v>-3400</v>
      </c>
      <c r="F23" s="38">
        <v>-3900</v>
      </c>
      <c r="G23" s="38">
        <v>-4550</v>
      </c>
      <c r="H23" s="38">
        <v>-7520</v>
      </c>
      <c r="I23" s="38">
        <f>-4500-4000-682-4000-1110</f>
        <v>-14292</v>
      </c>
      <c r="J23" s="38">
        <f>-4000-5500-4000-407</f>
        <v>-13907</v>
      </c>
      <c r="K23" s="38">
        <v>-40515</v>
      </c>
      <c r="L23" s="38">
        <v>-23150</v>
      </c>
      <c r="M23" s="38">
        <v>-39500</v>
      </c>
      <c r="N23" s="38">
        <v>-35192</v>
      </c>
      <c r="O23" s="38">
        <v>-26250</v>
      </c>
      <c r="P23" s="38">
        <v>-92029</v>
      </c>
      <c r="Q23" s="38">
        <v>-99926</v>
      </c>
      <c r="R23" s="38">
        <v>-108845</v>
      </c>
      <c r="S23" s="9">
        <f>-97977</f>
        <v>-97977</v>
      </c>
      <c r="T23" s="190">
        <v>-150000</v>
      </c>
      <c r="U23" s="217"/>
      <c r="V23" s="197"/>
    </row>
    <row r="24" spans="1:23" x14ac:dyDescent="0.3">
      <c r="A24" s="4" t="s">
        <v>39</v>
      </c>
      <c r="B24" s="38">
        <v>-18016</v>
      </c>
      <c r="C24" s="38">
        <v>-18105</v>
      </c>
      <c r="D24" s="38">
        <v>-14387</v>
      </c>
      <c r="E24" s="38">
        <v>-7915</v>
      </c>
      <c r="F24" s="38">
        <v>-13828</v>
      </c>
      <c r="G24" s="38">
        <v>-24118</v>
      </c>
      <c r="H24" s="38">
        <v>-30770</v>
      </c>
      <c r="I24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4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4" s="38">
        <v>-76389</v>
      </c>
      <c r="L24" s="38">
        <v>-81515</v>
      </c>
      <c r="M24" s="38">
        <v>-88679</v>
      </c>
      <c r="N24" s="38">
        <v>-72732</v>
      </c>
      <c r="O24" s="38">
        <v>-58100</v>
      </c>
      <c r="P24" s="38">
        <v>-79144</v>
      </c>
      <c r="Q24" s="38">
        <v>-104788</v>
      </c>
      <c r="R24" s="38">
        <v>-88174</v>
      </c>
      <c r="S24" s="9">
        <f>-100989</f>
        <v>-100989</v>
      </c>
      <c r="T24" s="190">
        <v>-100000</v>
      </c>
      <c r="U24" s="157"/>
      <c r="V24" s="197"/>
    </row>
    <row r="25" spans="1:23" x14ac:dyDescent="0.3">
      <c r="A25" s="4" t="s">
        <v>40</v>
      </c>
      <c r="B25" s="38">
        <v>0</v>
      </c>
      <c r="C25" s="38">
        <v>-850</v>
      </c>
      <c r="D25" s="38">
        <v>-625</v>
      </c>
      <c r="E25" s="38">
        <v>-8200</v>
      </c>
      <c r="F25" s="38">
        <v>0</v>
      </c>
      <c r="G25" s="38">
        <v>0</v>
      </c>
      <c r="H25" s="38">
        <v>-2100</v>
      </c>
      <c r="I25" s="38">
        <f>-3950</f>
        <v>-3950</v>
      </c>
      <c r="J25" s="38">
        <f>-2750</f>
        <v>-2750</v>
      </c>
      <c r="K25" s="38">
        <v>-2500</v>
      </c>
      <c r="L25" s="38">
        <v>-3050</v>
      </c>
      <c r="M25" s="38">
        <v>-3860</v>
      </c>
      <c r="N25" s="38">
        <v>-7420</v>
      </c>
      <c r="O25" s="38">
        <v>-4750</v>
      </c>
      <c r="P25" s="38">
        <v>-1231</v>
      </c>
      <c r="Q25" s="38">
        <v>-13700</v>
      </c>
      <c r="R25" s="38">
        <v>-14628</v>
      </c>
      <c r="S25" s="9">
        <v>-18771</v>
      </c>
      <c r="T25" s="190">
        <v>-20000</v>
      </c>
      <c r="U25" s="155"/>
      <c r="V25" s="197"/>
    </row>
    <row r="26" spans="1:23" x14ac:dyDescent="0.3">
      <c r="A26" s="4" t="s">
        <v>36</v>
      </c>
      <c r="B26" s="38">
        <v>-5000</v>
      </c>
      <c r="C26" s="38">
        <v>-350</v>
      </c>
      <c r="D26" s="38">
        <v>0</v>
      </c>
      <c r="E26" s="38">
        <v>-3550</v>
      </c>
      <c r="F26" s="38">
        <v>-10190</v>
      </c>
      <c r="G26" s="38">
        <v>-27295</v>
      </c>
      <c r="H26" s="38">
        <v>-13550</v>
      </c>
      <c r="I26" s="38">
        <f>-1400-1400-2700-3000-1500-1200-1400-1000-1200-1300-1500-800-1200-1400-1400-1190</f>
        <v>-23590</v>
      </c>
      <c r="J26" s="38">
        <f>-800-1200-1100-3350-1400-1000-2000-1000-1400-300-1200-1400-1800-1500-1500-1600-1400-1400</f>
        <v>-25350</v>
      </c>
      <c r="K26" s="38">
        <v>-23700</v>
      </c>
      <c r="L26" s="38">
        <v>-23490</v>
      </c>
      <c r="M26" s="38">
        <v>-20500</v>
      </c>
      <c r="N26" s="38">
        <v>-6700</v>
      </c>
      <c r="O26" s="38">
        <v>-4050</v>
      </c>
      <c r="P26" s="38">
        <v>-22800</v>
      </c>
      <c r="Q26" s="38">
        <v>-34900</v>
      </c>
      <c r="R26" s="38">
        <v>-31665</v>
      </c>
      <c r="S26" s="9">
        <v>-43100</v>
      </c>
      <c r="T26" s="190">
        <v>-45000</v>
      </c>
      <c r="U26" s="157"/>
      <c r="V26" s="197"/>
    </row>
    <row r="27" spans="1:23" x14ac:dyDescent="0.3">
      <c r="A27" s="4" t="s">
        <v>154</v>
      </c>
      <c r="B27" s="38">
        <v>-19050</v>
      </c>
      <c r="C27" s="38">
        <f>-13250-1750</f>
        <v>-15000</v>
      </c>
      <c r="D27" s="38">
        <v>-19650</v>
      </c>
      <c r="E27" s="38">
        <v>-15750</v>
      </c>
      <c r="F27" s="38">
        <v>-21750</v>
      </c>
      <c r="G27" s="38">
        <v>-30300</v>
      </c>
      <c r="H27" s="38">
        <v>-23520</v>
      </c>
      <c r="I27" s="38">
        <f>950+4008-3900-500-15200+1000-500-1000-2000+1000-250-7000-600-7500</f>
        <v>-31492</v>
      </c>
      <c r="J27" s="38">
        <f>-1000-3000-6600-9700-4500-1900-1200-2000-2400-2000-400-500-2000</f>
        <v>-37200</v>
      </c>
      <c r="K27" s="38">
        <v>-30550</v>
      </c>
      <c r="L27" s="38">
        <v>-32750</v>
      </c>
      <c r="M27" s="38">
        <v>-41400</v>
      </c>
      <c r="N27" s="38">
        <v>-35920</v>
      </c>
      <c r="O27" s="38">
        <v>-14840</v>
      </c>
      <c r="P27" s="38">
        <v>-30440</v>
      </c>
      <c r="Q27" s="38">
        <v>-32200</v>
      </c>
      <c r="R27" s="38">
        <v>-24300</v>
      </c>
      <c r="S27" s="9">
        <v>-32650</v>
      </c>
      <c r="T27" s="190">
        <v>-35000</v>
      </c>
      <c r="U27" s="157"/>
      <c r="V27" s="197"/>
    </row>
    <row r="28" spans="1:23" x14ac:dyDescent="0.3">
      <c r="A28" s="4" t="s">
        <v>43</v>
      </c>
      <c r="B28" s="38">
        <v>-14470</v>
      </c>
      <c r="C28" s="38">
        <v>-10300</v>
      </c>
      <c r="D28" s="38">
        <v>-4860</v>
      </c>
      <c r="E28" s="38">
        <v>0</v>
      </c>
      <c r="F28" s="38">
        <v>-18405</v>
      </c>
      <c r="G28" s="38">
        <v>-10950</v>
      </c>
      <c r="H28" s="38">
        <v>-9515</v>
      </c>
      <c r="I28" s="38">
        <f>-300-8900+850-1250-3500</f>
        <v>-13100</v>
      </c>
      <c r="J28" s="38">
        <f>-4700-2390-8400</f>
        <v>-15490</v>
      </c>
      <c r="K28" s="38">
        <v>-14710</v>
      </c>
      <c r="L28" s="38">
        <v>-18980</v>
      </c>
      <c r="M28" s="38">
        <v>-15500</v>
      </c>
      <c r="N28" s="38">
        <v>-14350</v>
      </c>
      <c r="O28" s="38">
        <v>-15370</v>
      </c>
      <c r="P28" s="38">
        <v>-5340</v>
      </c>
      <c r="Q28" s="38">
        <v>-4080</v>
      </c>
      <c r="R28" s="38">
        <v>-23540</v>
      </c>
      <c r="S28" s="9">
        <v>-18610</v>
      </c>
      <c r="T28" s="190">
        <v>-10000</v>
      </c>
      <c r="U28" s="155"/>
      <c r="V28" s="197"/>
    </row>
    <row r="29" spans="1:23" x14ac:dyDescent="0.3">
      <c r="A29" s="4" t="s">
        <v>44</v>
      </c>
      <c r="B29" s="38">
        <v>-25000</v>
      </c>
      <c r="C29" s="38">
        <v>-15000</v>
      </c>
      <c r="D29" s="38">
        <v>-17500</v>
      </c>
      <c r="E29" s="38">
        <v>-30416</v>
      </c>
      <c r="F29" s="38">
        <v>-16000</v>
      </c>
      <c r="G29" s="38">
        <v>-34000</v>
      </c>
      <c r="H29" s="38">
        <v>-27000</v>
      </c>
      <c r="I29" s="38">
        <f>-12500-1000-2000-5000-3000</f>
        <v>-23500</v>
      </c>
      <c r="J29" s="38">
        <f>-1500-10000-500-4000</f>
        <v>-16000</v>
      </c>
      <c r="K29" s="38">
        <v>-39400</v>
      </c>
      <c r="L29" s="38">
        <v>-28600</v>
      </c>
      <c r="M29" s="38">
        <v>-18000</v>
      </c>
      <c r="N29" s="38">
        <v>-25600</v>
      </c>
      <c r="O29" s="38">
        <v>-53500</v>
      </c>
      <c r="P29" s="38">
        <v>-55750</v>
      </c>
      <c r="Q29" s="38">
        <v>-66350</v>
      </c>
      <c r="R29" s="38">
        <v>-80025</v>
      </c>
      <c r="S29" s="9">
        <f>-74825</f>
        <v>-74825</v>
      </c>
      <c r="T29" s="190">
        <v>-95000</v>
      </c>
      <c r="U29" s="217"/>
      <c r="V29" s="197"/>
    </row>
    <row r="30" spans="1:23" x14ac:dyDescent="0.3">
      <c r="A30" s="4" t="s">
        <v>56</v>
      </c>
      <c r="B30" s="38">
        <v>-4459</v>
      </c>
      <c r="C30" s="38">
        <v>-12173</v>
      </c>
      <c r="D30" s="38">
        <v>0</v>
      </c>
      <c r="E30" s="38">
        <v>-180</v>
      </c>
      <c r="F30" s="38">
        <v>-1887</v>
      </c>
      <c r="G30" s="38">
        <v>0</v>
      </c>
      <c r="H30" s="38">
        <v>0</v>
      </c>
      <c r="I30" s="38">
        <v>0</v>
      </c>
      <c r="J30" s="38">
        <f>-500-2500-500-1000</f>
        <v>-4500</v>
      </c>
      <c r="K30" s="38">
        <v>-10000</v>
      </c>
      <c r="L30" s="38">
        <v>-14500</v>
      </c>
      <c r="M30" s="38">
        <v>-12500</v>
      </c>
      <c r="N30" s="38">
        <v>-14000</v>
      </c>
      <c r="O30" s="38">
        <v>-9500</v>
      </c>
      <c r="P30" s="38">
        <v>-23000</v>
      </c>
      <c r="Q30" s="38">
        <v>-19850</v>
      </c>
      <c r="R30" s="38">
        <v>-27630</v>
      </c>
      <c r="S30" s="9">
        <v>-36000</v>
      </c>
      <c r="T30" s="190">
        <v>-45000</v>
      </c>
      <c r="U30" s="217"/>
    </row>
    <row r="31" spans="1:23" x14ac:dyDescent="0.3">
      <c r="A31" s="4" t="s">
        <v>32</v>
      </c>
      <c r="B31" s="38">
        <f>-2650-3100-1600</f>
        <v>-7350</v>
      </c>
      <c r="C31" s="38">
        <f>-250-2500-1842</f>
        <v>-4592</v>
      </c>
      <c r="D31" s="38">
        <f>-250-4500-1899</f>
        <v>-6649</v>
      </c>
      <c r="E31" s="38">
        <v>-6338</v>
      </c>
      <c r="F31" s="38">
        <v>-6643</v>
      </c>
      <c r="G31" s="38">
        <v>-3530</v>
      </c>
      <c r="H31" s="38">
        <v>-1024</v>
      </c>
      <c r="I31" s="38">
        <f>-774-250</f>
        <v>-1024</v>
      </c>
      <c r="J31" s="38">
        <f>-771-500</f>
        <v>-1271</v>
      </c>
      <c r="K31" s="38">
        <v>-3000</v>
      </c>
      <c r="L31" s="38">
        <v>-500</v>
      </c>
      <c r="M31" s="38">
        <v>-500</v>
      </c>
      <c r="N31" s="38">
        <v>-500</v>
      </c>
      <c r="O31" s="38">
        <v>-500</v>
      </c>
      <c r="P31" s="38">
        <v>-500</v>
      </c>
      <c r="Q31" s="38">
        <v>-500</v>
      </c>
      <c r="R31" s="38">
        <v>-500</v>
      </c>
      <c r="S31" s="9">
        <v>-500</v>
      </c>
      <c r="T31" s="190">
        <v>-500</v>
      </c>
      <c r="U31" s="157"/>
    </row>
    <row r="32" spans="1:23" x14ac:dyDescent="0.3">
      <c r="A32" s="4" t="s">
        <v>491</v>
      </c>
      <c r="B32" s="38">
        <v>0</v>
      </c>
      <c r="C32" s="38">
        <f>-75994-6425</f>
        <v>-82419</v>
      </c>
      <c r="D32" s="38">
        <f>-29362-12800</f>
        <v>-42162</v>
      </c>
      <c r="E32" s="38">
        <v>0</v>
      </c>
      <c r="F32" s="38">
        <v>0</v>
      </c>
      <c r="G32" s="38">
        <v>-102305</v>
      </c>
      <c r="H32" s="38">
        <v>-94393</v>
      </c>
      <c r="I32" s="38">
        <f>-1824-(23*800)-34400-1130-45448</f>
        <v>-101202</v>
      </c>
      <c r="J32" s="38">
        <f>-268-800-800-800-800-800-800-800-800-800-800-800-800-800-800-800-800-800-264-800-800-28998-800-800-800-36777</f>
        <v>-83907</v>
      </c>
      <c r="K32" s="38">
        <v>-90569</v>
      </c>
      <c r="L32" s="38">
        <v>-87302</v>
      </c>
      <c r="M32" s="38">
        <v>-94382</v>
      </c>
      <c r="N32" s="38">
        <v>-111217</v>
      </c>
      <c r="O32" s="38">
        <v>-128246</v>
      </c>
      <c r="P32" s="38">
        <v>-166907</v>
      </c>
      <c r="Q32" s="38">
        <v>-161843</v>
      </c>
      <c r="R32" s="38">
        <v>-202575</v>
      </c>
      <c r="S32" s="9">
        <f>-256550</f>
        <v>-256550</v>
      </c>
      <c r="T32" s="190">
        <v>-220000</v>
      </c>
      <c r="U32" s="155"/>
      <c r="V32" s="197"/>
    </row>
    <row r="33" spans="1:22" x14ac:dyDescent="0.3">
      <c r="A33" s="4" t="s">
        <v>2814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>
        <v>0</v>
      </c>
      <c r="S33" s="9">
        <v>-114703</v>
      </c>
      <c r="T33" s="190">
        <v>-120000</v>
      </c>
      <c r="U33" s="155"/>
      <c r="V33" s="197"/>
    </row>
    <row r="34" spans="1:22" hidden="1" x14ac:dyDescent="0.3">
      <c r="A34" s="4" t="s">
        <v>33</v>
      </c>
      <c r="B34" s="38">
        <v>0</v>
      </c>
      <c r="C34" s="38">
        <v>0</v>
      </c>
      <c r="D34" s="38">
        <v>0</v>
      </c>
      <c r="E34" s="38">
        <v>-741</v>
      </c>
      <c r="F34" s="38">
        <v>-547</v>
      </c>
      <c r="G34" s="38">
        <v>-154</v>
      </c>
      <c r="H34" s="38">
        <v>-510</v>
      </c>
      <c r="I34" s="38">
        <v>0</v>
      </c>
      <c r="J34" s="38">
        <f>-160</f>
        <v>-160</v>
      </c>
      <c r="K34" s="38">
        <v>0</v>
      </c>
      <c r="L34" s="38">
        <v>0</v>
      </c>
      <c r="M34" s="38">
        <v>0</v>
      </c>
      <c r="N34" s="38">
        <v>0</v>
      </c>
      <c r="O34" s="38"/>
      <c r="P34" s="38"/>
      <c r="Q34" s="38"/>
      <c r="R34" s="38"/>
      <c r="S34" s="9"/>
      <c r="T34" s="190">
        <v>0</v>
      </c>
      <c r="U34" s="155"/>
      <c r="V34" s="197"/>
    </row>
    <row r="35" spans="1:22" x14ac:dyDescent="0.3">
      <c r="A35" s="4" t="s">
        <v>493</v>
      </c>
      <c r="B35" s="38">
        <f>-635-7900</f>
        <v>-8535</v>
      </c>
      <c r="C35" s="38">
        <f>-1500-935-3800-2859-81</f>
        <v>-9175</v>
      </c>
      <c r="D35" s="38">
        <f>-755-1100</f>
        <v>-1855</v>
      </c>
      <c r="E35" s="38">
        <f>-2424-5850</f>
        <v>-8274</v>
      </c>
      <c r="F35" s="38">
        <v>-4637.7700000000004</v>
      </c>
      <c r="G35" s="38">
        <f>-2261-14329</f>
        <v>-16590</v>
      </c>
      <c r="H35" s="38">
        <v>-8129</v>
      </c>
      <c r="I35" s="38">
        <f>-469-740+140+140-4815-234</f>
        <v>-5978</v>
      </c>
      <c r="J35" s="38">
        <f>140-1170-608-2080-341</f>
        <v>-4059</v>
      </c>
      <c r="K35" s="38">
        <v>-11110</v>
      </c>
      <c r="L35" s="38">
        <f>-1688+-1553</f>
        <v>-3241</v>
      </c>
      <c r="M35" s="38">
        <v>-7179</v>
      </c>
      <c r="N35" s="38">
        <f>-2226-250-4352</f>
        <v>-6828</v>
      </c>
      <c r="O35" s="38">
        <f>-2835-250-1000</f>
        <v>-4085</v>
      </c>
      <c r="P35" s="38">
        <v>-5059</v>
      </c>
      <c r="Q35" s="38">
        <f>-750-1134-300-1094-78-365-350-711-1000-295-148</f>
        <v>-6225</v>
      </c>
      <c r="R35" s="38">
        <f>-750-65-1368-1000-308-1600-90-74-1368-187-130-75-500-800-100-132-500</f>
        <v>-9047</v>
      </c>
      <c r="S35" s="9">
        <f>-10496-445</f>
        <v>-10941</v>
      </c>
      <c r="T35" s="190">
        <v>-10000</v>
      </c>
      <c r="U35" s="155"/>
      <c r="V35" s="197"/>
    </row>
    <row r="36" spans="1:22" x14ac:dyDescent="0.3">
      <c r="A36" s="7" t="s">
        <v>2555</v>
      </c>
      <c r="B36" s="39">
        <f>SUM(B19:B35)</f>
        <v>-218877</v>
      </c>
      <c r="C36" s="39">
        <f t="shared" ref="C36:H36" si="2">SUM(C19:C35)</f>
        <v>-258934</v>
      </c>
      <c r="D36" s="39">
        <f t="shared" si="2"/>
        <v>-187844</v>
      </c>
      <c r="E36" s="39">
        <f t="shared" si="2"/>
        <v>-247088.42</v>
      </c>
      <c r="F36" s="39">
        <f t="shared" si="2"/>
        <v>-325572.77</v>
      </c>
      <c r="G36" s="39">
        <f t="shared" si="2"/>
        <v>-457445</v>
      </c>
      <c r="H36" s="39">
        <f t="shared" si="2"/>
        <v>-467066</v>
      </c>
      <c r="I36" s="39">
        <f>SUM(I19:I35)</f>
        <v>-618159</v>
      </c>
      <c r="J36" s="39">
        <f>SUM(J19:J35)</f>
        <v>-584733</v>
      </c>
      <c r="K36" s="39">
        <f>SUM(K19:K35)</f>
        <v>-734998</v>
      </c>
      <c r="L36" s="39">
        <f t="shared" ref="L36" si="3">SUM(L19:L35)</f>
        <v>-594086</v>
      </c>
      <c r="M36" s="39">
        <v>-638296</v>
      </c>
      <c r="N36" s="39">
        <f t="shared" ref="N36:R36" si="4">SUM(N19:N35)</f>
        <v>-545616</v>
      </c>
      <c r="O36" s="39">
        <f t="shared" si="4"/>
        <v>-596955</v>
      </c>
      <c r="P36" s="39">
        <f t="shared" si="4"/>
        <v>-827607</v>
      </c>
      <c r="Q36" s="39">
        <f t="shared" si="4"/>
        <v>-1006287</v>
      </c>
      <c r="R36" s="39">
        <f t="shared" si="4"/>
        <v>-910429</v>
      </c>
      <c r="S36" s="11">
        <f t="shared" ref="S36" si="5">SUM(S19:S35)</f>
        <v>-1352537</v>
      </c>
      <c r="T36" s="191">
        <f>SUM(T19:T35)</f>
        <v>-1265500</v>
      </c>
      <c r="U36" s="205"/>
      <c r="V36" s="206"/>
    </row>
    <row r="37" spans="1:22" hidden="1" x14ac:dyDescent="0.3">
      <c r="A37" s="7"/>
      <c r="B37" s="41"/>
      <c r="C37" s="41"/>
      <c r="D37" s="41"/>
      <c r="E37" s="39"/>
      <c r="F37" s="39"/>
      <c r="G37" s="39"/>
      <c r="H37" s="39"/>
      <c r="I37" s="259"/>
      <c r="J37" s="259"/>
      <c r="K37" s="259"/>
      <c r="L37" s="259"/>
      <c r="M37" s="259"/>
      <c r="N37" s="259"/>
      <c r="O37" s="259"/>
      <c r="P37" s="259"/>
      <c r="Q37" s="259"/>
      <c r="R37" s="259"/>
      <c r="S37" s="113"/>
      <c r="T37" s="191"/>
      <c r="U37" s="158"/>
      <c r="V37" s="207"/>
    </row>
    <row r="38" spans="1:22" s="13" customFormat="1" hidden="1" x14ac:dyDescent="0.3">
      <c r="A38" s="7" t="s">
        <v>48</v>
      </c>
      <c r="B38" s="39">
        <f t="shared" ref="B38:K38" si="6">+B36+B16</f>
        <v>-24674</v>
      </c>
      <c r="C38" s="39">
        <f t="shared" si="6"/>
        <v>86791</v>
      </c>
      <c r="D38" s="39">
        <f t="shared" si="6"/>
        <v>32713</v>
      </c>
      <c r="E38" s="39">
        <f t="shared" si="6"/>
        <v>-5009.1400000000431</v>
      </c>
      <c r="F38" s="39">
        <f t="shared" si="6"/>
        <v>-25959.489999999991</v>
      </c>
      <c r="G38" s="39">
        <f t="shared" si="6"/>
        <v>-167525</v>
      </c>
      <c r="H38" s="39">
        <f t="shared" si="6"/>
        <v>13685</v>
      </c>
      <c r="I38" s="39">
        <f t="shared" si="6"/>
        <v>10177</v>
      </c>
      <c r="J38" s="39">
        <f t="shared" si="6"/>
        <v>36557</v>
      </c>
      <c r="K38" s="39">
        <f t="shared" si="6"/>
        <v>-84874</v>
      </c>
      <c r="L38" s="39">
        <f>+L36+L16</f>
        <v>8025</v>
      </c>
      <c r="M38" s="39">
        <v>-10322</v>
      </c>
      <c r="N38" s="39">
        <f>+N36+N16</f>
        <v>122284</v>
      </c>
      <c r="O38" s="39">
        <f t="shared" ref="O38:S38" si="7">+O36+O16</f>
        <v>104927</v>
      </c>
      <c r="P38" s="39">
        <f t="shared" si="7"/>
        <v>4017</v>
      </c>
      <c r="Q38" s="39">
        <f t="shared" si="7"/>
        <v>-67622</v>
      </c>
      <c r="R38" s="39">
        <f t="shared" si="7"/>
        <v>2288</v>
      </c>
      <c r="S38" s="11">
        <f t="shared" si="7"/>
        <v>13992</v>
      </c>
      <c r="T38" s="191">
        <f>T16+T36</f>
        <v>6500</v>
      </c>
      <c r="U38" s="158"/>
      <c r="V38" s="207"/>
    </row>
    <row r="39" spans="1:22" s="13" customFormat="1" hidden="1" x14ac:dyDescent="0.3">
      <c r="A39" s="7"/>
      <c r="B39" s="41"/>
      <c r="C39" s="41"/>
      <c r="D39" s="41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11"/>
      <c r="T39" s="191"/>
      <c r="U39" s="158"/>
      <c r="V39" s="207"/>
    </row>
    <row r="40" spans="1:22" s="13" customFormat="1" hidden="1" x14ac:dyDescent="0.3">
      <c r="A40" s="7" t="s">
        <v>1530</v>
      </c>
      <c r="B40" s="39">
        <v>-10000</v>
      </c>
      <c r="C40" s="39">
        <v>-10000</v>
      </c>
      <c r="D40" s="39">
        <v>-10000</v>
      </c>
      <c r="E40" s="39">
        <v>-10000</v>
      </c>
      <c r="F40" s="39">
        <v>-10000</v>
      </c>
      <c r="G40" s="39">
        <v>-14449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11">
        <v>0</v>
      </c>
      <c r="T40" s="191">
        <v>0</v>
      </c>
      <c r="U40" s="155"/>
      <c r="V40" s="206"/>
    </row>
    <row r="41" spans="1:22" s="13" customFormat="1" ht="16.2" thickBot="1" x14ac:dyDescent="0.35">
      <c r="A41" s="7"/>
      <c r="B41" s="41"/>
      <c r="C41" s="41"/>
      <c r="D41" s="41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280"/>
      <c r="Q41" s="280"/>
      <c r="R41" s="274"/>
      <c r="S41" s="14"/>
      <c r="T41" s="210"/>
      <c r="U41" s="205"/>
      <c r="V41" s="206"/>
    </row>
    <row r="42" spans="1:22" s="13" customFormat="1" ht="16.2" thickBot="1" x14ac:dyDescent="0.35">
      <c r="A42" s="7" t="s">
        <v>2556</v>
      </c>
      <c r="B42" s="39">
        <f t="shared" ref="B42:K42" si="8">+B40+B38</f>
        <v>-34674</v>
      </c>
      <c r="C42" s="39">
        <f t="shared" si="8"/>
        <v>76791</v>
      </c>
      <c r="D42" s="39">
        <f t="shared" si="8"/>
        <v>22713</v>
      </c>
      <c r="E42" s="39">
        <f t="shared" si="8"/>
        <v>-15009.140000000043</v>
      </c>
      <c r="F42" s="248">
        <f t="shared" si="8"/>
        <v>-35959.489999999991</v>
      </c>
      <c r="G42" s="248">
        <f t="shared" si="8"/>
        <v>-181974</v>
      </c>
      <c r="H42" s="248">
        <f t="shared" si="8"/>
        <v>13685</v>
      </c>
      <c r="I42" s="248">
        <f t="shared" si="8"/>
        <v>10177</v>
      </c>
      <c r="J42" s="248">
        <f t="shared" si="8"/>
        <v>36557</v>
      </c>
      <c r="K42" s="248">
        <f t="shared" si="8"/>
        <v>-84874</v>
      </c>
      <c r="L42" s="248">
        <f>+L40+L38</f>
        <v>8025</v>
      </c>
      <c r="M42" s="248">
        <v>-10322</v>
      </c>
      <c r="N42" s="248">
        <f>+N40+N38</f>
        <v>122284</v>
      </c>
      <c r="O42" s="248">
        <f t="shared" ref="O42:S42" si="9">+O40+O38</f>
        <v>104927</v>
      </c>
      <c r="P42" s="248">
        <f t="shared" si="9"/>
        <v>4017</v>
      </c>
      <c r="Q42" s="248">
        <f t="shared" si="9"/>
        <v>-67622</v>
      </c>
      <c r="R42" s="248">
        <f t="shared" si="9"/>
        <v>2288</v>
      </c>
      <c r="S42" s="154">
        <f t="shared" si="9"/>
        <v>13992</v>
      </c>
      <c r="T42" s="192">
        <f>+T40+T38</f>
        <v>6500</v>
      </c>
      <c r="U42" s="155"/>
      <c r="V42" s="208"/>
    </row>
    <row r="43" spans="1:22" s="13" customFormat="1" x14ac:dyDescent="0.3">
      <c r="A43" s="4"/>
      <c r="B43" s="4"/>
      <c r="C43" s="4"/>
      <c r="D43" s="4"/>
      <c r="E43" s="4"/>
      <c r="F43" s="4"/>
      <c r="G43" s="4"/>
      <c r="H43" s="4"/>
      <c r="T43" s="58"/>
      <c r="U43" s="196"/>
      <c r="V43" s="155"/>
    </row>
    <row r="44" spans="1:22" x14ac:dyDescent="0.3">
      <c r="Q44" s="99"/>
    </row>
    <row r="45" spans="1:22" x14ac:dyDescent="0.3">
      <c r="Q45" s="99"/>
    </row>
    <row r="46" spans="1:22" x14ac:dyDescent="0.3">
      <c r="Q46" s="99"/>
    </row>
    <row r="47" spans="1:22" x14ac:dyDescent="0.3">
      <c r="Q47" s="99"/>
    </row>
    <row r="48" spans="1:22" x14ac:dyDescent="0.3">
      <c r="Q48" s="99"/>
    </row>
    <row r="49" spans="17:23" s="4" customFormat="1" x14ac:dyDescent="0.3">
      <c r="Q49" s="269"/>
      <c r="R49" s="1"/>
      <c r="S49" s="1"/>
      <c r="U49" s="196"/>
      <c r="V49" s="155"/>
      <c r="W49" s="1"/>
    </row>
    <row r="50" spans="17:23" s="4" customFormat="1" x14ac:dyDescent="0.3">
      <c r="R50" s="1"/>
      <c r="S50" s="1"/>
      <c r="U50" s="196"/>
      <c r="V50" s="155"/>
      <c r="W50" s="1"/>
    </row>
    <row r="51" spans="17:23" s="4" customFormat="1" x14ac:dyDescent="0.3">
      <c r="R51" s="1"/>
      <c r="S51" s="1"/>
      <c r="U51" s="196"/>
      <c r="V51" s="155"/>
      <c r="W51" s="1"/>
    </row>
    <row r="52" spans="17:23" s="4" customFormat="1" x14ac:dyDescent="0.3">
      <c r="R52" s="1"/>
      <c r="S52" s="1"/>
      <c r="U52" s="196"/>
      <c r="V52" s="155"/>
      <c r="W52" s="1"/>
    </row>
  </sheetData>
  <pageMargins left="0.7" right="0.7" top="0.75" bottom="0.75" header="0.3" footer="0.3"/>
  <pageSetup paperSize="9" scale="7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35357-F7C4-4570-8EAB-B1FCDFAE7930}">
  <sheetPr>
    <tabColor theme="5" tint="-0.249977111117893"/>
    <pageSetUpPr fitToPage="1"/>
  </sheetPr>
  <dimension ref="A1:X58"/>
  <sheetViews>
    <sheetView zoomScale="110" zoomScaleNormal="110" workbookViewId="0">
      <pane xSplit="1" ySplit="3" topLeftCell="O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2" width="16.44140625" style="1" hidden="1" customWidth="1"/>
    <col min="13" max="13" width="18" style="1" hidden="1" customWidth="1"/>
    <col min="14" max="14" width="16.44140625" style="1" hidden="1" customWidth="1"/>
    <col min="15" max="18" width="16.44140625" style="1" customWidth="1"/>
    <col min="19" max="19" width="17.6640625" style="1" customWidth="1"/>
    <col min="20" max="21" width="18.5546875" style="1" customWidth="1"/>
    <col min="22" max="22" width="27" style="217" customWidth="1"/>
    <col min="23" max="23" width="15.88671875" style="155" customWidth="1"/>
    <col min="24" max="16384" width="9.109375" style="1"/>
  </cols>
  <sheetData>
    <row r="1" spans="1:23" ht="31.8" thickBot="1" x14ac:dyDescent="0.65">
      <c r="A1" s="211" t="s">
        <v>486</v>
      </c>
      <c r="C1" s="224"/>
      <c r="D1" s="224"/>
      <c r="I1" s="4"/>
      <c r="J1" s="4"/>
      <c r="K1" s="289"/>
      <c r="L1" s="289"/>
      <c r="M1" s="289"/>
      <c r="O1" s="290" t="s">
        <v>2786</v>
      </c>
      <c r="P1" s="290"/>
    </row>
    <row r="2" spans="1:23" ht="16.2" thickBot="1" x14ac:dyDescent="0.35"/>
    <row r="3" spans="1:23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37">
        <v>2023</v>
      </c>
      <c r="R3" s="37">
        <v>2024</v>
      </c>
      <c r="S3" s="227">
        <v>2025</v>
      </c>
      <c r="T3" s="253" t="s">
        <v>809</v>
      </c>
      <c r="U3" s="240" t="s">
        <v>2812</v>
      </c>
      <c r="V3" s="270"/>
      <c r="W3" s="156"/>
    </row>
    <row r="4" spans="1:23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42"/>
      <c r="R4" s="42"/>
      <c r="S4" s="110">
        <v>45743</v>
      </c>
      <c r="T4" s="110">
        <v>46022</v>
      </c>
      <c r="U4" s="209"/>
      <c r="V4" s="270"/>
      <c r="W4" s="156"/>
    </row>
    <row r="5" spans="1:23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56"/>
      <c r="R5" s="256"/>
      <c r="S5" s="237"/>
      <c r="T5" s="111"/>
      <c r="U5" s="8"/>
    </row>
    <row r="6" spans="1:23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10">
        <v>225734</v>
      </c>
      <c r="Q6" s="10">
        <v>252983</v>
      </c>
      <c r="R6" s="10">
        <v>209138</v>
      </c>
      <c r="S6" s="9">
        <v>53638</v>
      </c>
      <c r="T6" s="249">
        <v>210000</v>
      </c>
      <c r="U6" s="190">
        <v>210000</v>
      </c>
      <c r="V6" s="217" t="s">
        <v>2605</v>
      </c>
    </row>
    <row r="7" spans="1:23" ht="36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10">
        <v>187000</v>
      </c>
      <c r="Q7" s="10">
        <v>181250</v>
      </c>
      <c r="R7" s="10">
        <v>211575</v>
      </c>
      <c r="S7" s="9">
        <v>700</v>
      </c>
      <c r="T7" s="249">
        <v>210000</v>
      </c>
      <c r="U7" s="190">
        <v>210000</v>
      </c>
      <c r="V7" s="236" t="s">
        <v>2821</v>
      </c>
    </row>
    <row r="8" spans="1:23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10">
        <v>83434</v>
      </c>
      <c r="Q8" s="10">
        <v>177917</v>
      </c>
      <c r="R8" s="10">
        <v>112047</v>
      </c>
      <c r="S8" s="9">
        <v>1632</v>
      </c>
      <c r="T8" s="249">
        <v>115000</v>
      </c>
      <c r="U8" s="190">
        <v>115000</v>
      </c>
      <c r="V8" s="236"/>
    </row>
    <row r="9" spans="1:23" ht="21.6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10">
        <v>33422</v>
      </c>
      <c r="Q9" s="10">
        <v>14330</v>
      </c>
      <c r="R9" s="10">
        <v>27500</v>
      </c>
      <c r="S9" s="9">
        <v>75500</v>
      </c>
      <c r="T9" s="249">
        <v>112500</v>
      </c>
      <c r="U9" s="190">
        <v>105000</v>
      </c>
      <c r="V9" s="236" t="s">
        <v>2827</v>
      </c>
    </row>
    <row r="10" spans="1:23" ht="35.4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10">
        <v>109900</v>
      </c>
      <c r="Q10" s="10">
        <v>137850</v>
      </c>
      <c r="R10" s="10">
        <v>125900</v>
      </c>
      <c r="S10" s="9">
        <v>48000</v>
      </c>
      <c r="T10" s="249">
        <v>100000</v>
      </c>
      <c r="U10" s="190">
        <v>100000</v>
      </c>
      <c r="V10" s="236" t="s">
        <v>2822</v>
      </c>
    </row>
    <row r="11" spans="1:23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10">
        <v>145695</v>
      </c>
      <c r="Q11" s="10">
        <v>163300</v>
      </c>
      <c r="R11" s="10">
        <v>203280</v>
      </c>
      <c r="S11" s="9">
        <v>0</v>
      </c>
      <c r="T11" s="249">
        <v>200000</v>
      </c>
      <c r="U11" s="190">
        <v>200000</v>
      </c>
    </row>
    <row r="12" spans="1:23" x14ac:dyDescent="0.3">
      <c r="A12" s="4" t="s">
        <v>2823</v>
      </c>
      <c r="B12" s="38">
        <v>500</v>
      </c>
      <c r="C12" s="38">
        <v>85850</v>
      </c>
      <c r="D12" s="38">
        <v>62250</v>
      </c>
      <c r="E12" s="38">
        <v>66900</v>
      </c>
      <c r="F12" s="38">
        <v>91100</v>
      </c>
      <c r="G12" s="38">
        <v>83700</v>
      </c>
      <c r="H12" s="38">
        <v>94424</v>
      </c>
      <c r="I12" s="38">
        <f>99500</f>
        <v>99500</v>
      </c>
      <c r="J12" s="38">
        <f>81000</f>
        <v>81000</v>
      </c>
      <c r="K12" s="10">
        <v>85200</v>
      </c>
      <c r="L12" s="10">
        <v>69517</v>
      </c>
      <c r="M12" s="10">
        <v>89680</v>
      </c>
      <c r="N12" s="10">
        <v>95633</v>
      </c>
      <c r="O12" s="10"/>
      <c r="P12" s="10"/>
      <c r="Q12" s="10"/>
      <c r="R12" s="10"/>
      <c r="S12" s="9">
        <v>116564</v>
      </c>
      <c r="T12" s="249">
        <v>124000</v>
      </c>
      <c r="U12" s="190">
        <v>124000</v>
      </c>
    </row>
    <row r="13" spans="1:23" hidden="1" x14ac:dyDescent="0.3">
      <c r="A13" s="4" t="s">
        <v>2143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0</v>
      </c>
      <c r="G13" s="38">
        <v>0</v>
      </c>
      <c r="H13" s="38">
        <v>0</v>
      </c>
      <c r="I13" s="38">
        <v>0</v>
      </c>
      <c r="J13" s="38">
        <f>5750-1743-1743-1453-3486-4358-15750+10000+7640+840+1463+5660</f>
        <v>2820</v>
      </c>
      <c r="K13" s="10">
        <v>5455</v>
      </c>
      <c r="L13" s="10">
        <v>0</v>
      </c>
      <c r="M13" s="10">
        <v>0</v>
      </c>
      <c r="N13" s="10">
        <v>0</v>
      </c>
      <c r="O13" s="10"/>
      <c r="P13" s="10"/>
      <c r="Q13" s="10"/>
      <c r="R13" s="10"/>
      <c r="S13" s="9"/>
      <c r="T13" s="249">
        <v>0</v>
      </c>
      <c r="U13" s="190">
        <v>0</v>
      </c>
    </row>
    <row r="14" spans="1:23" x14ac:dyDescent="0.3">
      <c r="A14" s="4" t="s">
        <v>27</v>
      </c>
      <c r="B14" s="38">
        <v>2474</v>
      </c>
      <c r="C14" s="38">
        <v>239</v>
      </c>
      <c r="D14" s="38">
        <v>450</v>
      </c>
      <c r="E14" s="38">
        <v>2470.9899999999998</v>
      </c>
      <c r="F14" s="38">
        <v>1824.88</v>
      </c>
      <c r="G14" s="38">
        <v>514</v>
      </c>
      <c r="H14" s="38">
        <v>101</v>
      </c>
      <c r="I14" s="38">
        <v>13</v>
      </c>
      <c r="J14" s="38">
        <v>0</v>
      </c>
      <c r="K14" s="10">
        <v>0</v>
      </c>
      <c r="L14" s="10">
        <v>0</v>
      </c>
      <c r="M14" s="10">
        <v>0</v>
      </c>
      <c r="N14" s="10">
        <v>0</v>
      </c>
      <c r="O14" s="10"/>
      <c r="P14" s="10"/>
      <c r="Q14" s="10"/>
      <c r="R14" s="10">
        <v>6206</v>
      </c>
      <c r="S14" s="9">
        <v>0</v>
      </c>
      <c r="T14" s="249">
        <v>3000</v>
      </c>
      <c r="U14" s="190">
        <v>3000</v>
      </c>
    </row>
    <row r="15" spans="1:23" x14ac:dyDescent="0.3">
      <c r="A15" s="4" t="s">
        <v>490</v>
      </c>
      <c r="B15" s="38">
        <f>3455+2000</f>
        <v>5455</v>
      </c>
      <c r="C15" s="38">
        <f>400+10000+12000</f>
        <v>22400</v>
      </c>
      <c r="D15" s="38">
        <v>4112</v>
      </c>
      <c r="E15" s="38">
        <f>4135+5600</f>
        <v>9735</v>
      </c>
      <c r="F15" s="38">
        <f>1987+4050</f>
        <v>6037</v>
      </c>
      <c r="G15" s="38">
        <v>1630</v>
      </c>
      <c r="H15" s="38">
        <v>16554</v>
      </c>
      <c r="I15" s="38">
        <f>28269-19125+4390+6756</f>
        <v>20290</v>
      </c>
      <c r="J15" s="38">
        <f>2914+5838+4950+240+1000+6365+1880+2390</f>
        <v>25577</v>
      </c>
      <c r="K15" s="10">
        <v>29446</v>
      </c>
      <c r="L15" s="10">
        <v>56040</v>
      </c>
      <c r="M15" s="10">
        <v>21304</v>
      </c>
      <c r="N15" s="10">
        <v>93807</v>
      </c>
      <c r="O15" s="10">
        <v>61627</v>
      </c>
      <c r="P15" s="10">
        <v>46439</v>
      </c>
      <c r="Q15" s="10">
        <v>11035</v>
      </c>
      <c r="R15" s="10">
        <v>17071</v>
      </c>
      <c r="S15" s="9">
        <v>16235</v>
      </c>
      <c r="T15" s="249">
        <v>15000</v>
      </c>
      <c r="U15" s="190">
        <v>15000</v>
      </c>
      <c r="V15" s="236" t="s">
        <v>2837</v>
      </c>
    </row>
    <row r="16" spans="1:23" x14ac:dyDescent="0.3">
      <c r="A16" s="7" t="s">
        <v>2554</v>
      </c>
      <c r="B16" s="39">
        <f t="shared" ref="B16:K16" si="0">SUM(B6:B15)</f>
        <v>194703</v>
      </c>
      <c r="C16" s="39">
        <f t="shared" si="0"/>
        <v>431575</v>
      </c>
      <c r="D16" s="39">
        <f t="shared" si="0"/>
        <v>282807</v>
      </c>
      <c r="E16" s="39">
        <f t="shared" si="0"/>
        <v>308979.27999999997</v>
      </c>
      <c r="F16" s="39">
        <f t="shared" si="0"/>
        <v>390713.28</v>
      </c>
      <c r="G16" s="39">
        <f t="shared" si="0"/>
        <v>373620</v>
      </c>
      <c r="H16" s="39">
        <f t="shared" si="0"/>
        <v>575175</v>
      </c>
      <c r="I16" s="39">
        <f>SUM(I6:I15)</f>
        <v>727836</v>
      </c>
      <c r="J16" s="39">
        <f t="shared" ref="J16" si="1">SUM(J6:J15)</f>
        <v>702290</v>
      </c>
      <c r="K16" s="12">
        <f t="shared" si="0"/>
        <v>735324</v>
      </c>
      <c r="L16" s="12">
        <f t="shared" ref="L16:Q16" si="2">SUM(L6:L15)</f>
        <v>671628</v>
      </c>
      <c r="M16" s="12">
        <f t="shared" si="2"/>
        <v>717654</v>
      </c>
      <c r="N16" s="12">
        <f t="shared" si="2"/>
        <v>763533</v>
      </c>
      <c r="O16" s="12">
        <f t="shared" si="2"/>
        <v>701882</v>
      </c>
      <c r="P16" s="12">
        <f t="shared" si="2"/>
        <v>831624</v>
      </c>
      <c r="Q16" s="12">
        <f t="shared" si="2"/>
        <v>938665</v>
      </c>
      <c r="R16" s="12">
        <f t="shared" ref="R16" si="3">SUM(R6:R15)</f>
        <v>912717</v>
      </c>
      <c r="S16" s="11">
        <f>SUM(S6:S15)</f>
        <v>312269</v>
      </c>
      <c r="T16" s="250">
        <f>SUM(T6:T15)</f>
        <v>1089500</v>
      </c>
      <c r="U16" s="191">
        <f>SUM(U6:U15)</f>
        <v>1082000</v>
      </c>
    </row>
    <row r="17" spans="1:24" ht="16.2" thickBot="1" x14ac:dyDescent="0.35">
      <c r="B17" s="38"/>
      <c r="C17" s="40"/>
      <c r="D17" s="40"/>
      <c r="E17" s="38"/>
      <c r="F17" s="40"/>
      <c r="G17" s="40"/>
      <c r="H17" s="40"/>
      <c r="I17" s="40"/>
      <c r="J17" s="40"/>
      <c r="S17" s="111"/>
      <c r="T17" s="249"/>
      <c r="U17" s="190"/>
    </row>
    <row r="18" spans="1:24" s="13" customFormat="1" ht="16.2" thickBot="1" x14ac:dyDescent="0.35">
      <c r="A18" s="32" t="s">
        <v>30</v>
      </c>
      <c r="B18" s="38"/>
      <c r="C18" s="41"/>
      <c r="D18" s="41"/>
      <c r="E18" s="38"/>
      <c r="F18" s="41"/>
      <c r="G18" s="41"/>
      <c r="H18" s="41"/>
      <c r="I18" s="41"/>
      <c r="J18" s="41"/>
      <c r="S18" s="112"/>
      <c r="T18" s="249"/>
      <c r="U18" s="190"/>
      <c r="V18" s="271"/>
      <c r="W18" s="159"/>
    </row>
    <row r="19" spans="1:24" ht="46.2" customHeight="1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10">
        <v>-70226</v>
      </c>
      <c r="M19" s="10">
        <v>-120875</v>
      </c>
      <c r="N19" s="10">
        <v>-81372</v>
      </c>
      <c r="O19" s="10">
        <v>-159842</v>
      </c>
      <c r="P19" s="10">
        <v>-181432</v>
      </c>
      <c r="Q19" s="10">
        <v>-220492</v>
      </c>
      <c r="R19" s="10">
        <v>-95687</v>
      </c>
      <c r="S19" s="9">
        <v>-27673</v>
      </c>
      <c r="T19" s="249">
        <v>-130000</v>
      </c>
      <c r="U19" s="190">
        <v>-130000</v>
      </c>
      <c r="V19" s="236" t="s">
        <v>2835</v>
      </c>
      <c r="W19" s="276" t="s">
        <v>2836</v>
      </c>
    </row>
    <row r="20" spans="1:24" x14ac:dyDescent="0.3">
      <c r="A20" s="4" t="s">
        <v>45</v>
      </c>
      <c r="B20" s="38">
        <v>-32646</v>
      </c>
      <c r="C20" s="38">
        <v>-42437</v>
      </c>
      <c r="D20" s="38">
        <v>-26923</v>
      </c>
      <c r="E20" s="38">
        <v>-32572</v>
      </c>
      <c r="F20" s="38">
        <v>-50743</v>
      </c>
      <c r="G20" s="38">
        <v>-52811</v>
      </c>
      <c r="H20" s="38">
        <v>-126816</v>
      </c>
      <c r="I20" s="38">
        <f>-953-23023-1120-3576-498-29220-3576-3576-48894</f>
        <v>-114436</v>
      </c>
      <c r="J20" s="38">
        <f>-975-3576-25151+2412-26894-7152-45412</f>
        <v>-106748</v>
      </c>
      <c r="K20" s="10">
        <v>-134562</v>
      </c>
      <c r="L20" s="10">
        <v>-150140</v>
      </c>
      <c r="M20" s="10">
        <v>-104717</v>
      </c>
      <c r="N20" s="10">
        <v>-122818</v>
      </c>
      <c r="O20" s="10">
        <v>-100638</v>
      </c>
      <c r="P20" s="10">
        <v>-133504</v>
      </c>
      <c r="Q20" s="10">
        <v>-140769</v>
      </c>
      <c r="R20" s="10">
        <v>-121835</v>
      </c>
      <c r="S20" s="9">
        <v>-17239</v>
      </c>
      <c r="T20" s="249">
        <v>-120000</v>
      </c>
      <c r="U20" s="190">
        <v>-120000</v>
      </c>
      <c r="W20" s="197"/>
      <c r="X20" s="55"/>
    </row>
    <row r="21" spans="1:24" x14ac:dyDescent="0.3">
      <c r="A21" s="4" t="s">
        <v>508</v>
      </c>
      <c r="B21" s="38">
        <v>-11755</v>
      </c>
      <c r="C21" s="38">
        <v>-20024</v>
      </c>
      <c r="D21" s="38">
        <v>-13297</v>
      </c>
      <c r="E21" s="38">
        <v>-14853.42</v>
      </c>
      <c r="F21" s="38">
        <v>-18717</v>
      </c>
      <c r="G21" s="38">
        <v>-4027</v>
      </c>
      <c r="H21" s="38">
        <v>-20624</v>
      </c>
      <c r="I21" s="38">
        <f>-3208-5440+2557-5729-1907+1985-874-1767-2130-3432-789-9120-114-867-1407-1435-38-5807-8282</f>
        <v>-47804</v>
      </c>
      <c r="J21" s="38">
        <f>-3760-1277-3685+3685-2253-17843-2444-4021-349-5145-111-368-279-322</f>
        <v>-38172</v>
      </c>
      <c r="K21" s="10">
        <v>-17887</v>
      </c>
      <c r="L21" s="10">
        <v>-4522</v>
      </c>
      <c r="M21" s="10">
        <v>0</v>
      </c>
      <c r="N21" s="10">
        <v>-469</v>
      </c>
      <c r="O21" s="10">
        <v>-225</v>
      </c>
      <c r="P21" s="10">
        <v>-519</v>
      </c>
      <c r="Q21" s="10">
        <v>-58306</v>
      </c>
      <c r="R21" s="10">
        <v>-29423</v>
      </c>
      <c r="S21" s="9">
        <v>-174</v>
      </c>
      <c r="T21" s="249">
        <v>-45000</v>
      </c>
      <c r="U21" s="190">
        <v>-45000</v>
      </c>
      <c r="V21" s="217" t="s">
        <v>2828</v>
      </c>
      <c r="W21" s="197"/>
    </row>
    <row r="22" spans="1:24" ht="21.6" x14ac:dyDescent="0.3">
      <c r="A22" s="4" t="s">
        <v>1633</v>
      </c>
      <c r="B22" s="38">
        <v>-4800</v>
      </c>
      <c r="C22" s="38">
        <v>-3398</v>
      </c>
      <c r="D22" s="38">
        <v>0</v>
      </c>
      <c r="E22" s="38">
        <v>-7138</v>
      </c>
      <c r="F22" s="38">
        <v>-3450</v>
      </c>
      <c r="G22" s="38">
        <v>-8100</v>
      </c>
      <c r="H22" s="38">
        <v>-6790</v>
      </c>
      <c r="I22" s="38">
        <f>-2940-7000-2500-2800-185+23111-23111-31150-1700-495-1000</f>
        <v>-49770</v>
      </c>
      <c r="J22" s="38">
        <f>-2100-1969-5000-500-15500-1440-629-7355</f>
        <v>-34493</v>
      </c>
      <c r="K22" s="10">
        <v>-38345</v>
      </c>
      <c r="L22" s="10">
        <v>-52120</v>
      </c>
      <c r="M22" s="10">
        <v>-70704</v>
      </c>
      <c r="N22" s="10">
        <v>-10498</v>
      </c>
      <c r="O22" s="10">
        <v>-17059</v>
      </c>
      <c r="P22" s="10">
        <v>-29952</v>
      </c>
      <c r="Q22" s="10">
        <v>-42358</v>
      </c>
      <c r="R22" s="10">
        <v>-52555</v>
      </c>
      <c r="S22" s="9">
        <v>-20599</v>
      </c>
      <c r="T22" s="249">
        <v>-50000</v>
      </c>
      <c r="U22" s="190">
        <v>-50000</v>
      </c>
      <c r="V22" s="217" t="s">
        <v>2834</v>
      </c>
      <c r="W22" s="197"/>
    </row>
    <row r="23" spans="1:24" ht="33.6" customHeight="1" x14ac:dyDescent="0.3">
      <c r="A23" s="4" t="s">
        <v>940</v>
      </c>
      <c r="B23" s="38">
        <v>0</v>
      </c>
      <c r="C23" s="38">
        <v>-1700</v>
      </c>
      <c r="D23" s="38">
        <v>0</v>
      </c>
      <c r="E23" s="38">
        <v>-3400</v>
      </c>
      <c r="F23" s="38">
        <v>-3900</v>
      </c>
      <c r="G23" s="38">
        <v>-4550</v>
      </c>
      <c r="H23" s="38">
        <v>-7520</v>
      </c>
      <c r="I23" s="38">
        <f>-4500-4000-682-4000-1110</f>
        <v>-14292</v>
      </c>
      <c r="J23" s="38">
        <f>-4000-5500-4000-407</f>
        <v>-13907</v>
      </c>
      <c r="K23" s="10">
        <v>-40515</v>
      </c>
      <c r="L23" s="10">
        <v>-23150</v>
      </c>
      <c r="M23" s="10">
        <v>-39500</v>
      </c>
      <c r="N23" s="10">
        <v>-35192</v>
      </c>
      <c r="O23" s="10">
        <v>-26250</v>
      </c>
      <c r="P23" s="10">
        <v>-92029</v>
      </c>
      <c r="Q23" s="10">
        <v>-99926</v>
      </c>
      <c r="R23" s="10">
        <v>-108845</v>
      </c>
      <c r="S23" s="9">
        <v>-20718</v>
      </c>
      <c r="T23" s="249">
        <v>-110000</v>
      </c>
      <c r="U23" s="190">
        <v>-110000</v>
      </c>
      <c r="V23" s="217" t="s">
        <v>2833</v>
      </c>
      <c r="W23" s="197"/>
    </row>
    <row r="24" spans="1:24" ht="28.2" customHeight="1" x14ac:dyDescent="0.3">
      <c r="A24" s="4" t="s">
        <v>39</v>
      </c>
      <c r="B24" s="38">
        <v>-18016</v>
      </c>
      <c r="C24" s="38">
        <v>-18105</v>
      </c>
      <c r="D24" s="38">
        <v>-14387</v>
      </c>
      <c r="E24" s="38">
        <v>-7915</v>
      </c>
      <c r="F24" s="38">
        <v>-13828</v>
      </c>
      <c r="G24" s="38">
        <v>-24118</v>
      </c>
      <c r="H24" s="38">
        <v>-30770</v>
      </c>
      <c r="I24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4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4" s="10">
        <v>-76389</v>
      </c>
      <c r="L24" s="10">
        <v>-81515</v>
      </c>
      <c r="M24" s="10">
        <v>-88679</v>
      </c>
      <c r="N24" s="10">
        <v>-72732</v>
      </c>
      <c r="O24" s="10">
        <v>-58100</v>
      </c>
      <c r="P24" s="10">
        <v>-79144</v>
      </c>
      <c r="Q24" s="10">
        <v>-104788</v>
      </c>
      <c r="R24" s="10">
        <v>-88174</v>
      </c>
      <c r="S24" s="9">
        <v>-6850</v>
      </c>
      <c r="T24" s="249">
        <v>-95000</v>
      </c>
      <c r="U24" s="190">
        <v>-95000</v>
      </c>
      <c r="V24" s="236" t="s">
        <v>2829</v>
      </c>
      <c r="W24" s="197"/>
    </row>
    <row r="25" spans="1:24" x14ac:dyDescent="0.3">
      <c r="A25" s="4" t="s">
        <v>40</v>
      </c>
      <c r="B25" s="38">
        <v>0</v>
      </c>
      <c r="C25" s="38">
        <v>-850</v>
      </c>
      <c r="D25" s="38">
        <v>-625</v>
      </c>
      <c r="E25" s="38">
        <v>-8200</v>
      </c>
      <c r="F25" s="38">
        <v>0</v>
      </c>
      <c r="G25" s="38">
        <v>0</v>
      </c>
      <c r="H25" s="38">
        <v>-2100</v>
      </c>
      <c r="I25" s="38">
        <f>-3950</f>
        <v>-3950</v>
      </c>
      <c r="J25" s="38">
        <f>-2750</f>
        <v>-2750</v>
      </c>
      <c r="K25" s="10">
        <v>-2500</v>
      </c>
      <c r="L25" s="10">
        <v>-3050</v>
      </c>
      <c r="M25" s="10">
        <v>-3860</v>
      </c>
      <c r="N25" s="10">
        <v>-7420</v>
      </c>
      <c r="O25" s="10">
        <v>-4750</v>
      </c>
      <c r="P25" s="10">
        <v>-1231</v>
      </c>
      <c r="Q25" s="10">
        <v>-13700</v>
      </c>
      <c r="R25" s="10">
        <v>-14628</v>
      </c>
      <c r="S25" s="9">
        <v>-4775</v>
      </c>
      <c r="T25" s="249">
        <v>-15000</v>
      </c>
      <c r="U25" s="190">
        <v>-15000</v>
      </c>
      <c r="W25" s="197"/>
    </row>
    <row r="26" spans="1:24" ht="26.4" customHeight="1" x14ac:dyDescent="0.3">
      <c r="A26" s="4" t="s">
        <v>36</v>
      </c>
      <c r="B26" s="38">
        <v>-5000</v>
      </c>
      <c r="C26" s="38">
        <v>-350</v>
      </c>
      <c r="D26" s="38">
        <v>0</v>
      </c>
      <c r="E26" s="38">
        <v>-3550</v>
      </c>
      <c r="F26" s="38">
        <v>-10190</v>
      </c>
      <c r="G26" s="38">
        <v>-27295</v>
      </c>
      <c r="H26" s="38">
        <v>-13550</v>
      </c>
      <c r="I26" s="38">
        <f>-1400-1400-2700-3000-1500-1200-1400-1000-1200-1300-1500-800-1200-1400-1400-1190</f>
        <v>-23590</v>
      </c>
      <c r="J26" s="38">
        <f>-800-1200-1100-3350-1400-1000-2000-1000-1400-300-1200-1400-1800-1500-1500-1600-1400-1400</f>
        <v>-25350</v>
      </c>
      <c r="K26" s="10">
        <v>-23700</v>
      </c>
      <c r="L26" s="10">
        <v>-23490</v>
      </c>
      <c r="M26" s="10">
        <v>-20500</v>
      </c>
      <c r="N26" s="10">
        <v>-6700</v>
      </c>
      <c r="O26" s="10">
        <v>-4050</v>
      </c>
      <c r="P26" s="10">
        <v>-22800</v>
      </c>
      <c r="Q26" s="10">
        <v>-34900</v>
      </c>
      <c r="R26" s="10">
        <v>-31665</v>
      </c>
      <c r="S26" s="9">
        <v>-15900</v>
      </c>
      <c r="T26" s="249">
        <v>-30000</v>
      </c>
      <c r="U26" s="190">
        <v>-30000</v>
      </c>
      <c r="V26" s="217" t="s">
        <v>2832</v>
      </c>
      <c r="W26" s="197"/>
    </row>
    <row r="27" spans="1:24" ht="22.8" customHeight="1" x14ac:dyDescent="0.3">
      <c r="A27" s="4" t="s">
        <v>154</v>
      </c>
      <c r="B27" s="38">
        <v>-19050</v>
      </c>
      <c r="C27" s="38">
        <f>-13250-1750</f>
        <v>-15000</v>
      </c>
      <c r="D27" s="38">
        <v>-19650</v>
      </c>
      <c r="E27" s="38">
        <v>-15750</v>
      </c>
      <c r="F27" s="38">
        <v>-21750</v>
      </c>
      <c r="G27" s="38">
        <v>-30300</v>
      </c>
      <c r="H27" s="38">
        <v>-23520</v>
      </c>
      <c r="I27" s="38">
        <f>950+4008-3900-500-15200+1000-500-1000-2000+1000-250-7000-600-7500</f>
        <v>-31492</v>
      </c>
      <c r="J27" s="38">
        <f>-1000-3000-6600-9700-4500-1900-1200-2000-2400-2000-400-500-2000</f>
        <v>-37200</v>
      </c>
      <c r="K27" s="10">
        <v>-30550</v>
      </c>
      <c r="L27" s="10">
        <v>-32750</v>
      </c>
      <c r="M27" s="10">
        <v>-41400</v>
      </c>
      <c r="N27" s="10">
        <v>-35920</v>
      </c>
      <c r="O27" s="10">
        <v>-14840</v>
      </c>
      <c r="P27" s="10">
        <v>-30440</v>
      </c>
      <c r="Q27" s="10">
        <v>-32200</v>
      </c>
      <c r="R27" s="10">
        <v>-24300</v>
      </c>
      <c r="S27" s="9">
        <v>0</v>
      </c>
      <c r="T27" s="249">
        <v>-25000</v>
      </c>
      <c r="U27" s="190">
        <v>-25000</v>
      </c>
      <c r="V27" s="217" t="s">
        <v>2824</v>
      </c>
      <c r="W27" s="197"/>
    </row>
    <row r="28" spans="1:24" x14ac:dyDescent="0.3">
      <c r="A28" s="4" t="s">
        <v>43</v>
      </c>
      <c r="B28" s="38">
        <v>-14470</v>
      </c>
      <c r="C28" s="38">
        <v>-10300</v>
      </c>
      <c r="D28" s="38">
        <v>-4860</v>
      </c>
      <c r="E28" s="38">
        <v>0</v>
      </c>
      <c r="F28" s="38">
        <v>-18405</v>
      </c>
      <c r="G28" s="38">
        <v>-10950</v>
      </c>
      <c r="H28" s="38">
        <v>-9515</v>
      </c>
      <c r="I28" s="38">
        <f>-300-8900+850-1250-3500</f>
        <v>-13100</v>
      </c>
      <c r="J28" s="38">
        <f>-4700-2390-8400</f>
        <v>-15490</v>
      </c>
      <c r="K28" s="10">
        <v>-14710</v>
      </c>
      <c r="L28" s="10">
        <v>-18980</v>
      </c>
      <c r="M28" s="10">
        <v>-15500</v>
      </c>
      <c r="N28" s="10">
        <v>-14350</v>
      </c>
      <c r="O28" s="10">
        <v>-15370</v>
      </c>
      <c r="P28" s="10">
        <v>-5340</v>
      </c>
      <c r="Q28" s="10">
        <v>-4080</v>
      </c>
      <c r="R28" s="10">
        <v>-23540</v>
      </c>
      <c r="S28" s="9">
        <v>-4000</v>
      </c>
      <c r="T28" s="249">
        <v>-10000</v>
      </c>
      <c r="U28" s="190">
        <v>-10000</v>
      </c>
      <c r="V28" s="217" t="s">
        <v>2825</v>
      </c>
      <c r="W28" s="197"/>
    </row>
    <row r="29" spans="1:24" ht="34.799999999999997" customHeight="1" x14ac:dyDescent="0.3">
      <c r="A29" s="4" t="s">
        <v>44</v>
      </c>
      <c r="B29" s="38">
        <v>-25000</v>
      </c>
      <c r="C29" s="38">
        <v>-15000</v>
      </c>
      <c r="D29" s="38">
        <v>-17500</v>
      </c>
      <c r="E29" s="38">
        <v>-30416</v>
      </c>
      <c r="F29" s="38">
        <v>-16000</v>
      </c>
      <c r="G29" s="38">
        <v>-34000</v>
      </c>
      <c r="H29" s="38">
        <v>-27000</v>
      </c>
      <c r="I29" s="38">
        <f>-12500-1000-2000-5000-3000</f>
        <v>-23500</v>
      </c>
      <c r="J29" s="38">
        <f>-1500-10000-500-4000</f>
        <v>-16000</v>
      </c>
      <c r="K29" s="10">
        <v>-39400</v>
      </c>
      <c r="L29" s="10">
        <v>-28600</v>
      </c>
      <c r="M29" s="10">
        <v>-18000</v>
      </c>
      <c r="N29" s="10">
        <v>-25600</v>
      </c>
      <c r="O29" s="10">
        <v>-53500</v>
      </c>
      <c r="P29" s="10">
        <f>-55750</f>
        <v>-55750</v>
      </c>
      <c r="Q29" s="10">
        <v>-66350</v>
      </c>
      <c r="R29" s="10">
        <v>-80025</v>
      </c>
      <c r="S29" s="9">
        <v>-8075</v>
      </c>
      <c r="T29" s="249">
        <v>-80000</v>
      </c>
      <c r="U29" s="190">
        <v>-80000</v>
      </c>
      <c r="V29" s="217" t="s">
        <v>2831</v>
      </c>
      <c r="W29" s="197"/>
    </row>
    <row r="30" spans="1:24" ht="27" customHeight="1" x14ac:dyDescent="0.3">
      <c r="A30" s="4" t="s">
        <v>56</v>
      </c>
      <c r="B30" s="38">
        <v>-4459</v>
      </c>
      <c r="C30" s="38">
        <v>-12173</v>
      </c>
      <c r="D30" s="38">
        <v>0</v>
      </c>
      <c r="E30" s="38">
        <v>-180</v>
      </c>
      <c r="F30" s="38">
        <v>-1887</v>
      </c>
      <c r="G30" s="38">
        <v>0</v>
      </c>
      <c r="H30" s="38">
        <v>0</v>
      </c>
      <c r="I30" s="38">
        <v>0</v>
      </c>
      <c r="J30" s="38">
        <f>-500-2500-500-1000</f>
        <v>-4500</v>
      </c>
      <c r="K30" s="10">
        <v>-10000</v>
      </c>
      <c r="L30" s="10">
        <v>-14500</v>
      </c>
      <c r="M30" s="10">
        <v>-12500</v>
      </c>
      <c r="N30" s="10">
        <v>-14000</v>
      </c>
      <c r="O30" s="10">
        <v>-9500</v>
      </c>
      <c r="P30" s="10">
        <f>-19000-4000</f>
        <v>-23000</v>
      </c>
      <c r="Q30" s="10">
        <v>-19850</v>
      </c>
      <c r="R30" s="10">
        <v>-27630</v>
      </c>
      <c r="S30" s="9">
        <v>0</v>
      </c>
      <c r="T30" s="249">
        <v>-36000</v>
      </c>
      <c r="U30" s="190">
        <v>-36000</v>
      </c>
      <c r="V30" s="217" t="s">
        <v>2826</v>
      </c>
    </row>
    <row r="31" spans="1:24" x14ac:dyDescent="0.3">
      <c r="A31" s="4" t="s">
        <v>32</v>
      </c>
      <c r="B31" s="38">
        <f>-2650-3100-1600</f>
        <v>-7350</v>
      </c>
      <c r="C31" s="38">
        <f>-250-2500-1842</f>
        <v>-4592</v>
      </c>
      <c r="D31" s="38">
        <f>-250-4500-1899</f>
        <v>-6649</v>
      </c>
      <c r="E31" s="38">
        <v>-6338</v>
      </c>
      <c r="F31" s="38">
        <v>-6643</v>
      </c>
      <c r="G31" s="38">
        <v>-3530</v>
      </c>
      <c r="H31" s="38">
        <v>-1024</v>
      </c>
      <c r="I31" s="38">
        <f>-774-250</f>
        <v>-1024</v>
      </c>
      <c r="J31" s="38">
        <f>-771-500</f>
        <v>-1271</v>
      </c>
      <c r="K31" s="10">
        <v>-3000</v>
      </c>
      <c r="L31" s="10">
        <v>-500</v>
      </c>
      <c r="M31" s="10">
        <v>-500</v>
      </c>
      <c r="N31" s="10">
        <v>-500</v>
      </c>
      <c r="O31" s="10">
        <v>-500</v>
      </c>
      <c r="P31" s="10">
        <v>-500</v>
      </c>
      <c r="Q31" s="10">
        <v>-500</v>
      </c>
      <c r="R31" s="10">
        <v>-500</v>
      </c>
      <c r="S31" s="9">
        <v>-500</v>
      </c>
      <c r="T31" s="249">
        <v>-500</v>
      </c>
      <c r="U31" s="190">
        <v>-500</v>
      </c>
    </row>
    <row r="32" spans="1:24" x14ac:dyDescent="0.3">
      <c r="A32" s="4" t="s">
        <v>491</v>
      </c>
      <c r="B32" s="38">
        <v>0</v>
      </c>
      <c r="C32" s="38">
        <f>-75994-6425</f>
        <v>-82419</v>
      </c>
      <c r="D32" s="38">
        <f>-29362-12800</f>
        <v>-42162</v>
      </c>
      <c r="E32" s="38">
        <v>0</v>
      </c>
      <c r="F32" s="38">
        <v>0</v>
      </c>
      <c r="G32" s="38">
        <v>-102305</v>
      </c>
      <c r="H32" s="38">
        <v>-94393</v>
      </c>
      <c r="I32" s="38">
        <f>-1824-(23*800)-34400-1130-45448</f>
        <v>-101202</v>
      </c>
      <c r="J32" s="38">
        <f>-268-800-800-800-800-800-800-800-800-800-800-800-800-800-800-800-800-800-264-800-800-28998-800-800-800-36777</f>
        <v>-83907</v>
      </c>
      <c r="K32" s="10">
        <v>-90569</v>
      </c>
      <c r="L32" s="10">
        <v>-87302</v>
      </c>
      <c r="M32" s="10">
        <v>-94382</v>
      </c>
      <c r="N32" s="10">
        <v>-111217</v>
      </c>
      <c r="O32" s="10">
        <v>-128246</v>
      </c>
      <c r="P32" s="10">
        <v>-166907</v>
      </c>
      <c r="Q32" s="10">
        <v>-161843</v>
      </c>
      <c r="R32" s="10">
        <v>-202575</v>
      </c>
      <c r="S32" s="9">
        <v>0</v>
      </c>
      <c r="T32" s="249">
        <v>-200000</v>
      </c>
      <c r="U32" s="190">
        <v>-200000</v>
      </c>
      <c r="V32" s="217" t="s">
        <v>2649</v>
      </c>
      <c r="W32" s="197"/>
    </row>
    <row r="33" spans="1:23" x14ac:dyDescent="0.3">
      <c r="A33" s="4" t="s">
        <v>2830</v>
      </c>
      <c r="B33" s="38">
        <v>0</v>
      </c>
      <c r="C33" s="38">
        <f>-75994-6425</f>
        <v>-82419</v>
      </c>
      <c r="D33" s="38">
        <f>-29362-12800</f>
        <v>-42162</v>
      </c>
      <c r="E33" s="38">
        <v>0</v>
      </c>
      <c r="F33" s="38">
        <v>0</v>
      </c>
      <c r="G33" s="38">
        <v>-102305</v>
      </c>
      <c r="H33" s="38">
        <v>-94393</v>
      </c>
      <c r="I33" s="38">
        <f>-1824-(23*800)-34400-1130-45448</f>
        <v>-101202</v>
      </c>
      <c r="J33" s="38">
        <f>-268-800-800-800-800-800-800-800-800-800-800-800-800-800-800-800-800-800-264-800-800-28998-800-800-800-36777</f>
        <v>-83907</v>
      </c>
      <c r="K33" s="10">
        <v>-90569</v>
      </c>
      <c r="L33" s="10">
        <v>-87302</v>
      </c>
      <c r="M33" s="10">
        <v>-94382</v>
      </c>
      <c r="N33" s="10">
        <v>-111217</v>
      </c>
      <c r="O33" s="10"/>
      <c r="P33" s="10"/>
      <c r="Q33" s="10"/>
      <c r="R33" s="10"/>
      <c r="S33" s="9">
        <v>0</v>
      </c>
      <c r="T33" s="249">
        <v>-120000</v>
      </c>
      <c r="U33" s="190">
        <v>-120000</v>
      </c>
      <c r="V33" s="217" t="s">
        <v>2649</v>
      </c>
      <c r="W33" s="197"/>
    </row>
    <row r="34" spans="1:23" hidden="1" x14ac:dyDescent="0.3">
      <c r="A34" s="4" t="s">
        <v>33</v>
      </c>
      <c r="B34" s="38">
        <v>0</v>
      </c>
      <c r="C34" s="38">
        <v>0</v>
      </c>
      <c r="D34" s="38">
        <v>0</v>
      </c>
      <c r="E34" s="38">
        <v>-741</v>
      </c>
      <c r="F34" s="38">
        <v>-547</v>
      </c>
      <c r="G34" s="38">
        <v>-154</v>
      </c>
      <c r="H34" s="38">
        <v>-510</v>
      </c>
      <c r="I34" s="38">
        <v>0</v>
      </c>
      <c r="J34" s="38">
        <f>-160</f>
        <v>-160</v>
      </c>
      <c r="K34" s="10">
        <v>0</v>
      </c>
      <c r="L34" s="10">
        <v>0</v>
      </c>
      <c r="M34" s="10">
        <v>0</v>
      </c>
      <c r="N34" s="10">
        <v>0</v>
      </c>
      <c r="O34" s="10"/>
      <c r="P34" s="10"/>
      <c r="Q34" s="10"/>
      <c r="R34" s="10"/>
      <c r="S34" s="9"/>
      <c r="T34" s="249">
        <v>0</v>
      </c>
      <c r="U34" s="190">
        <v>0</v>
      </c>
      <c r="W34" s="197"/>
    </row>
    <row r="35" spans="1:23" ht="31.2" customHeight="1" x14ac:dyDescent="0.3">
      <c r="A35" s="4" t="s">
        <v>493</v>
      </c>
      <c r="B35" s="38">
        <f>-635-7900</f>
        <v>-8535</v>
      </c>
      <c r="C35" s="38">
        <f>-1500-935-3800-2859-81</f>
        <v>-9175</v>
      </c>
      <c r="D35" s="38">
        <f>-755-1100</f>
        <v>-1855</v>
      </c>
      <c r="E35" s="38">
        <f>-2424-5850</f>
        <v>-8274</v>
      </c>
      <c r="F35" s="38">
        <v>-4637.7700000000004</v>
      </c>
      <c r="G35" s="38">
        <f>-2261-14329</f>
        <v>-16590</v>
      </c>
      <c r="H35" s="38">
        <v>-8129</v>
      </c>
      <c r="I35" s="38">
        <f>-469-740+140+140-4815-234</f>
        <v>-5978</v>
      </c>
      <c r="J35" s="38">
        <f>140-1170-608-2080-341</f>
        <v>-4059</v>
      </c>
      <c r="K35" s="10">
        <v>-11110</v>
      </c>
      <c r="L35" s="10">
        <f>-1688+-1553</f>
        <v>-3241</v>
      </c>
      <c r="M35" s="10">
        <f>-6416-763</f>
        <v>-7179</v>
      </c>
      <c r="N35" s="10">
        <f>-2226-250-4352</f>
        <v>-6828</v>
      </c>
      <c r="O35" s="10">
        <f>-2835-250-1000</f>
        <v>-4085</v>
      </c>
      <c r="P35" s="10">
        <v>-5059</v>
      </c>
      <c r="Q35" s="10">
        <f>-750-1134-300-1094-78-365-350-711-1000-295-148</f>
        <v>-6225</v>
      </c>
      <c r="R35" s="244">
        <f>-750-65-1368-1000-308-1600-90-74-1368-187-130-75-500-800-100-132-500</f>
        <v>-9047</v>
      </c>
      <c r="S35" s="9">
        <f>-7536</f>
        <v>-7536</v>
      </c>
      <c r="T35" s="249">
        <v>-10000</v>
      </c>
      <c r="U35" s="190">
        <v>-5000</v>
      </c>
      <c r="V35" s="217" t="s">
        <v>2772</v>
      </c>
      <c r="W35" s="197"/>
    </row>
    <row r="36" spans="1:23" x14ac:dyDescent="0.3">
      <c r="A36" s="7" t="s">
        <v>2555</v>
      </c>
      <c r="B36" s="39">
        <f t="shared" ref="B36:S36" si="4">SUM(B19:B35)</f>
        <v>-218877</v>
      </c>
      <c r="C36" s="39">
        <f t="shared" si="4"/>
        <v>-341353</v>
      </c>
      <c r="D36" s="39">
        <f t="shared" si="4"/>
        <v>-230006</v>
      </c>
      <c r="E36" s="39">
        <f t="shared" si="4"/>
        <v>-247088.42</v>
      </c>
      <c r="F36" s="39">
        <f t="shared" si="4"/>
        <v>-325572.77</v>
      </c>
      <c r="G36" s="39">
        <f t="shared" si="4"/>
        <v>-559750</v>
      </c>
      <c r="H36" s="39">
        <f t="shared" si="4"/>
        <v>-561459</v>
      </c>
      <c r="I36" s="39">
        <f t="shared" si="4"/>
        <v>-719361</v>
      </c>
      <c r="J36" s="39">
        <f t="shared" si="4"/>
        <v>-668640</v>
      </c>
      <c r="K36" s="12">
        <f t="shared" si="4"/>
        <v>-825567</v>
      </c>
      <c r="L36" s="12">
        <f t="shared" si="4"/>
        <v>-681388</v>
      </c>
      <c r="M36" s="12">
        <f t="shared" si="4"/>
        <v>-732678</v>
      </c>
      <c r="N36" s="12">
        <f t="shared" si="4"/>
        <v>-656833</v>
      </c>
      <c r="O36" s="12">
        <f t="shared" ref="O36" si="5">SUM(O19:O35)</f>
        <v>-596955</v>
      </c>
      <c r="P36" s="12">
        <f t="shared" si="4"/>
        <v>-827607</v>
      </c>
      <c r="Q36" s="12">
        <f t="shared" ref="Q36" si="6">SUM(Q19:Q35)</f>
        <v>-1006287</v>
      </c>
      <c r="R36" s="12">
        <f t="shared" ref="R36" si="7">SUM(R19:R35)</f>
        <v>-910429</v>
      </c>
      <c r="S36" s="11">
        <f t="shared" si="4"/>
        <v>-134039</v>
      </c>
      <c r="T36" s="250">
        <f>SUM(T19:T35)</f>
        <v>-1076500</v>
      </c>
      <c r="U36" s="191">
        <f>SUM(U19:U35)</f>
        <v>-1071500</v>
      </c>
      <c r="V36" s="272"/>
      <c r="W36" s="206"/>
    </row>
    <row r="37" spans="1:23" hidden="1" x14ac:dyDescent="0.3">
      <c r="A37" s="7"/>
      <c r="B37" s="41"/>
      <c r="C37" s="41"/>
      <c r="D37" s="41"/>
      <c r="E37" s="39"/>
      <c r="F37" s="39"/>
      <c r="G37" s="39"/>
      <c r="H37" s="39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113"/>
      <c r="T37" s="250"/>
      <c r="U37" s="191"/>
      <c r="W37" s="207"/>
    </row>
    <row r="38" spans="1:23" s="13" customFormat="1" ht="38.25" hidden="1" customHeight="1" x14ac:dyDescent="0.3">
      <c r="A38" s="7" t="s">
        <v>48</v>
      </c>
      <c r="B38" s="39">
        <f t="shared" ref="B38:S38" si="8">+B36+B16</f>
        <v>-24174</v>
      </c>
      <c r="C38" s="39">
        <f t="shared" si="8"/>
        <v>90222</v>
      </c>
      <c r="D38" s="39">
        <f t="shared" si="8"/>
        <v>52801</v>
      </c>
      <c r="E38" s="39">
        <f t="shared" si="8"/>
        <v>61890.859999999957</v>
      </c>
      <c r="F38" s="39">
        <f t="shared" si="8"/>
        <v>65140.510000000009</v>
      </c>
      <c r="G38" s="39">
        <f t="shared" si="8"/>
        <v>-186130</v>
      </c>
      <c r="H38" s="39">
        <f t="shared" si="8"/>
        <v>13716</v>
      </c>
      <c r="I38" s="12">
        <f t="shared" si="8"/>
        <v>8475</v>
      </c>
      <c r="J38" s="12">
        <f t="shared" si="8"/>
        <v>33650</v>
      </c>
      <c r="K38" s="12">
        <f t="shared" si="8"/>
        <v>-90243</v>
      </c>
      <c r="L38" s="12">
        <f t="shared" si="8"/>
        <v>-9760</v>
      </c>
      <c r="M38" s="12">
        <f t="shared" si="8"/>
        <v>-15024</v>
      </c>
      <c r="N38" s="12">
        <f t="shared" si="8"/>
        <v>106700</v>
      </c>
      <c r="O38" s="12">
        <f t="shared" si="8"/>
        <v>104927</v>
      </c>
      <c r="P38" s="12">
        <f t="shared" si="8"/>
        <v>4017</v>
      </c>
      <c r="Q38" s="12">
        <f t="shared" si="8"/>
        <v>-67622</v>
      </c>
      <c r="R38" s="12">
        <f t="shared" ref="R38" si="9">+R36+R16</f>
        <v>2288</v>
      </c>
      <c r="S38" s="11">
        <f t="shared" si="8"/>
        <v>178230</v>
      </c>
      <c r="T38" s="250">
        <f>T16+T36</f>
        <v>13000</v>
      </c>
      <c r="U38" s="191">
        <f>U16+U36</f>
        <v>10500</v>
      </c>
      <c r="V38" s="217"/>
      <c r="W38" s="207"/>
    </row>
    <row r="39" spans="1:23" s="13" customFormat="1" hidden="1" x14ac:dyDescent="0.3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1"/>
      <c r="T39" s="250"/>
      <c r="U39" s="191"/>
      <c r="V39" s="217"/>
      <c r="W39" s="207"/>
    </row>
    <row r="40" spans="1:23" s="13" customFormat="1" hidden="1" x14ac:dyDescent="0.3">
      <c r="A40" s="7" t="s">
        <v>1530</v>
      </c>
      <c r="B40" s="39">
        <v>-10000</v>
      </c>
      <c r="C40" s="39">
        <v>-10000</v>
      </c>
      <c r="D40" s="39">
        <v>-10000</v>
      </c>
      <c r="E40" s="39">
        <v>-10000</v>
      </c>
      <c r="F40" s="39">
        <v>-10000</v>
      </c>
      <c r="G40" s="39">
        <v>-14449</v>
      </c>
      <c r="H40" s="39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1">
        <v>0</v>
      </c>
      <c r="T40" s="250">
        <v>0</v>
      </c>
      <c r="U40" s="191">
        <v>0</v>
      </c>
      <c r="V40" s="217"/>
      <c r="W40" s="206"/>
    </row>
    <row r="41" spans="1:23" s="13" customFormat="1" ht="16.2" thickBot="1" x14ac:dyDescent="0.35">
      <c r="A41" s="7"/>
      <c r="B41" s="41"/>
      <c r="C41" s="41"/>
      <c r="D41" s="41"/>
      <c r="E41" s="39"/>
      <c r="F41" s="39"/>
      <c r="G41" s="39"/>
      <c r="H41" s="39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4"/>
      <c r="T41" s="251"/>
      <c r="U41" s="210"/>
      <c r="V41" s="272"/>
      <c r="W41" s="206"/>
    </row>
    <row r="42" spans="1:23" s="13" customFormat="1" ht="16.2" thickBot="1" x14ac:dyDescent="0.35">
      <c r="A42" s="7" t="s">
        <v>2557</v>
      </c>
      <c r="B42" s="39">
        <f t="shared" ref="B42:T42" si="10">+B40+B38</f>
        <v>-34174</v>
      </c>
      <c r="C42" s="39">
        <f t="shared" si="10"/>
        <v>80222</v>
      </c>
      <c r="D42" s="39">
        <f t="shared" si="10"/>
        <v>42801</v>
      </c>
      <c r="E42" s="39">
        <f t="shared" si="10"/>
        <v>51890.859999999957</v>
      </c>
      <c r="F42" s="39">
        <f t="shared" si="10"/>
        <v>55140.510000000009</v>
      </c>
      <c r="G42" s="39">
        <f t="shared" si="10"/>
        <v>-200579</v>
      </c>
      <c r="H42" s="39">
        <f t="shared" si="10"/>
        <v>13716</v>
      </c>
      <c r="I42" s="12">
        <f t="shared" si="10"/>
        <v>8475</v>
      </c>
      <c r="J42" s="12">
        <f>+J40+J38</f>
        <v>33650</v>
      </c>
      <c r="K42" s="12">
        <f t="shared" si="10"/>
        <v>-90243</v>
      </c>
      <c r="L42" s="12">
        <f t="shared" si="10"/>
        <v>-9760</v>
      </c>
      <c r="M42" s="12">
        <f t="shared" si="10"/>
        <v>-15024</v>
      </c>
      <c r="N42" s="12">
        <f t="shared" si="10"/>
        <v>106700</v>
      </c>
      <c r="O42" s="12">
        <f t="shared" si="10"/>
        <v>104927</v>
      </c>
      <c r="P42" s="12">
        <f t="shared" si="10"/>
        <v>4017</v>
      </c>
      <c r="Q42" s="12">
        <f t="shared" si="10"/>
        <v>-67622</v>
      </c>
      <c r="R42" s="12">
        <f t="shared" ref="R42" si="11">+R40+R38</f>
        <v>2288</v>
      </c>
      <c r="S42" s="154">
        <f t="shared" si="10"/>
        <v>178230</v>
      </c>
      <c r="T42" s="252">
        <f t="shared" si="10"/>
        <v>13000</v>
      </c>
      <c r="U42" s="192">
        <f>+U40+U38</f>
        <v>10500</v>
      </c>
      <c r="V42" s="217"/>
      <c r="W42" s="208"/>
    </row>
    <row r="43" spans="1:23" s="13" customFormat="1" x14ac:dyDescent="0.3">
      <c r="A43" s="4"/>
      <c r="B43" s="4"/>
      <c r="C43" s="4"/>
      <c r="D43" s="4"/>
      <c r="E43" s="4"/>
      <c r="F43" s="4"/>
      <c r="G43" s="4"/>
      <c r="H43" s="4"/>
      <c r="T43" s="58"/>
      <c r="U43" s="58"/>
      <c r="V43" s="217"/>
      <c r="W43" s="155"/>
    </row>
    <row r="44" spans="1:23" s="13" customFormat="1" x14ac:dyDescent="0.3">
      <c r="A44" s="4"/>
      <c r="B44" s="4"/>
      <c r="C44" s="4"/>
      <c r="D44" s="4"/>
      <c r="E44" s="4"/>
      <c r="F44" s="4"/>
      <c r="G44" s="4"/>
      <c r="H44" s="4"/>
      <c r="Q44" s="281"/>
      <c r="R44" s="281"/>
      <c r="S44" s="1"/>
      <c r="T44" s="278"/>
      <c r="U44" s="1"/>
      <c r="V44" s="282"/>
      <c r="W44" s="157"/>
    </row>
    <row r="45" spans="1:23" x14ac:dyDescent="0.3">
      <c r="O45" s="13"/>
      <c r="Q45" s="281"/>
      <c r="R45" s="281"/>
      <c r="T45" s="278"/>
      <c r="V45" s="282"/>
    </row>
    <row r="46" spans="1:23" x14ac:dyDescent="0.3">
      <c r="Q46" s="281"/>
      <c r="R46" s="281"/>
      <c r="T46" s="278"/>
      <c r="V46" s="282"/>
    </row>
    <row r="47" spans="1:23" x14ac:dyDescent="0.3">
      <c r="Q47" s="281"/>
      <c r="R47" s="281"/>
      <c r="T47" s="278"/>
      <c r="V47" s="282"/>
    </row>
    <row r="48" spans="1:23" x14ac:dyDescent="0.3">
      <c r="Q48" s="283"/>
      <c r="R48" s="283"/>
      <c r="V48" s="284"/>
    </row>
    <row r="49" spans="16:24" x14ac:dyDescent="0.3">
      <c r="Q49" s="285"/>
      <c r="R49" s="285"/>
      <c r="T49" s="281"/>
      <c r="U49" s="4"/>
    </row>
    <row r="50" spans="16:24" s="4" customFormat="1" x14ac:dyDescent="0.3">
      <c r="P50" s="1"/>
      <c r="S50" s="1"/>
      <c r="T50" s="283"/>
      <c r="V50" s="282"/>
      <c r="W50" s="155"/>
      <c r="X50" s="1"/>
    </row>
    <row r="51" spans="16:24" s="4" customFormat="1" x14ac:dyDescent="0.3">
      <c r="S51" s="1"/>
      <c r="T51" s="283"/>
      <c r="V51" s="282"/>
      <c r="W51" s="155"/>
      <c r="X51" s="1"/>
    </row>
    <row r="52" spans="16:24" s="4" customFormat="1" x14ac:dyDescent="0.3">
      <c r="S52" s="1"/>
      <c r="T52" s="283"/>
      <c r="V52" s="282"/>
      <c r="W52" s="155"/>
      <c r="X52" s="1"/>
    </row>
    <row r="53" spans="16:24" s="4" customFormat="1" x14ac:dyDescent="0.3">
      <c r="Q53" s="1"/>
      <c r="R53" s="1"/>
      <c r="S53" s="1"/>
      <c r="T53" s="283"/>
      <c r="U53" s="1"/>
      <c r="V53" s="282"/>
      <c r="W53" s="155"/>
      <c r="X53" s="1"/>
    </row>
    <row r="54" spans="16:24" x14ac:dyDescent="0.3">
      <c r="T54" s="286"/>
      <c r="V54" s="282"/>
    </row>
    <row r="55" spans="16:24" x14ac:dyDescent="0.3">
      <c r="T55" s="286"/>
      <c r="V55" s="282"/>
    </row>
    <row r="56" spans="16:24" x14ac:dyDescent="0.3">
      <c r="V56" s="282"/>
    </row>
    <row r="57" spans="16:24" x14ac:dyDescent="0.3">
      <c r="V57" s="282"/>
    </row>
    <row r="58" spans="16:24" x14ac:dyDescent="0.3">
      <c r="V58" s="284"/>
    </row>
  </sheetData>
  <mergeCells count="2">
    <mergeCell ref="K1:M1"/>
    <mergeCell ref="O1:P1"/>
  </mergeCells>
  <pageMargins left="0.7" right="0.7" top="0.75" bottom="0.75" header="0.3" footer="0.3"/>
  <pageSetup paperSize="9" scale="58" orientation="landscape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  <pageSetUpPr fitToPage="1"/>
  </sheetPr>
  <dimension ref="A1:O52"/>
  <sheetViews>
    <sheetView zoomScale="90" zoomScaleNormal="90" workbookViewId="0">
      <pane xSplit="1" ySplit="3" topLeftCell="F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bestFit="1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0" width="16.44140625" style="1" customWidth="1"/>
    <col min="11" max="12" width="18.5546875" style="1" bestFit="1" customWidth="1"/>
    <col min="13" max="13" width="27" style="196" customWidth="1"/>
    <col min="14" max="14" width="12" style="155" customWidth="1"/>
    <col min="15" max="16384" width="9.109375" style="1"/>
  </cols>
  <sheetData>
    <row r="1" spans="1:14" ht="31.8" thickBot="1" x14ac:dyDescent="0.65">
      <c r="A1" s="211" t="s">
        <v>486</v>
      </c>
      <c r="C1" s="224"/>
      <c r="D1" s="224"/>
      <c r="E1" s="295" t="s">
        <v>487</v>
      </c>
      <c r="F1" s="295"/>
      <c r="G1" s="295"/>
    </row>
    <row r="2" spans="1:14" ht="16.2" thickBot="1" x14ac:dyDescent="0.35"/>
    <row r="3" spans="1:14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227">
        <v>2016</v>
      </c>
      <c r="K3" s="57" t="s">
        <v>809</v>
      </c>
      <c r="L3" s="44" t="s">
        <v>1591</v>
      </c>
      <c r="M3" s="156"/>
      <c r="N3" s="156"/>
    </row>
    <row r="4" spans="1:14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110">
        <v>42666</v>
      </c>
      <c r="K4" s="110">
        <v>42735</v>
      </c>
      <c r="L4" s="209"/>
      <c r="M4" s="156"/>
      <c r="N4" s="156"/>
    </row>
    <row r="5" spans="1:14" ht="16.2" thickBot="1" x14ac:dyDescent="0.35">
      <c r="A5" s="32" t="s">
        <v>19</v>
      </c>
      <c r="B5" s="10"/>
      <c r="C5" s="7"/>
      <c r="D5" s="7"/>
      <c r="I5" s="4"/>
      <c r="J5" s="111"/>
      <c r="K5" s="111"/>
      <c r="L5" s="8"/>
      <c r="M5" s="155"/>
    </row>
    <row r="6" spans="1:14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9">
        <f>52238+27694+85834+43522</f>
        <v>209288</v>
      </c>
      <c r="K6" s="115">
        <v>210000</v>
      </c>
      <c r="L6" s="190">
        <v>200000</v>
      </c>
      <c r="M6" s="217" t="s">
        <v>2347</v>
      </c>
    </row>
    <row r="7" spans="1:14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9">
        <f>10400+10800+8100+9200+9600+5400+4000+800+400+7500+10200+900+13200+7800-1200+800+400-400+400+200+225+150</f>
        <v>98875</v>
      </c>
      <c r="K7" s="115">
        <v>105000</v>
      </c>
      <c r="L7" s="190">
        <v>110000</v>
      </c>
      <c r="M7" s="217" t="s">
        <v>2148</v>
      </c>
    </row>
    <row r="8" spans="1:14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9">
        <f>650+3276+2520+29769+8260+395+6493+11012</f>
        <v>62375</v>
      </c>
      <c r="K8" s="115">
        <v>75000</v>
      </c>
      <c r="L8" s="190">
        <v>80000</v>
      </c>
      <c r="M8" s="155"/>
    </row>
    <row r="9" spans="1:14" ht="29.2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9">
        <f>5080+5080+5080+25240-25000+5080-5000+3000+3000</f>
        <v>21560</v>
      </c>
      <c r="K9" s="115">
        <v>25000</v>
      </c>
      <c r="L9" s="190">
        <v>35000</v>
      </c>
      <c r="M9" s="217" t="s">
        <v>2346</v>
      </c>
    </row>
    <row r="10" spans="1:14" ht="21.6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9">
        <f>30000+10650+24230+36000-24230+3000-3000-2752</f>
        <v>73898</v>
      </c>
      <c r="K10" s="115">
        <v>75000</v>
      </c>
      <c r="L10" s="190">
        <v>60000</v>
      </c>
      <c r="M10" s="217" t="s">
        <v>1864</v>
      </c>
    </row>
    <row r="11" spans="1:14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9">
        <f>81000</f>
        <v>81000</v>
      </c>
      <c r="K11" s="115">
        <v>81000</v>
      </c>
      <c r="L11" s="190">
        <v>100000</v>
      </c>
      <c r="M11" s="155"/>
    </row>
    <row r="12" spans="1:14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9">
        <f>5750-1743-1743-1453-3486-4358-15750+10000+7640+840+1463+5660</f>
        <v>2820</v>
      </c>
      <c r="K12" s="115">
        <v>2820</v>
      </c>
      <c r="L12" s="190">
        <v>0</v>
      </c>
      <c r="M12" s="155"/>
    </row>
    <row r="13" spans="1:14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9">
        <v>0</v>
      </c>
      <c r="K13" s="115">
        <v>0</v>
      </c>
      <c r="L13" s="190">
        <v>0</v>
      </c>
      <c r="M13" s="155"/>
    </row>
    <row r="14" spans="1:14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9">
        <f>2914+5838</f>
        <v>8752</v>
      </c>
      <c r="K14" s="115">
        <v>10000</v>
      </c>
      <c r="L14" s="190">
        <v>15000</v>
      </c>
      <c r="M14" s="155"/>
    </row>
    <row r="15" spans="1:14" x14ac:dyDescent="0.3">
      <c r="A15" s="7" t="s">
        <v>29</v>
      </c>
      <c r="B15" s="39">
        <f t="shared" ref="B15:L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11">
        <f t="shared" si="0"/>
        <v>558568</v>
      </c>
      <c r="K15" s="116">
        <f t="shared" si="0"/>
        <v>583820</v>
      </c>
      <c r="L15" s="191">
        <f t="shared" si="0"/>
        <v>600000</v>
      </c>
      <c r="M15" s="155"/>
    </row>
    <row r="16" spans="1:14" ht="16.2" thickBot="1" x14ac:dyDescent="0.35">
      <c r="B16" s="38"/>
      <c r="C16" s="40"/>
      <c r="D16" s="40"/>
      <c r="E16" s="38"/>
      <c r="F16" s="40"/>
      <c r="G16" s="40"/>
      <c r="H16" s="40"/>
      <c r="I16" s="40"/>
      <c r="J16" s="111"/>
      <c r="K16" s="117"/>
      <c r="L16" s="190"/>
      <c r="M16" s="155"/>
    </row>
    <row r="17" spans="1:15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112"/>
      <c r="K17" s="118"/>
      <c r="L17" s="190"/>
      <c r="M17" s="159"/>
      <c r="N17" s="159"/>
    </row>
    <row r="18" spans="1:15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9">
        <f>-975-3576-25151+2412-26894-7152-45412</f>
        <v>-106748</v>
      </c>
      <c r="K18" s="115">
        <v>-107000</v>
      </c>
      <c r="L18" s="190">
        <v>-120000</v>
      </c>
      <c r="M18" s="155"/>
      <c r="N18" s="197"/>
      <c r="O18" s="55"/>
    </row>
    <row r="19" spans="1:15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9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</f>
        <v>-122014</v>
      </c>
      <c r="K19" s="115">
        <v>-130000</v>
      </c>
      <c r="L19" s="190">
        <v>-130000</v>
      </c>
      <c r="M19" s="157" t="s">
        <v>2348</v>
      </c>
      <c r="N19" s="197"/>
    </row>
    <row r="20" spans="1:15" ht="24.6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9">
        <f>-3760-1277-3685+3685-2253-17843-2444-4021-349-5145-111-368</f>
        <v>-37571</v>
      </c>
      <c r="K20" s="115">
        <v>-40000</v>
      </c>
      <c r="L20" s="190">
        <v>-20000</v>
      </c>
      <c r="M20" s="157" t="s">
        <v>1777</v>
      </c>
      <c r="N20" s="197"/>
    </row>
    <row r="21" spans="1:15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9">
        <f>-2100-1969-5000-500-15500</f>
        <v>-25069</v>
      </c>
      <c r="K21" s="115">
        <v>-30000</v>
      </c>
      <c r="L21" s="190">
        <v>-50000</v>
      </c>
      <c r="M21" s="155"/>
      <c r="N21" s="197"/>
    </row>
    <row r="22" spans="1:15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9">
        <f>-4000-5500-4000-407</f>
        <v>-13907</v>
      </c>
      <c r="K22" s="115">
        <v>-15000</v>
      </c>
      <c r="L22" s="190">
        <v>-15000</v>
      </c>
      <c r="M22" s="155"/>
      <c r="N22" s="197"/>
    </row>
    <row r="23" spans="1:15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9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</f>
        <v>-47754</v>
      </c>
      <c r="K23" s="115">
        <v>-60000</v>
      </c>
      <c r="L23" s="190">
        <v>-55000</v>
      </c>
      <c r="M23" s="157" t="s">
        <v>2349</v>
      </c>
      <c r="N23" s="197"/>
    </row>
    <row r="24" spans="1:15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9">
        <v>0</v>
      </c>
      <c r="K24" s="115">
        <v>-3000</v>
      </c>
      <c r="L24" s="190">
        <v>-4000</v>
      </c>
      <c r="M24" s="155"/>
      <c r="N24" s="197"/>
    </row>
    <row r="25" spans="1:15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9">
        <f>-800-1200-1100-3350-1400-1000-2000-1000-1400-300-1200-1400-1800-1500</f>
        <v>-19450</v>
      </c>
      <c r="K25" s="115">
        <v>-25000</v>
      </c>
      <c r="L25" s="190">
        <v>-25000</v>
      </c>
      <c r="M25" s="157"/>
      <c r="N25" s="197"/>
    </row>
    <row r="26" spans="1:15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9">
        <f>-1000-3000-6600-9700-4500-1900-1200-2000</f>
        <v>-29900</v>
      </c>
      <c r="K26" s="115">
        <v>-30000</v>
      </c>
      <c r="L26" s="190">
        <v>-25000</v>
      </c>
      <c r="M26" s="157" t="s">
        <v>2266</v>
      </c>
      <c r="N26" s="197"/>
    </row>
    <row r="27" spans="1:15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9">
        <f>-4700</f>
        <v>-4700</v>
      </c>
      <c r="K27" s="115">
        <v>-15000</v>
      </c>
      <c r="L27" s="190">
        <v>-15000</v>
      </c>
      <c r="M27" s="155"/>
      <c r="N27" s="197"/>
    </row>
    <row r="28" spans="1:15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9">
        <v>0</v>
      </c>
      <c r="K28" s="115">
        <v>-15000</v>
      </c>
      <c r="L28" s="190">
        <v>-25000</v>
      </c>
      <c r="M28" s="157" t="s">
        <v>1605</v>
      </c>
      <c r="N28" s="197"/>
    </row>
    <row r="29" spans="1:15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9">
        <v>0</v>
      </c>
      <c r="K29" s="115">
        <v>0</v>
      </c>
      <c r="L29" s="190">
        <v>0</v>
      </c>
      <c r="M29" s="155"/>
    </row>
    <row r="30" spans="1:15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9">
        <f>-771-500</f>
        <v>-1271</v>
      </c>
      <c r="K30" s="115">
        <v>-2000</v>
      </c>
      <c r="L30" s="190">
        <v>-2000</v>
      </c>
      <c r="M30" s="155"/>
    </row>
    <row r="31" spans="1:15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9">
        <f>-268-800-800-800-800-800-800-800-800-800-800-800-800-800-800-800-800-800-264-800-800-28998-800-800-800-36777</f>
        <v>-83907</v>
      </c>
      <c r="K31" s="115">
        <v>-83907</v>
      </c>
      <c r="L31" s="190">
        <v>-100000</v>
      </c>
      <c r="M31" s="155"/>
      <c r="N31" s="197"/>
    </row>
    <row r="32" spans="1:15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9">
        <f>-160</f>
        <v>-160</v>
      </c>
      <c r="K32" s="115">
        <v>0</v>
      </c>
      <c r="L32" s="190">
        <v>0</v>
      </c>
      <c r="M32" s="155"/>
      <c r="N32" s="197"/>
    </row>
    <row r="33" spans="1:15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9">
        <f>140-1170-608-2080-341</f>
        <v>-4059</v>
      </c>
      <c r="K33" s="115">
        <v>-5000</v>
      </c>
      <c r="L33" s="190">
        <v>-5000</v>
      </c>
      <c r="M33" s="155"/>
      <c r="N33" s="197"/>
    </row>
    <row r="34" spans="1:15" x14ac:dyDescent="0.3">
      <c r="A34" s="7" t="s">
        <v>47</v>
      </c>
      <c r="B34" s="39">
        <f>SUM(B18:B33)</f>
        <v>-218877</v>
      </c>
      <c r="C34" s="39">
        <f t="shared" ref="C34:H34" si="1">SUM(C18:C33)</f>
        <v>-258934</v>
      </c>
      <c r="D34" s="39">
        <f t="shared" si="1"/>
        <v>-187844</v>
      </c>
      <c r="E34" s="39">
        <f t="shared" si="1"/>
        <v>-247088.42</v>
      </c>
      <c r="F34" s="39">
        <f t="shared" si="1"/>
        <v>-325572.77</v>
      </c>
      <c r="G34" s="39">
        <f t="shared" si="1"/>
        <v>-457445</v>
      </c>
      <c r="H34" s="39">
        <f t="shared" si="1"/>
        <v>-467066</v>
      </c>
      <c r="I34" s="39">
        <f>SUM(I18:I33)</f>
        <v>-618159</v>
      </c>
      <c r="J34" s="11">
        <f>SUM(J18:J33)</f>
        <v>-496510</v>
      </c>
      <c r="K34" s="116">
        <f>SUM(K18:K33)</f>
        <v>-560907</v>
      </c>
      <c r="L34" s="191">
        <f>SUM(L18:L33)</f>
        <v>-591000</v>
      </c>
      <c r="M34" s="205"/>
      <c r="N34" s="206"/>
    </row>
    <row r="35" spans="1:15" x14ac:dyDescent="0.3">
      <c r="A35" s="7"/>
      <c r="B35" s="41"/>
      <c r="C35" s="41"/>
      <c r="D35" s="41"/>
      <c r="E35" s="39"/>
      <c r="F35" s="39"/>
      <c r="G35" s="39"/>
      <c r="H35" s="39"/>
      <c r="I35" s="46"/>
      <c r="J35" s="113"/>
      <c r="K35" s="117"/>
      <c r="L35" s="191"/>
      <c r="M35" s="158"/>
      <c r="N35" s="207"/>
    </row>
    <row r="36" spans="1:15" s="13" customFormat="1" ht="38.25" customHeight="1" x14ac:dyDescent="0.3">
      <c r="A36" s="7" t="s">
        <v>48</v>
      </c>
      <c r="B36" s="39">
        <f t="shared" ref="B36:K36" si="2">+B34+B15</f>
        <v>-24674</v>
      </c>
      <c r="C36" s="39">
        <f t="shared" si="2"/>
        <v>86791</v>
      </c>
      <c r="D36" s="39">
        <f t="shared" si="2"/>
        <v>32713</v>
      </c>
      <c r="E36" s="39">
        <f t="shared" si="2"/>
        <v>-5009.1400000000431</v>
      </c>
      <c r="F36" s="39">
        <f t="shared" si="2"/>
        <v>-25959.489999999991</v>
      </c>
      <c r="G36" s="39">
        <f t="shared" si="2"/>
        <v>-167525</v>
      </c>
      <c r="H36" s="39">
        <f t="shared" si="2"/>
        <v>13685</v>
      </c>
      <c r="I36" s="12">
        <f t="shared" si="2"/>
        <v>10177</v>
      </c>
      <c r="J36" s="11">
        <f t="shared" si="2"/>
        <v>62058</v>
      </c>
      <c r="K36" s="116">
        <f t="shared" si="2"/>
        <v>22913</v>
      </c>
      <c r="L36" s="191">
        <f>L15+L34</f>
        <v>9000</v>
      </c>
      <c r="M36" s="158"/>
      <c r="N36" s="207"/>
    </row>
    <row r="37" spans="1:15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1"/>
      <c r="K37" s="116"/>
      <c r="L37" s="191"/>
      <c r="M37" s="158"/>
      <c r="N37" s="207"/>
    </row>
    <row r="38" spans="1:15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1">
        <v>0</v>
      </c>
      <c r="K38" s="116">
        <v>0</v>
      </c>
      <c r="L38" s="191">
        <v>0</v>
      </c>
      <c r="M38" s="155"/>
      <c r="N38" s="206"/>
    </row>
    <row r="39" spans="1:15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1"/>
      <c r="K39" s="116"/>
      <c r="L39" s="210"/>
      <c r="M39" s="205"/>
      <c r="N39" s="206"/>
    </row>
    <row r="40" spans="1:15" s="13" customFormat="1" ht="16.2" thickBot="1" x14ac:dyDescent="0.35">
      <c r="A40" s="7" t="s">
        <v>88</v>
      </c>
      <c r="B40" s="39">
        <f t="shared" ref="B40:K40" si="3">+B38+B36</f>
        <v>-34674</v>
      </c>
      <c r="C40" s="39">
        <f t="shared" si="3"/>
        <v>76791</v>
      </c>
      <c r="D40" s="39">
        <f t="shared" si="3"/>
        <v>22713</v>
      </c>
      <c r="E40" s="39">
        <f t="shared" si="3"/>
        <v>-15009.140000000043</v>
      </c>
      <c r="F40" s="39">
        <f t="shared" si="3"/>
        <v>-35959.489999999991</v>
      </c>
      <c r="G40" s="39">
        <f t="shared" si="3"/>
        <v>-181974</v>
      </c>
      <c r="H40" s="39">
        <f t="shared" si="3"/>
        <v>13685</v>
      </c>
      <c r="I40" s="12">
        <f t="shared" si="3"/>
        <v>10177</v>
      </c>
      <c r="J40" s="154">
        <f t="shared" si="3"/>
        <v>62058</v>
      </c>
      <c r="K40" s="33">
        <f t="shared" si="3"/>
        <v>22913</v>
      </c>
      <c r="L40" s="192">
        <f>+L38+L36</f>
        <v>9000</v>
      </c>
      <c r="M40" s="155"/>
      <c r="N40" s="208"/>
    </row>
    <row r="41" spans="1:15" s="13" customFormat="1" x14ac:dyDescent="0.3">
      <c r="A41" s="4"/>
      <c r="B41" s="4"/>
      <c r="C41" s="4"/>
      <c r="D41" s="4"/>
      <c r="E41" s="4"/>
      <c r="F41" s="4"/>
      <c r="G41" s="4"/>
      <c r="H41" s="4"/>
      <c r="K41" s="58"/>
      <c r="L41" s="58"/>
      <c r="M41" s="196"/>
      <c r="N41" s="155"/>
    </row>
    <row r="43" spans="1:15" x14ac:dyDescent="0.3">
      <c r="K43" s="99"/>
    </row>
    <row r="44" spans="1:15" x14ac:dyDescent="0.3">
      <c r="K44" s="222"/>
    </row>
    <row r="45" spans="1:15" x14ac:dyDescent="0.3">
      <c r="K45" s="207"/>
    </row>
    <row r="46" spans="1:15" x14ac:dyDescent="0.3">
      <c r="K46" s="222"/>
    </row>
    <row r="47" spans="1:15" s="4" customFormat="1" x14ac:dyDescent="0.3">
      <c r="K47" s="99"/>
      <c r="M47" s="196"/>
      <c r="N47" s="155"/>
      <c r="O47" s="1"/>
    </row>
    <row r="48" spans="1:15" s="4" customFormat="1" x14ac:dyDescent="0.3">
      <c r="K48" s="99"/>
      <c r="M48" s="196"/>
      <c r="N48" s="155"/>
      <c r="O48" s="1"/>
    </row>
    <row r="49" spans="11:15" s="4" customFormat="1" x14ac:dyDescent="0.3">
      <c r="K49" s="99"/>
      <c r="M49" s="196"/>
      <c r="N49" s="155"/>
      <c r="O49" s="1"/>
    </row>
    <row r="50" spans="11:15" s="4" customFormat="1" x14ac:dyDescent="0.3">
      <c r="K50" s="99"/>
      <c r="M50" s="196"/>
      <c r="N50" s="155"/>
      <c r="O50" s="1"/>
    </row>
    <row r="51" spans="11:15" x14ac:dyDescent="0.3">
      <c r="K51" s="99"/>
    </row>
    <row r="52" spans="11:15" x14ac:dyDescent="0.3">
      <c r="K52" s="223"/>
    </row>
  </sheetData>
  <mergeCells count="1">
    <mergeCell ref="E1:G1"/>
  </mergeCells>
  <pageMargins left="0.7" right="0.7" top="0.75" bottom="0.75" header="0.3" footer="0.3"/>
  <pageSetup paperSize="9" scale="62" orientation="landscape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  <pageSetUpPr fitToPage="1"/>
  </sheetPr>
  <dimension ref="A1:O52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J12" sqref="J12"/>
    </sheetView>
  </sheetViews>
  <sheetFormatPr defaultColWidth="9.109375" defaultRowHeight="15.6" x14ac:dyDescent="0.3"/>
  <cols>
    <col min="1" max="1" width="30.6640625" style="4" bestFit="1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0" width="16.44140625" style="1" customWidth="1"/>
    <col min="11" max="12" width="18.5546875" style="1" bestFit="1" customWidth="1"/>
    <col min="13" max="13" width="27" style="196" customWidth="1"/>
    <col min="14" max="14" width="12" style="155" customWidth="1"/>
    <col min="15" max="16384" width="9.109375" style="1"/>
  </cols>
  <sheetData>
    <row r="1" spans="1:14" ht="31.8" thickBot="1" x14ac:dyDescent="0.65">
      <c r="A1" s="211" t="s">
        <v>486</v>
      </c>
      <c r="C1" s="224"/>
      <c r="D1" s="224"/>
      <c r="E1" s="295" t="s">
        <v>487</v>
      </c>
      <c r="F1" s="295"/>
      <c r="G1" s="295"/>
    </row>
    <row r="2" spans="1:14" ht="16.2" thickBot="1" x14ac:dyDescent="0.35"/>
    <row r="3" spans="1:14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227">
        <v>2016</v>
      </c>
      <c r="K3" s="57" t="s">
        <v>809</v>
      </c>
      <c r="L3" s="44" t="s">
        <v>1591</v>
      </c>
      <c r="M3" s="156"/>
      <c r="N3" s="156"/>
    </row>
    <row r="4" spans="1:14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110">
        <v>42630</v>
      </c>
      <c r="K4" s="110">
        <v>42735</v>
      </c>
      <c r="L4" s="209"/>
      <c r="M4" s="156"/>
      <c r="N4" s="156"/>
    </row>
    <row r="5" spans="1:14" ht="16.2" thickBot="1" x14ac:dyDescent="0.35">
      <c r="A5" s="32" t="s">
        <v>19</v>
      </c>
      <c r="B5" s="10"/>
      <c r="C5" s="7"/>
      <c r="D5" s="7"/>
      <c r="I5" s="4"/>
      <c r="J5" s="111"/>
      <c r="K5" s="111"/>
      <c r="L5" s="8"/>
      <c r="M5" s="155"/>
    </row>
    <row r="6" spans="1:14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9">
        <f>52238+27694</f>
        <v>79932</v>
      </c>
      <c r="K6" s="115">
        <v>195000</v>
      </c>
      <c r="L6" s="190">
        <v>200000</v>
      </c>
      <c r="M6" s="217" t="s">
        <v>1601</v>
      </c>
    </row>
    <row r="7" spans="1:14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9">
        <f>10400+10800+8100+9200+9600+5400+4000+800+400+7500+10200+900+13200+7800-1200+800+400-400+400+200+225+150</f>
        <v>98875</v>
      </c>
      <c r="K7" s="115">
        <v>105000</v>
      </c>
      <c r="L7" s="190">
        <v>110000</v>
      </c>
      <c r="M7" s="217" t="s">
        <v>2148</v>
      </c>
    </row>
    <row r="8" spans="1:14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9">
        <f>650+3276+2520+29769+8260+395+6493</f>
        <v>51363</v>
      </c>
      <c r="K8" s="115">
        <v>65000</v>
      </c>
      <c r="L8" s="190">
        <v>80000</v>
      </c>
      <c r="M8" s="155"/>
    </row>
    <row r="9" spans="1:14" ht="29.2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9">
        <f>5080+5080+5080+25240-25000+5080-5000+3000</f>
        <v>18560</v>
      </c>
      <c r="K9" s="115">
        <v>20000</v>
      </c>
      <c r="L9" s="190">
        <v>35000</v>
      </c>
      <c r="M9" s="217" t="s">
        <v>2265</v>
      </c>
    </row>
    <row r="10" spans="1:14" ht="21.6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9">
        <f>30000+10650+24230+36000-24230+3000-3000</f>
        <v>76650</v>
      </c>
      <c r="K10" s="115">
        <v>80000</v>
      </c>
      <c r="L10" s="190">
        <v>60000</v>
      </c>
      <c r="M10" s="217" t="s">
        <v>1864</v>
      </c>
    </row>
    <row r="11" spans="1:14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9">
        <f>81000</f>
        <v>81000</v>
      </c>
      <c r="K11" s="115">
        <v>81000</v>
      </c>
      <c r="L11" s="190">
        <v>100000</v>
      </c>
      <c r="M11" s="155"/>
    </row>
    <row r="12" spans="1:14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9">
        <f>5750-1743-1743-1453-3486-4358-15750+10000</f>
        <v>-12783</v>
      </c>
      <c r="K12" s="115">
        <v>3100</v>
      </c>
      <c r="L12" s="190">
        <v>0</v>
      </c>
      <c r="M12" s="155"/>
    </row>
    <row r="13" spans="1:14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9">
        <v>0</v>
      </c>
      <c r="K13" s="115">
        <v>0</v>
      </c>
      <c r="L13" s="190">
        <v>0</v>
      </c>
      <c r="M13" s="155"/>
    </row>
    <row r="14" spans="1:14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9">
        <f>2914+5838</f>
        <v>8752</v>
      </c>
      <c r="K14" s="115">
        <v>15000</v>
      </c>
      <c r="L14" s="190">
        <v>15000</v>
      </c>
      <c r="M14" s="155"/>
    </row>
    <row r="15" spans="1:14" x14ac:dyDescent="0.3">
      <c r="A15" s="7" t="s">
        <v>29</v>
      </c>
      <c r="B15" s="39">
        <f t="shared" ref="B15:L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11">
        <f t="shared" si="0"/>
        <v>402349</v>
      </c>
      <c r="K15" s="116">
        <f t="shared" si="0"/>
        <v>564100</v>
      </c>
      <c r="L15" s="191">
        <f t="shared" si="0"/>
        <v>600000</v>
      </c>
      <c r="M15" s="155"/>
    </row>
    <row r="16" spans="1:14" ht="16.2" thickBot="1" x14ac:dyDescent="0.35">
      <c r="B16" s="38"/>
      <c r="C16" s="40"/>
      <c r="D16" s="40"/>
      <c r="E16" s="38"/>
      <c r="F16" s="40"/>
      <c r="G16" s="40"/>
      <c r="H16" s="40"/>
      <c r="I16" s="40"/>
      <c r="J16" s="111"/>
      <c r="K16" s="117"/>
      <c r="L16" s="190"/>
      <c r="M16" s="155"/>
    </row>
    <row r="17" spans="1:15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112"/>
      <c r="K17" s="118"/>
      <c r="L17" s="190"/>
      <c r="M17" s="159"/>
      <c r="N17" s="159"/>
    </row>
    <row r="18" spans="1:15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9">
        <f>-975-3576-25151+2412-26894</f>
        <v>-54184</v>
      </c>
      <c r="K18" s="115">
        <v>-100000</v>
      </c>
      <c r="L18" s="190">
        <v>-120000</v>
      </c>
      <c r="M18" s="155"/>
      <c r="N18" s="197"/>
      <c r="O18" s="55"/>
    </row>
    <row r="19" spans="1:15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9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</f>
        <v>-116912</v>
      </c>
      <c r="K19" s="115">
        <v>-130000</v>
      </c>
      <c r="L19" s="190">
        <v>-130000</v>
      </c>
      <c r="M19" s="157" t="s">
        <v>2267</v>
      </c>
      <c r="N19" s="197"/>
    </row>
    <row r="20" spans="1:15" ht="24.6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9">
        <f>-3760-1277-3685+3685-2253-17843-2444-4021-349-5145-111-368</f>
        <v>-37571</v>
      </c>
      <c r="K20" s="115">
        <v>-40000</v>
      </c>
      <c r="L20" s="190">
        <v>-20000</v>
      </c>
      <c r="M20" s="157" t="s">
        <v>1777</v>
      </c>
      <c r="N20" s="197"/>
    </row>
    <row r="21" spans="1:15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9">
        <f>-2100-1969-5000-500-15500</f>
        <v>-25069</v>
      </c>
      <c r="K21" s="115">
        <v>-30000</v>
      </c>
      <c r="L21" s="190">
        <v>-50000</v>
      </c>
      <c r="M21" s="155"/>
      <c r="N21" s="197"/>
    </row>
    <row r="22" spans="1:15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9">
        <f>-4000-5500-4000</f>
        <v>-13500</v>
      </c>
      <c r="K22" s="115">
        <v>-15000</v>
      </c>
      <c r="L22" s="190">
        <v>-15000</v>
      </c>
      <c r="M22" s="155"/>
      <c r="N22" s="197"/>
    </row>
    <row r="23" spans="1:15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9">
        <f>-480-480-600-595-1100-595-480-355-545-780-590-1045-650-395-395-635-545-425-605-670-610-670-605-775-575-635-790-808-395-550-545-395-395-395-245-435-245-760-850-635-395-425-245-605-605-835-605-605-775-395-575-612-873-245-395-395-490-820-425-245-345-395</f>
        <v>-34583</v>
      </c>
      <c r="K23" s="115">
        <v>-55000</v>
      </c>
      <c r="L23" s="190">
        <v>-55000</v>
      </c>
      <c r="M23" s="157" t="s">
        <v>2268</v>
      </c>
      <c r="N23" s="197"/>
    </row>
    <row r="24" spans="1:15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9">
        <v>0</v>
      </c>
      <c r="K24" s="115">
        <v>-4000</v>
      </c>
      <c r="L24" s="190">
        <v>-4000</v>
      </c>
      <c r="M24" s="155"/>
      <c r="N24" s="197"/>
    </row>
    <row r="25" spans="1:15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9">
        <f>-800-1200-1100-3350-1400-1000-2000-1000-1400-300-1200-1400-1800</f>
        <v>-17950</v>
      </c>
      <c r="K25" s="115">
        <v>-25000</v>
      </c>
      <c r="L25" s="190">
        <v>-25000</v>
      </c>
      <c r="M25" s="157"/>
      <c r="N25" s="197"/>
    </row>
    <row r="26" spans="1:15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9">
        <f>-1000-3000-6600-9700-4500-1900-1200</f>
        <v>-27900</v>
      </c>
      <c r="K26" s="115">
        <v>-30000</v>
      </c>
      <c r="L26" s="190">
        <v>-25000</v>
      </c>
      <c r="M26" s="157" t="s">
        <v>2266</v>
      </c>
      <c r="N26" s="197"/>
    </row>
    <row r="27" spans="1:15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9">
        <f>-4700</f>
        <v>-4700</v>
      </c>
      <c r="K27" s="115">
        <v>-15000</v>
      </c>
      <c r="L27" s="190">
        <v>-15000</v>
      </c>
      <c r="M27" s="155"/>
      <c r="N27" s="197"/>
    </row>
    <row r="28" spans="1:15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9">
        <v>0</v>
      </c>
      <c r="K28" s="115">
        <v>-25000</v>
      </c>
      <c r="L28" s="190">
        <v>-25000</v>
      </c>
      <c r="M28" s="157" t="s">
        <v>1605</v>
      </c>
      <c r="N28" s="197"/>
    </row>
    <row r="29" spans="1:15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9">
        <v>0</v>
      </c>
      <c r="K29" s="115">
        <v>0</v>
      </c>
      <c r="L29" s="190">
        <v>0</v>
      </c>
      <c r="M29" s="155"/>
    </row>
    <row r="30" spans="1:15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9">
        <f>-771-500</f>
        <v>-1271</v>
      </c>
      <c r="K30" s="115">
        <v>-2000</v>
      </c>
      <c r="L30" s="190">
        <v>-2000</v>
      </c>
      <c r="M30" s="155"/>
    </row>
    <row r="31" spans="1:15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9">
        <f>-268-800-800-800-800-800-800-800-800-800-800-800-800-800-800-800-800-800-264-800-800-28998-800-800-800-36777</f>
        <v>-83907</v>
      </c>
      <c r="K31" s="115">
        <v>-83907</v>
      </c>
      <c r="L31" s="190">
        <v>-100000</v>
      </c>
      <c r="M31" s="155"/>
      <c r="N31" s="197"/>
    </row>
    <row r="32" spans="1:15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9">
        <f>-160</f>
        <v>-160</v>
      </c>
      <c r="K32" s="115">
        <v>0</v>
      </c>
      <c r="L32" s="190">
        <v>0</v>
      </c>
      <c r="M32" s="155"/>
      <c r="N32" s="197"/>
    </row>
    <row r="33" spans="1:15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9">
        <f>140-1170-608-2080-341</f>
        <v>-4059</v>
      </c>
      <c r="K33" s="115">
        <v>-5000</v>
      </c>
      <c r="L33" s="190">
        <v>-5000</v>
      </c>
      <c r="M33" s="155"/>
      <c r="N33" s="197"/>
    </row>
    <row r="34" spans="1:15" x14ac:dyDescent="0.3">
      <c r="A34" s="7" t="s">
        <v>47</v>
      </c>
      <c r="B34" s="39">
        <f>SUM(B18:B33)</f>
        <v>-218877</v>
      </c>
      <c r="C34" s="39">
        <f t="shared" ref="C34:H34" si="1">SUM(C18:C33)</f>
        <v>-258934</v>
      </c>
      <c r="D34" s="39">
        <f t="shared" si="1"/>
        <v>-187844</v>
      </c>
      <c r="E34" s="39">
        <f t="shared" si="1"/>
        <v>-247088.42</v>
      </c>
      <c r="F34" s="39">
        <f t="shared" si="1"/>
        <v>-325572.77</v>
      </c>
      <c r="G34" s="39">
        <f t="shared" si="1"/>
        <v>-457445</v>
      </c>
      <c r="H34" s="39">
        <f t="shared" si="1"/>
        <v>-467066</v>
      </c>
      <c r="I34" s="39">
        <f>SUM(I18:I33)</f>
        <v>-618159</v>
      </c>
      <c r="J34" s="11">
        <f>SUM(J18:J33)</f>
        <v>-421766</v>
      </c>
      <c r="K34" s="116">
        <f>SUM(K18:K33)</f>
        <v>-559907</v>
      </c>
      <c r="L34" s="191">
        <f>SUM(L18:L33)</f>
        <v>-591000</v>
      </c>
      <c r="M34" s="205"/>
      <c r="N34" s="206"/>
    </row>
    <row r="35" spans="1:15" x14ac:dyDescent="0.3">
      <c r="A35" s="7"/>
      <c r="B35" s="41"/>
      <c r="C35" s="41"/>
      <c r="D35" s="41"/>
      <c r="E35" s="39"/>
      <c r="F35" s="39"/>
      <c r="G35" s="39"/>
      <c r="H35" s="39"/>
      <c r="I35" s="46"/>
      <c r="J35" s="113"/>
      <c r="K35" s="117"/>
      <c r="L35" s="191"/>
      <c r="M35" s="158"/>
      <c r="N35" s="207"/>
    </row>
    <row r="36" spans="1:15" s="13" customFormat="1" ht="38.25" customHeight="1" x14ac:dyDescent="0.3">
      <c r="A36" s="7" t="s">
        <v>48</v>
      </c>
      <c r="B36" s="39">
        <f t="shared" ref="B36:K36" si="2">+B34+B15</f>
        <v>-24674</v>
      </c>
      <c r="C36" s="39">
        <f t="shared" si="2"/>
        <v>86791</v>
      </c>
      <c r="D36" s="39">
        <f t="shared" si="2"/>
        <v>32713</v>
      </c>
      <c r="E36" s="39">
        <f t="shared" si="2"/>
        <v>-5009.1400000000431</v>
      </c>
      <c r="F36" s="39">
        <f t="shared" si="2"/>
        <v>-25959.489999999991</v>
      </c>
      <c r="G36" s="39">
        <f t="shared" si="2"/>
        <v>-167525</v>
      </c>
      <c r="H36" s="39">
        <f t="shared" si="2"/>
        <v>13685</v>
      </c>
      <c r="I36" s="12">
        <f t="shared" si="2"/>
        <v>10177</v>
      </c>
      <c r="J36" s="11">
        <f t="shared" si="2"/>
        <v>-19417</v>
      </c>
      <c r="K36" s="116">
        <f t="shared" si="2"/>
        <v>4193</v>
      </c>
      <c r="L36" s="191">
        <f>L15+L34</f>
        <v>9000</v>
      </c>
      <c r="M36" s="158"/>
      <c r="N36" s="207"/>
    </row>
    <row r="37" spans="1:15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1"/>
      <c r="K37" s="116"/>
      <c r="L37" s="191"/>
      <c r="M37" s="158"/>
      <c r="N37" s="207"/>
    </row>
    <row r="38" spans="1:15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1">
        <v>0</v>
      </c>
      <c r="K38" s="116">
        <v>0</v>
      </c>
      <c r="L38" s="191">
        <v>0</v>
      </c>
      <c r="M38" s="155"/>
      <c r="N38" s="206"/>
    </row>
    <row r="39" spans="1:15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1"/>
      <c r="K39" s="116"/>
      <c r="L39" s="210"/>
      <c r="M39" s="205"/>
      <c r="N39" s="206"/>
    </row>
    <row r="40" spans="1:15" s="13" customFormat="1" ht="16.2" thickBot="1" x14ac:dyDescent="0.35">
      <c r="A40" s="7" t="s">
        <v>88</v>
      </c>
      <c r="B40" s="39">
        <f t="shared" ref="B40:K40" si="3">+B38+B36</f>
        <v>-34674</v>
      </c>
      <c r="C40" s="39">
        <f t="shared" si="3"/>
        <v>76791</v>
      </c>
      <c r="D40" s="39">
        <f t="shared" si="3"/>
        <v>22713</v>
      </c>
      <c r="E40" s="39">
        <f t="shared" si="3"/>
        <v>-15009.140000000043</v>
      </c>
      <c r="F40" s="39">
        <f t="shared" si="3"/>
        <v>-35959.489999999991</v>
      </c>
      <c r="G40" s="39">
        <f t="shared" si="3"/>
        <v>-181974</v>
      </c>
      <c r="H40" s="39">
        <f t="shared" si="3"/>
        <v>13685</v>
      </c>
      <c r="I40" s="12">
        <f t="shared" si="3"/>
        <v>10177</v>
      </c>
      <c r="J40" s="154">
        <f t="shared" si="3"/>
        <v>-19417</v>
      </c>
      <c r="K40" s="33">
        <f t="shared" si="3"/>
        <v>4193</v>
      </c>
      <c r="L40" s="192">
        <f>+L38+L36</f>
        <v>9000</v>
      </c>
      <c r="M40" s="155"/>
      <c r="N40" s="208"/>
    </row>
    <row r="41" spans="1:15" s="13" customFormat="1" x14ac:dyDescent="0.3">
      <c r="A41" s="4"/>
      <c r="B41" s="4"/>
      <c r="C41" s="4"/>
      <c r="D41" s="4"/>
      <c r="E41" s="4"/>
      <c r="F41" s="4"/>
      <c r="G41" s="4"/>
      <c r="H41" s="4"/>
      <c r="K41" s="58"/>
      <c r="L41" s="58"/>
      <c r="M41" s="196"/>
      <c r="N41" s="155"/>
    </row>
    <row r="43" spans="1:15" x14ac:dyDescent="0.3">
      <c r="K43" s="99"/>
    </row>
    <row r="44" spans="1:15" x14ac:dyDescent="0.3">
      <c r="K44" s="222"/>
    </row>
    <row r="45" spans="1:15" x14ac:dyDescent="0.3">
      <c r="K45" s="207"/>
    </row>
    <row r="46" spans="1:15" x14ac:dyDescent="0.3">
      <c r="K46" s="222"/>
    </row>
    <row r="47" spans="1:15" s="4" customFormat="1" x14ac:dyDescent="0.3">
      <c r="K47" s="99"/>
      <c r="M47" s="196"/>
      <c r="N47" s="155"/>
      <c r="O47" s="1"/>
    </row>
    <row r="48" spans="1:15" s="4" customFormat="1" x14ac:dyDescent="0.3">
      <c r="K48" s="99"/>
      <c r="M48" s="196"/>
      <c r="N48" s="155"/>
      <c r="O48" s="1"/>
    </row>
    <row r="49" spans="11:15" s="4" customFormat="1" x14ac:dyDescent="0.3">
      <c r="K49" s="99"/>
      <c r="M49" s="196"/>
      <c r="N49" s="155"/>
      <c r="O49" s="1"/>
    </row>
    <row r="50" spans="11:15" s="4" customFormat="1" x14ac:dyDescent="0.3">
      <c r="K50" s="99"/>
      <c r="M50" s="196"/>
      <c r="N50" s="155"/>
      <c r="O50" s="1"/>
    </row>
    <row r="51" spans="11:15" x14ac:dyDescent="0.3">
      <c r="K51" s="99"/>
    </row>
    <row r="52" spans="11:15" x14ac:dyDescent="0.3">
      <c r="K52" s="223"/>
    </row>
  </sheetData>
  <mergeCells count="1">
    <mergeCell ref="E1:G1"/>
  </mergeCells>
  <pageMargins left="0.7" right="0.7" top="0.75" bottom="0.75" header="0.3" footer="0.3"/>
  <pageSetup paperSize="9" scale="62" orientation="landscape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  <pageSetUpPr fitToPage="1"/>
  </sheetPr>
  <dimension ref="A1:O52"/>
  <sheetViews>
    <sheetView zoomScale="90" zoomScaleNormal="90" workbookViewId="0">
      <pane xSplit="1" ySplit="3" topLeftCell="F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bestFit="1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0" width="16.44140625" style="1" customWidth="1"/>
    <col min="11" max="12" width="18.5546875" style="1" bestFit="1" customWidth="1"/>
    <col min="13" max="13" width="27" style="196" customWidth="1"/>
    <col min="14" max="14" width="12" style="155" customWidth="1"/>
    <col min="15" max="16384" width="9.109375" style="1"/>
  </cols>
  <sheetData>
    <row r="1" spans="1:14" ht="31.8" thickBot="1" x14ac:dyDescent="0.65">
      <c r="A1" s="211" t="s">
        <v>486</v>
      </c>
      <c r="C1" s="224"/>
      <c r="D1" s="224"/>
      <c r="E1" s="295" t="s">
        <v>487</v>
      </c>
      <c r="F1" s="295"/>
      <c r="G1" s="295"/>
    </row>
    <row r="2" spans="1:14" ht="16.2" thickBot="1" x14ac:dyDescent="0.35"/>
    <row r="3" spans="1:14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227">
        <v>2016</v>
      </c>
      <c r="K3" s="57" t="s">
        <v>809</v>
      </c>
      <c r="L3" s="44" t="s">
        <v>1591</v>
      </c>
      <c r="M3" s="156"/>
      <c r="N3" s="156"/>
    </row>
    <row r="4" spans="1:14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110">
        <v>42602</v>
      </c>
      <c r="K4" s="110">
        <v>42735</v>
      </c>
      <c r="L4" s="209"/>
      <c r="M4" s="156"/>
      <c r="N4" s="156"/>
    </row>
    <row r="5" spans="1:14" ht="16.2" thickBot="1" x14ac:dyDescent="0.35">
      <c r="A5" s="32" t="s">
        <v>19</v>
      </c>
      <c r="B5" s="10"/>
      <c r="C5" s="7"/>
      <c r="D5" s="7"/>
      <c r="I5" s="4"/>
      <c r="J5" s="111"/>
      <c r="K5" s="111"/>
      <c r="L5" s="8"/>
      <c r="M5" s="155"/>
    </row>
    <row r="6" spans="1:14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9">
        <f>52238+27694</f>
        <v>79932</v>
      </c>
      <c r="K6" s="115">
        <v>200000</v>
      </c>
      <c r="L6" s="190">
        <v>200000</v>
      </c>
      <c r="M6" s="217" t="s">
        <v>1601</v>
      </c>
    </row>
    <row r="7" spans="1:14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9">
        <f>10400+10800+8100+9200+9600+5400+4000+800+400+7500+10200+900+13200+7800-1200+800+400-400+400</f>
        <v>98300</v>
      </c>
      <c r="K7" s="115">
        <v>110000</v>
      </c>
      <c r="L7" s="190">
        <v>110000</v>
      </c>
      <c r="M7" s="217" t="s">
        <v>2148</v>
      </c>
    </row>
    <row r="8" spans="1:14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9">
        <f>650+3276+2520+29769+8260+395</f>
        <v>44870</v>
      </c>
      <c r="K8" s="115">
        <v>70000</v>
      </c>
      <c r="L8" s="190">
        <v>80000</v>
      </c>
      <c r="M8" s="155"/>
    </row>
    <row r="9" spans="1:14" ht="29.2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9">
        <f>5080+5080+5080+25240-25000+5080-5000</f>
        <v>15560</v>
      </c>
      <c r="K9" s="115">
        <v>25000</v>
      </c>
      <c r="L9" s="190">
        <v>35000</v>
      </c>
      <c r="M9" s="217" t="s">
        <v>1776</v>
      </c>
    </row>
    <row r="10" spans="1:14" ht="21.6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9">
        <f>30000+10650+24230+36000-24230+3000</f>
        <v>79650</v>
      </c>
      <c r="K10" s="115">
        <v>85000</v>
      </c>
      <c r="L10" s="190">
        <v>60000</v>
      </c>
      <c r="M10" s="217" t="s">
        <v>1864</v>
      </c>
    </row>
    <row r="11" spans="1:14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9">
        <f>81000</f>
        <v>81000</v>
      </c>
      <c r="K11" s="115">
        <v>81000</v>
      </c>
      <c r="L11" s="190">
        <v>100000</v>
      </c>
      <c r="M11" s="155"/>
    </row>
    <row r="12" spans="1:14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9">
        <f>5750-1743-1743</f>
        <v>2264</v>
      </c>
      <c r="K12" s="115">
        <v>3100</v>
      </c>
      <c r="L12" s="190">
        <v>0</v>
      </c>
      <c r="M12" s="155"/>
    </row>
    <row r="13" spans="1:14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9">
        <v>0</v>
      </c>
      <c r="K13" s="115">
        <v>0</v>
      </c>
      <c r="L13" s="190">
        <v>0</v>
      </c>
      <c r="M13" s="155"/>
    </row>
    <row r="14" spans="1:14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9">
        <f>2914+5838</f>
        <v>8752</v>
      </c>
      <c r="K14" s="115">
        <v>15000</v>
      </c>
      <c r="L14" s="190">
        <v>15000</v>
      </c>
      <c r="M14" s="155"/>
    </row>
    <row r="15" spans="1:14" x14ac:dyDescent="0.3">
      <c r="A15" s="7" t="s">
        <v>29</v>
      </c>
      <c r="B15" s="39">
        <f t="shared" ref="B15:L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11">
        <f t="shared" si="0"/>
        <v>410328</v>
      </c>
      <c r="K15" s="116">
        <f t="shared" si="0"/>
        <v>589100</v>
      </c>
      <c r="L15" s="191">
        <f t="shared" si="0"/>
        <v>600000</v>
      </c>
      <c r="M15" s="155"/>
    </row>
    <row r="16" spans="1:14" ht="16.2" thickBot="1" x14ac:dyDescent="0.35">
      <c r="B16" s="38"/>
      <c r="C16" s="40"/>
      <c r="D16" s="40"/>
      <c r="E16" s="38"/>
      <c r="F16" s="40"/>
      <c r="G16" s="40"/>
      <c r="H16" s="40"/>
      <c r="I16" s="40"/>
      <c r="J16" s="111"/>
      <c r="K16" s="117"/>
      <c r="L16" s="190"/>
      <c r="M16" s="155"/>
    </row>
    <row r="17" spans="1:15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112"/>
      <c r="K17" s="118"/>
      <c r="L17" s="190"/>
      <c r="M17" s="159"/>
      <c r="N17" s="159"/>
    </row>
    <row r="18" spans="1:15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9">
        <f>-975-3576-25151+2412-26894</f>
        <v>-54184</v>
      </c>
      <c r="K18" s="115">
        <v>-110000</v>
      </c>
      <c r="L18" s="190">
        <v>-120000</v>
      </c>
      <c r="M18" s="155"/>
      <c r="N18" s="197"/>
      <c r="O18" s="55"/>
    </row>
    <row r="19" spans="1:15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9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</f>
        <v>-114739</v>
      </c>
      <c r="K19" s="115">
        <v>-140000</v>
      </c>
      <c r="L19" s="190">
        <v>-130000</v>
      </c>
      <c r="M19" s="157" t="s">
        <v>2149</v>
      </c>
      <c r="N19" s="197"/>
    </row>
    <row r="20" spans="1:15" ht="24.6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9">
        <f>-3760-1277-3685+3685-2253-17843-2444-4021-349-5145-111</f>
        <v>-37203</v>
      </c>
      <c r="K20" s="115">
        <v>-40000</v>
      </c>
      <c r="L20" s="190">
        <v>-20000</v>
      </c>
      <c r="M20" s="157" t="s">
        <v>1777</v>
      </c>
      <c r="N20" s="197"/>
    </row>
    <row r="21" spans="1:15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9">
        <f>-2100-1969-5000-500</f>
        <v>-9569</v>
      </c>
      <c r="K21" s="115">
        <v>-30000</v>
      </c>
      <c r="L21" s="190">
        <v>-50000</v>
      </c>
      <c r="M21" s="155"/>
      <c r="N21" s="197"/>
    </row>
    <row r="22" spans="1:15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9">
        <f>-4000-5500</f>
        <v>-9500</v>
      </c>
      <c r="K22" s="115">
        <v>-15000</v>
      </c>
      <c r="L22" s="190">
        <v>-15000</v>
      </c>
      <c r="M22" s="155"/>
      <c r="N22" s="197"/>
    </row>
    <row r="23" spans="1:15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9">
        <f>-480-480-600-595-1100-595-480-355-545-780-590-1045-650-395-395-635-545-425-605-670-610-670-605-775-575-635-790-808-395-550-545-395-395-395-245-435-245-760-850-635-395-425-245-605-605-835-605-605-775-395-575-612-873</f>
        <v>-30828</v>
      </c>
      <c r="K23" s="115">
        <v>-55000</v>
      </c>
      <c r="L23" s="190">
        <v>-55000</v>
      </c>
      <c r="M23" s="157" t="s">
        <v>2172</v>
      </c>
      <c r="N23" s="197"/>
    </row>
    <row r="24" spans="1:15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9">
        <v>0</v>
      </c>
      <c r="K24" s="115">
        <v>-4000</v>
      </c>
      <c r="L24" s="190">
        <v>-4000</v>
      </c>
      <c r="M24" s="155"/>
      <c r="N24" s="197"/>
    </row>
    <row r="25" spans="1:15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9">
        <f>-800-1200-1100-3350-1400-1000-2000-1000-1400-300-1200-1400</f>
        <v>-16150</v>
      </c>
      <c r="K25" s="115">
        <v>-25000</v>
      </c>
      <c r="L25" s="190">
        <v>-25000</v>
      </c>
      <c r="M25" s="157"/>
      <c r="N25" s="197"/>
    </row>
    <row r="26" spans="1:15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9">
        <f>-1000-3000-6600-9700-4500-1900</f>
        <v>-26700</v>
      </c>
      <c r="K26" s="115">
        <v>-30000</v>
      </c>
      <c r="L26" s="190">
        <v>-25000</v>
      </c>
      <c r="M26" s="157" t="s">
        <v>2150</v>
      </c>
      <c r="N26" s="197"/>
    </row>
    <row r="27" spans="1:15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9">
        <f>-4700</f>
        <v>-4700</v>
      </c>
      <c r="K27" s="115">
        <v>-15000</v>
      </c>
      <c r="L27" s="190">
        <v>-15000</v>
      </c>
      <c r="M27" s="155"/>
      <c r="N27" s="197"/>
    </row>
    <row r="28" spans="1:15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9">
        <v>0</v>
      </c>
      <c r="K28" s="115">
        <v>-25000</v>
      </c>
      <c r="L28" s="190">
        <v>-25000</v>
      </c>
      <c r="M28" s="157" t="s">
        <v>1605</v>
      </c>
      <c r="N28" s="197"/>
    </row>
    <row r="29" spans="1:15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9">
        <v>0</v>
      </c>
      <c r="K29" s="115">
        <v>0</v>
      </c>
      <c r="L29" s="190">
        <v>0</v>
      </c>
      <c r="M29" s="155"/>
    </row>
    <row r="30" spans="1:15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9">
        <f>-771-500</f>
        <v>-1271</v>
      </c>
      <c r="K30" s="115">
        <v>-2000</v>
      </c>
      <c r="L30" s="190">
        <v>-2000</v>
      </c>
      <c r="M30" s="155"/>
    </row>
    <row r="31" spans="1:15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9">
        <f>-268-800-800-800-800-800-800-800-800-800-800-800-800-800-800-800-800-800-264-800-800-28998-800-800-800</f>
        <v>-47130</v>
      </c>
      <c r="K31" s="115">
        <v>-85000</v>
      </c>
      <c r="L31" s="190">
        <v>-100000</v>
      </c>
      <c r="M31" s="155"/>
      <c r="N31" s="197"/>
    </row>
    <row r="32" spans="1:15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9">
        <f>-160</f>
        <v>-160</v>
      </c>
      <c r="K32" s="115">
        <v>0</v>
      </c>
      <c r="L32" s="190">
        <v>0</v>
      </c>
      <c r="M32" s="155"/>
      <c r="N32" s="197"/>
    </row>
    <row r="33" spans="1:15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9">
        <f>140-1170-608-2080-341</f>
        <v>-4059</v>
      </c>
      <c r="K33" s="115">
        <v>-5000</v>
      </c>
      <c r="L33" s="190">
        <v>-5000</v>
      </c>
      <c r="M33" s="155"/>
      <c r="N33" s="197"/>
    </row>
    <row r="34" spans="1:15" x14ac:dyDescent="0.3">
      <c r="A34" s="7" t="s">
        <v>47</v>
      </c>
      <c r="B34" s="39">
        <f>SUM(B18:B33)</f>
        <v>-218877</v>
      </c>
      <c r="C34" s="39">
        <f t="shared" ref="C34:H34" si="1">SUM(C18:C33)</f>
        <v>-258934</v>
      </c>
      <c r="D34" s="39">
        <f t="shared" si="1"/>
        <v>-187844</v>
      </c>
      <c r="E34" s="39">
        <f t="shared" si="1"/>
        <v>-247088.42</v>
      </c>
      <c r="F34" s="39">
        <f t="shared" si="1"/>
        <v>-325572.77</v>
      </c>
      <c r="G34" s="39">
        <f t="shared" si="1"/>
        <v>-457445</v>
      </c>
      <c r="H34" s="39">
        <f t="shared" si="1"/>
        <v>-467066</v>
      </c>
      <c r="I34" s="39">
        <f>SUM(I18:I33)</f>
        <v>-618159</v>
      </c>
      <c r="J34" s="11">
        <f>SUM(J18:J33)</f>
        <v>-356193</v>
      </c>
      <c r="K34" s="116">
        <f>SUM(K18:K33)</f>
        <v>-581000</v>
      </c>
      <c r="L34" s="191">
        <f>SUM(L18:L33)</f>
        <v>-591000</v>
      </c>
      <c r="M34" s="205"/>
      <c r="N34" s="206"/>
    </row>
    <row r="35" spans="1:15" x14ac:dyDescent="0.3">
      <c r="A35" s="7"/>
      <c r="B35" s="41"/>
      <c r="C35" s="41"/>
      <c r="D35" s="41"/>
      <c r="E35" s="39"/>
      <c r="F35" s="39"/>
      <c r="G35" s="39"/>
      <c r="H35" s="39"/>
      <c r="I35" s="46"/>
      <c r="J35" s="113"/>
      <c r="K35" s="117"/>
      <c r="L35" s="191"/>
      <c r="M35" s="158"/>
      <c r="N35" s="207"/>
    </row>
    <row r="36" spans="1:15" s="13" customFormat="1" ht="38.25" customHeight="1" x14ac:dyDescent="0.3">
      <c r="A36" s="7" t="s">
        <v>48</v>
      </c>
      <c r="B36" s="39">
        <f t="shared" ref="B36:K36" si="2">+B34+B15</f>
        <v>-24674</v>
      </c>
      <c r="C36" s="39">
        <f t="shared" si="2"/>
        <v>86791</v>
      </c>
      <c r="D36" s="39">
        <f t="shared" si="2"/>
        <v>32713</v>
      </c>
      <c r="E36" s="39">
        <f t="shared" si="2"/>
        <v>-5009.1400000000431</v>
      </c>
      <c r="F36" s="39">
        <f t="shared" si="2"/>
        <v>-25959.489999999991</v>
      </c>
      <c r="G36" s="39">
        <f t="shared" si="2"/>
        <v>-167525</v>
      </c>
      <c r="H36" s="39">
        <f t="shared" si="2"/>
        <v>13685</v>
      </c>
      <c r="I36" s="12">
        <f t="shared" si="2"/>
        <v>10177</v>
      </c>
      <c r="J36" s="11">
        <f t="shared" si="2"/>
        <v>54135</v>
      </c>
      <c r="K36" s="116">
        <f t="shared" si="2"/>
        <v>8100</v>
      </c>
      <c r="L36" s="191">
        <f>L15+L34</f>
        <v>9000</v>
      </c>
      <c r="M36" s="158"/>
      <c r="N36" s="207"/>
    </row>
    <row r="37" spans="1:15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1"/>
      <c r="K37" s="116"/>
      <c r="L37" s="191"/>
      <c r="M37" s="158"/>
      <c r="N37" s="207"/>
    </row>
    <row r="38" spans="1:15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1">
        <v>0</v>
      </c>
      <c r="K38" s="116">
        <v>0</v>
      </c>
      <c r="L38" s="191">
        <v>0</v>
      </c>
      <c r="M38" s="155"/>
      <c r="N38" s="206"/>
    </row>
    <row r="39" spans="1:15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1"/>
      <c r="K39" s="116"/>
      <c r="L39" s="210"/>
      <c r="M39" s="205"/>
      <c r="N39" s="206"/>
    </row>
    <row r="40" spans="1:15" s="13" customFormat="1" ht="16.2" thickBot="1" x14ac:dyDescent="0.35">
      <c r="A40" s="7" t="s">
        <v>88</v>
      </c>
      <c r="B40" s="39">
        <f t="shared" ref="B40:K40" si="3">+B38+B36</f>
        <v>-34674</v>
      </c>
      <c r="C40" s="39">
        <f t="shared" si="3"/>
        <v>76791</v>
      </c>
      <c r="D40" s="39">
        <f t="shared" si="3"/>
        <v>22713</v>
      </c>
      <c r="E40" s="39">
        <f t="shared" si="3"/>
        <v>-15009.140000000043</v>
      </c>
      <c r="F40" s="39">
        <f t="shared" si="3"/>
        <v>-35959.489999999991</v>
      </c>
      <c r="G40" s="39">
        <f t="shared" si="3"/>
        <v>-181974</v>
      </c>
      <c r="H40" s="39">
        <f t="shared" si="3"/>
        <v>13685</v>
      </c>
      <c r="I40" s="12">
        <f t="shared" si="3"/>
        <v>10177</v>
      </c>
      <c r="J40" s="154">
        <f t="shared" si="3"/>
        <v>54135</v>
      </c>
      <c r="K40" s="33">
        <f t="shared" si="3"/>
        <v>8100</v>
      </c>
      <c r="L40" s="192">
        <f>+L38+L36</f>
        <v>9000</v>
      </c>
      <c r="M40" s="155"/>
      <c r="N40" s="208"/>
    </row>
    <row r="41" spans="1:15" s="13" customFormat="1" x14ac:dyDescent="0.3">
      <c r="A41" s="4"/>
      <c r="B41" s="4"/>
      <c r="C41" s="4"/>
      <c r="D41" s="4"/>
      <c r="E41" s="4"/>
      <c r="F41" s="4"/>
      <c r="G41" s="4"/>
      <c r="H41" s="4"/>
      <c r="K41" s="58"/>
      <c r="L41" s="58"/>
      <c r="M41" s="196"/>
      <c r="N41" s="155"/>
    </row>
    <row r="43" spans="1:15" x14ac:dyDescent="0.3">
      <c r="K43" s="99"/>
    </row>
    <row r="44" spans="1:15" x14ac:dyDescent="0.3">
      <c r="K44" s="222"/>
    </row>
    <row r="45" spans="1:15" x14ac:dyDescent="0.3">
      <c r="K45" s="207"/>
    </row>
    <row r="46" spans="1:15" x14ac:dyDescent="0.3">
      <c r="K46" s="222"/>
    </row>
    <row r="47" spans="1:15" s="4" customFormat="1" x14ac:dyDescent="0.3">
      <c r="K47" s="99"/>
      <c r="M47" s="196"/>
      <c r="N47" s="155"/>
      <c r="O47" s="1"/>
    </row>
    <row r="48" spans="1:15" s="4" customFormat="1" x14ac:dyDescent="0.3">
      <c r="K48" s="99"/>
      <c r="M48" s="196"/>
      <c r="N48" s="155"/>
      <c r="O48" s="1"/>
    </row>
    <row r="49" spans="11:15" s="4" customFormat="1" x14ac:dyDescent="0.3">
      <c r="K49" s="99"/>
      <c r="M49" s="196"/>
      <c r="N49" s="155"/>
      <c r="O49" s="1"/>
    </row>
    <row r="50" spans="11:15" s="4" customFormat="1" x14ac:dyDescent="0.3">
      <c r="K50" s="99"/>
      <c r="M50" s="196"/>
      <c r="N50" s="155"/>
      <c r="O50" s="1"/>
    </row>
    <row r="51" spans="11:15" x14ac:dyDescent="0.3">
      <c r="K51" s="99"/>
    </row>
    <row r="52" spans="11:15" x14ac:dyDescent="0.3">
      <c r="K52" s="223"/>
    </row>
  </sheetData>
  <mergeCells count="1">
    <mergeCell ref="E1:G1"/>
  </mergeCells>
  <pageMargins left="0.7" right="0.7" top="0.75" bottom="0.75" header="0.3" footer="0.3"/>
  <pageSetup paperSize="9" scale="62" orientation="landscape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  <pageSetUpPr fitToPage="1"/>
  </sheetPr>
  <dimension ref="A1:O51"/>
  <sheetViews>
    <sheetView zoomScale="90" zoomScaleNormal="90" workbookViewId="0">
      <pane xSplit="1" ySplit="3" topLeftCell="F4" activePane="bottomRight" state="frozen"/>
      <selection pane="topRight" activeCell="B1" sqref="B1"/>
      <selection pane="bottomLeft" activeCell="A4" sqref="A4"/>
      <selection pane="bottomRight" activeCell="J8" sqref="J8"/>
    </sheetView>
  </sheetViews>
  <sheetFormatPr defaultColWidth="9.109375" defaultRowHeight="15.6" x14ac:dyDescent="0.3"/>
  <cols>
    <col min="1" max="1" width="30.6640625" style="4" bestFit="1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0" width="16.44140625" style="1" customWidth="1"/>
    <col min="11" max="12" width="18.5546875" style="1" bestFit="1" customWidth="1"/>
    <col min="13" max="13" width="27" style="196" customWidth="1"/>
    <col min="14" max="14" width="12" style="155" customWidth="1"/>
    <col min="15" max="16384" width="9.109375" style="1"/>
  </cols>
  <sheetData>
    <row r="1" spans="1:14" ht="31.8" thickBot="1" x14ac:dyDescent="0.65">
      <c r="A1" s="211" t="s">
        <v>486</v>
      </c>
      <c r="C1" s="224"/>
      <c r="D1" s="224"/>
      <c r="E1" s="295" t="s">
        <v>487</v>
      </c>
      <c r="F1" s="295"/>
      <c r="G1" s="295"/>
    </row>
    <row r="2" spans="1:14" ht="16.2" thickBot="1" x14ac:dyDescent="0.35"/>
    <row r="3" spans="1:14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227">
        <v>2016</v>
      </c>
      <c r="K3" s="57" t="s">
        <v>809</v>
      </c>
      <c r="L3" s="44" t="s">
        <v>1591</v>
      </c>
      <c r="M3" s="156"/>
      <c r="N3" s="156"/>
    </row>
    <row r="4" spans="1:14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110">
        <v>42531</v>
      </c>
      <c r="K4" s="110">
        <v>42735</v>
      </c>
      <c r="L4" s="209"/>
      <c r="M4" s="156"/>
      <c r="N4" s="156"/>
    </row>
    <row r="5" spans="1:14" ht="16.2" thickBot="1" x14ac:dyDescent="0.35">
      <c r="A5" s="32" t="s">
        <v>19</v>
      </c>
      <c r="B5" s="10"/>
      <c r="C5" s="7"/>
      <c r="D5" s="7"/>
      <c r="I5" s="4"/>
      <c r="J5" s="111"/>
      <c r="K5" s="111"/>
      <c r="L5" s="8"/>
      <c r="M5" s="155"/>
    </row>
    <row r="6" spans="1:14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9">
        <f>52238+27694</f>
        <v>79932</v>
      </c>
      <c r="K6" s="115">
        <v>200000</v>
      </c>
      <c r="L6" s="190">
        <v>200000</v>
      </c>
      <c r="M6" s="217" t="s">
        <v>1601</v>
      </c>
    </row>
    <row r="7" spans="1:14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9">
        <f>10400+10800+8100+9200+9600+5400+4000+800+400+7500+10200+900+13200+7800</f>
        <v>98300</v>
      </c>
      <c r="K7" s="115">
        <v>110000</v>
      </c>
      <c r="L7" s="190">
        <v>110000</v>
      </c>
      <c r="M7" s="217" t="s">
        <v>1863</v>
      </c>
    </row>
    <row r="8" spans="1:14" x14ac:dyDescent="0.3">
      <c r="A8" s="4" t="s">
        <v>1488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9">
        <f>650+3276+2520</f>
        <v>6446</v>
      </c>
      <c r="K8" s="115">
        <v>70000</v>
      </c>
      <c r="L8" s="190">
        <v>80000</v>
      </c>
      <c r="M8" s="155"/>
    </row>
    <row r="9" spans="1:14" ht="29.2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9">
        <f>5080+5080+5080+25240-25000</f>
        <v>15480</v>
      </c>
      <c r="K9" s="115">
        <v>25000</v>
      </c>
      <c r="L9" s="190">
        <v>35000</v>
      </c>
      <c r="M9" s="217" t="s">
        <v>1776</v>
      </c>
    </row>
    <row r="10" spans="1:14" ht="21.6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9">
        <f>30000+10650+24230+36000-24230+3000</f>
        <v>79650</v>
      </c>
      <c r="K10" s="115">
        <v>85000</v>
      </c>
      <c r="L10" s="190">
        <v>60000</v>
      </c>
      <c r="M10" s="217" t="s">
        <v>1864</v>
      </c>
    </row>
    <row r="11" spans="1:14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9">
        <v>0</v>
      </c>
      <c r="K11" s="115">
        <v>80000</v>
      </c>
      <c r="L11" s="190">
        <v>100000</v>
      </c>
      <c r="M11" s="155"/>
    </row>
    <row r="12" spans="1:14" x14ac:dyDescent="0.3">
      <c r="A12" s="4" t="s">
        <v>27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1824.88</v>
      </c>
      <c r="G12" s="38">
        <v>514</v>
      </c>
      <c r="H12" s="38">
        <v>101</v>
      </c>
      <c r="I12" s="38">
        <v>13</v>
      </c>
      <c r="J12" s="9">
        <v>0</v>
      </c>
      <c r="K12" s="115">
        <v>0</v>
      </c>
      <c r="L12" s="190">
        <v>0</v>
      </c>
      <c r="M12" s="155"/>
    </row>
    <row r="13" spans="1:14" x14ac:dyDescent="0.3">
      <c r="A13" s="4" t="s">
        <v>490</v>
      </c>
      <c r="B13" s="38">
        <f>3455+2000</f>
        <v>5455</v>
      </c>
      <c r="C13" s="38">
        <f>400+10000+12000</f>
        <v>22400</v>
      </c>
      <c r="D13" s="38">
        <v>4112</v>
      </c>
      <c r="E13" s="38">
        <f>4135+5600</f>
        <v>9735</v>
      </c>
      <c r="F13" s="38">
        <f>1987+4050</f>
        <v>6037</v>
      </c>
      <c r="G13" s="38">
        <v>1630</v>
      </c>
      <c r="H13" s="38">
        <v>16554</v>
      </c>
      <c r="I13" s="38">
        <f>28269-19125+4390+6756</f>
        <v>20290</v>
      </c>
      <c r="J13" s="9">
        <f>2914+5838</f>
        <v>8752</v>
      </c>
      <c r="K13" s="115">
        <v>15000</v>
      </c>
      <c r="L13" s="190">
        <v>15000</v>
      </c>
      <c r="M13" s="155"/>
    </row>
    <row r="14" spans="1:14" x14ac:dyDescent="0.3">
      <c r="A14" s="7" t="s">
        <v>29</v>
      </c>
      <c r="B14" s="39">
        <f t="shared" ref="B14:L14" si="0">SUM(B6:B13)</f>
        <v>191729</v>
      </c>
      <c r="C14" s="39">
        <f t="shared" si="0"/>
        <v>345486</v>
      </c>
      <c r="D14" s="39">
        <f t="shared" si="0"/>
        <v>220107</v>
      </c>
      <c r="E14" s="39">
        <f t="shared" si="0"/>
        <v>239608.28999999998</v>
      </c>
      <c r="F14" s="39">
        <f t="shared" si="0"/>
        <v>299613.28000000003</v>
      </c>
      <c r="G14" s="39">
        <f t="shared" si="0"/>
        <v>289920</v>
      </c>
      <c r="H14" s="39">
        <f t="shared" si="0"/>
        <v>480751</v>
      </c>
      <c r="I14" s="39">
        <f>SUM(I6:I13)</f>
        <v>628336</v>
      </c>
      <c r="J14" s="11">
        <f t="shared" si="0"/>
        <v>288560</v>
      </c>
      <c r="K14" s="116">
        <f t="shared" si="0"/>
        <v>585000</v>
      </c>
      <c r="L14" s="191">
        <f t="shared" si="0"/>
        <v>600000</v>
      </c>
      <c r="M14" s="155"/>
    </row>
    <row r="15" spans="1:14" ht="16.2" thickBot="1" x14ac:dyDescent="0.35">
      <c r="B15" s="38"/>
      <c r="C15" s="40"/>
      <c r="D15" s="40"/>
      <c r="E15" s="38"/>
      <c r="F15" s="40"/>
      <c r="G15" s="40"/>
      <c r="H15" s="40"/>
      <c r="I15" s="40"/>
      <c r="J15" s="111"/>
      <c r="K15" s="117"/>
      <c r="L15" s="190"/>
      <c r="M15" s="155"/>
    </row>
    <row r="16" spans="1:14" s="13" customFormat="1" ht="16.2" thickBot="1" x14ac:dyDescent="0.35">
      <c r="A16" s="32" t="s">
        <v>30</v>
      </c>
      <c r="B16" s="38"/>
      <c r="C16" s="41"/>
      <c r="D16" s="41"/>
      <c r="E16" s="38"/>
      <c r="F16" s="41"/>
      <c r="G16" s="41"/>
      <c r="H16" s="41"/>
      <c r="I16" s="41"/>
      <c r="J16" s="112"/>
      <c r="K16" s="118"/>
      <c r="L16" s="190"/>
      <c r="M16" s="159"/>
      <c r="N16" s="159"/>
    </row>
    <row r="17" spans="1:15" x14ac:dyDescent="0.3">
      <c r="A17" s="4" t="s">
        <v>45</v>
      </c>
      <c r="B17" s="38">
        <v>-32646</v>
      </c>
      <c r="C17" s="38">
        <v>-42437</v>
      </c>
      <c r="D17" s="38">
        <v>-26923</v>
      </c>
      <c r="E17" s="38">
        <v>-32572</v>
      </c>
      <c r="F17" s="38">
        <v>-50743</v>
      </c>
      <c r="G17" s="38">
        <v>-52811</v>
      </c>
      <c r="H17" s="38">
        <v>-126816</v>
      </c>
      <c r="I17" s="38">
        <f>-953-23023-1120-3576-498-29220-3576-3576-48894</f>
        <v>-114436</v>
      </c>
      <c r="J17" s="9">
        <f>-975-3576-25151+2412-26894</f>
        <v>-54184</v>
      </c>
      <c r="K17" s="115">
        <v>-110000</v>
      </c>
      <c r="L17" s="190">
        <v>-120000</v>
      </c>
      <c r="M17" s="155"/>
      <c r="N17" s="197"/>
      <c r="O17" s="55"/>
    </row>
    <row r="18" spans="1:15" ht="24.6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9">
        <f>-321-213-89-336-209-438+7365-1439-247+10016-7365-8271+754+10000-415-9845-23189-828-826-12824-3000-10016-2556-2581-177-1193-13470-1422-7998-754-7066-3790-4747-1383+957+2556-5000-29-758+22672-638-21723-949+9486-378-758-425-149-111-9486+758-404-735+16189</f>
        <v>-87798</v>
      </c>
      <c r="K18" s="115">
        <v>-140000</v>
      </c>
      <c r="L18" s="190">
        <v>-130000</v>
      </c>
      <c r="M18" s="157" t="s">
        <v>1779</v>
      </c>
      <c r="N18" s="197"/>
    </row>
    <row r="19" spans="1:15" ht="24.6" x14ac:dyDescent="0.3">
      <c r="A19" s="4" t="s">
        <v>508</v>
      </c>
      <c r="B19" s="38">
        <v>-11755</v>
      </c>
      <c r="C19" s="38">
        <v>-20024</v>
      </c>
      <c r="D19" s="38">
        <v>-13297</v>
      </c>
      <c r="E19" s="38">
        <v>-14853.42</v>
      </c>
      <c r="F19" s="38">
        <v>-18717</v>
      </c>
      <c r="G19" s="38">
        <v>-4027</v>
      </c>
      <c r="H19" s="38">
        <v>-20624</v>
      </c>
      <c r="I19" s="38">
        <f>-3208-5440+2557-5729-1907+1985-874-1767-2130-3432-789-9120-114-867-1407-1435-38-5807-8282</f>
        <v>-47804</v>
      </c>
      <c r="J19" s="9">
        <f>-3760-1277-3685+3685-2253-17843-2444-4021-349</f>
        <v>-31947</v>
      </c>
      <c r="K19" s="115">
        <v>-40000</v>
      </c>
      <c r="L19" s="190">
        <v>-20000</v>
      </c>
      <c r="M19" s="157" t="s">
        <v>1777</v>
      </c>
      <c r="N19" s="197"/>
    </row>
    <row r="20" spans="1:15" x14ac:dyDescent="0.3">
      <c r="A20" s="4" t="s">
        <v>1633</v>
      </c>
      <c r="B20" s="38">
        <v>-4800</v>
      </c>
      <c r="C20" s="38">
        <v>-3398</v>
      </c>
      <c r="D20" s="38">
        <v>0</v>
      </c>
      <c r="E20" s="38">
        <v>-7138</v>
      </c>
      <c r="F20" s="38">
        <v>-3450</v>
      </c>
      <c r="G20" s="38">
        <v>-8100</v>
      </c>
      <c r="H20" s="38">
        <v>-6790</v>
      </c>
      <c r="I20" s="38">
        <f>-2940-7000-2500-2800-185+23111-23111-31150-1700-495-1000</f>
        <v>-49770</v>
      </c>
      <c r="J20" s="9">
        <f>-2100-1969-5000</f>
        <v>-9069</v>
      </c>
      <c r="K20" s="115">
        <v>-30000</v>
      </c>
      <c r="L20" s="190">
        <v>-50000</v>
      </c>
      <c r="M20" s="155"/>
      <c r="N20" s="197"/>
    </row>
    <row r="21" spans="1:15" x14ac:dyDescent="0.3">
      <c r="A21" s="4" t="s">
        <v>940</v>
      </c>
      <c r="B21" s="38">
        <v>0</v>
      </c>
      <c r="C21" s="38">
        <v>-1700</v>
      </c>
      <c r="D21" s="38">
        <v>0</v>
      </c>
      <c r="E21" s="38">
        <v>-3400</v>
      </c>
      <c r="F21" s="38">
        <v>-3900</v>
      </c>
      <c r="G21" s="38">
        <v>-4550</v>
      </c>
      <c r="H21" s="38">
        <v>-7520</v>
      </c>
      <c r="I21" s="38">
        <f>-4500-4000-682-4000-1110</f>
        <v>-14292</v>
      </c>
      <c r="J21" s="9">
        <f>-4000</f>
        <v>-4000</v>
      </c>
      <c r="K21" s="115">
        <v>-15000</v>
      </c>
      <c r="L21" s="190">
        <v>-15000</v>
      </c>
      <c r="M21" s="155"/>
      <c r="N21" s="197"/>
    </row>
    <row r="22" spans="1:15" ht="24.6" x14ac:dyDescent="0.3">
      <c r="A22" s="4" t="s">
        <v>39</v>
      </c>
      <c r="B22" s="38">
        <v>-18016</v>
      </c>
      <c r="C22" s="38">
        <v>-18105</v>
      </c>
      <c r="D22" s="38">
        <v>-14387</v>
      </c>
      <c r="E22" s="38">
        <v>-7915</v>
      </c>
      <c r="F22" s="38">
        <v>-13828</v>
      </c>
      <c r="G22" s="38">
        <v>-24118</v>
      </c>
      <c r="H22" s="38">
        <v>-30770</v>
      </c>
      <c r="I22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2" s="9">
        <f>-480-480-600-595-1100-595-480-355-545-780-590-1045-650-395-395-635-545-425-605-670-610-670-605-775-575-635-790-808-395-550-545-395-395-395-245-435-245-760-850-635-395-425-245-605-605-835</f>
        <v>-26388</v>
      </c>
      <c r="K22" s="115">
        <v>-55000</v>
      </c>
      <c r="L22" s="190">
        <v>-55000</v>
      </c>
      <c r="M22" s="157" t="s">
        <v>1780</v>
      </c>
      <c r="N22" s="197"/>
    </row>
    <row r="23" spans="1:15" x14ac:dyDescent="0.3">
      <c r="A23" s="4" t="s">
        <v>40</v>
      </c>
      <c r="B23" s="38">
        <v>0</v>
      </c>
      <c r="C23" s="38">
        <v>-850</v>
      </c>
      <c r="D23" s="38">
        <v>-625</v>
      </c>
      <c r="E23" s="38">
        <v>-8200</v>
      </c>
      <c r="F23" s="38">
        <v>0</v>
      </c>
      <c r="G23" s="38">
        <v>0</v>
      </c>
      <c r="H23" s="38">
        <v>-2100</v>
      </c>
      <c r="I23" s="38">
        <f>-3950</f>
        <v>-3950</v>
      </c>
      <c r="J23" s="9">
        <v>0</v>
      </c>
      <c r="K23" s="115">
        <v>-4000</v>
      </c>
      <c r="L23" s="190">
        <v>-4000</v>
      </c>
      <c r="M23" s="155"/>
      <c r="N23" s="197"/>
    </row>
    <row r="24" spans="1:15" x14ac:dyDescent="0.3">
      <c r="A24" s="4" t="s">
        <v>36</v>
      </c>
      <c r="B24" s="38">
        <v>-5000</v>
      </c>
      <c r="C24" s="38">
        <v>-350</v>
      </c>
      <c r="D24" s="38">
        <v>0</v>
      </c>
      <c r="E24" s="38">
        <v>-3550</v>
      </c>
      <c r="F24" s="38">
        <v>-10190</v>
      </c>
      <c r="G24" s="38">
        <v>-27295</v>
      </c>
      <c r="H24" s="38">
        <v>-13550</v>
      </c>
      <c r="I24" s="38">
        <f>-1400-1400-2700-3000-1500-1200-1400-1000-1200-1300-1500-800-1200-1400-1400-1190</f>
        <v>-23590</v>
      </c>
      <c r="J24" s="9">
        <f>-800-1200-1100-3350-1400-1000-2000-1000-1400-300-1200</f>
        <v>-14750</v>
      </c>
      <c r="K24" s="115">
        <v>-25000</v>
      </c>
      <c r="L24" s="190">
        <v>-25000</v>
      </c>
      <c r="M24" s="157"/>
      <c r="N24" s="197"/>
    </row>
    <row r="25" spans="1:15" ht="24.6" x14ac:dyDescent="0.3">
      <c r="A25" s="4" t="s">
        <v>154</v>
      </c>
      <c r="B25" s="38">
        <v>-19050</v>
      </c>
      <c r="C25" s="38">
        <f>-13250-1750</f>
        <v>-15000</v>
      </c>
      <c r="D25" s="38">
        <v>-19650</v>
      </c>
      <c r="E25" s="38">
        <v>-15750</v>
      </c>
      <c r="F25" s="38">
        <v>-21750</v>
      </c>
      <c r="G25" s="38">
        <v>-30300</v>
      </c>
      <c r="H25" s="38">
        <v>-23520</v>
      </c>
      <c r="I25" s="38">
        <f>950+4008-3900-500-15200+1000-500-1000-2000+1000-250-7000-600-7500</f>
        <v>-31492</v>
      </c>
      <c r="J25" s="9">
        <f>-1000-3000-6600-9700-4500</f>
        <v>-24800</v>
      </c>
      <c r="K25" s="115">
        <v>-30000</v>
      </c>
      <c r="L25" s="190">
        <v>-25000</v>
      </c>
      <c r="M25" s="157" t="s">
        <v>1781</v>
      </c>
      <c r="N25" s="197"/>
    </row>
    <row r="26" spans="1:15" x14ac:dyDescent="0.3">
      <c r="A26" s="4" t="s">
        <v>43</v>
      </c>
      <c r="B26" s="38">
        <v>-14470</v>
      </c>
      <c r="C26" s="38">
        <v>-10300</v>
      </c>
      <c r="D26" s="38">
        <v>-4860</v>
      </c>
      <c r="E26" s="38">
        <v>0</v>
      </c>
      <c r="F26" s="38">
        <v>-18405</v>
      </c>
      <c r="G26" s="38">
        <v>-10950</v>
      </c>
      <c r="H26" s="38">
        <v>-9515</v>
      </c>
      <c r="I26" s="38">
        <f>-300-8900+850-1250-3500</f>
        <v>-13100</v>
      </c>
      <c r="J26" s="9">
        <f>-4700</f>
        <v>-4700</v>
      </c>
      <c r="K26" s="115">
        <v>-15000</v>
      </c>
      <c r="L26" s="190">
        <v>-15000</v>
      </c>
      <c r="M26" s="155"/>
      <c r="N26" s="197"/>
    </row>
    <row r="27" spans="1:15" x14ac:dyDescent="0.3">
      <c r="A27" s="4" t="s">
        <v>44</v>
      </c>
      <c r="B27" s="38">
        <v>-25000</v>
      </c>
      <c r="C27" s="38">
        <v>-15000</v>
      </c>
      <c r="D27" s="38">
        <v>-17500</v>
      </c>
      <c r="E27" s="38">
        <v>-30416</v>
      </c>
      <c r="F27" s="38">
        <v>-16000</v>
      </c>
      <c r="G27" s="38">
        <v>-34000</v>
      </c>
      <c r="H27" s="38">
        <v>-27000</v>
      </c>
      <c r="I27" s="38">
        <f>-12500-1000-2000-5000-3000</f>
        <v>-23500</v>
      </c>
      <c r="J27" s="9">
        <v>0</v>
      </c>
      <c r="K27" s="115">
        <v>-25000</v>
      </c>
      <c r="L27" s="190">
        <v>-25000</v>
      </c>
      <c r="M27" s="157" t="s">
        <v>1605</v>
      </c>
      <c r="N27" s="197"/>
    </row>
    <row r="28" spans="1:15" x14ac:dyDescent="0.3">
      <c r="A28" s="4" t="s">
        <v>56</v>
      </c>
      <c r="B28" s="38">
        <v>-4459</v>
      </c>
      <c r="C28" s="38">
        <v>-12173</v>
      </c>
      <c r="D28" s="38">
        <v>0</v>
      </c>
      <c r="E28" s="38">
        <v>-180</v>
      </c>
      <c r="F28" s="38">
        <v>-1887</v>
      </c>
      <c r="G28" s="38">
        <v>0</v>
      </c>
      <c r="H28" s="38">
        <v>0</v>
      </c>
      <c r="I28" s="38">
        <v>0</v>
      </c>
      <c r="J28" s="9">
        <v>0</v>
      </c>
      <c r="K28" s="115">
        <v>0</v>
      </c>
      <c r="L28" s="190">
        <v>0</v>
      </c>
      <c r="M28" s="155"/>
    </row>
    <row r="29" spans="1:15" x14ac:dyDescent="0.3">
      <c r="A29" s="4" t="s">
        <v>32</v>
      </c>
      <c r="B29" s="38">
        <f>-2650-3100-1600</f>
        <v>-7350</v>
      </c>
      <c r="C29" s="38">
        <f>-250-2500-1842</f>
        <v>-4592</v>
      </c>
      <c r="D29" s="38">
        <f>-250-4500-1899</f>
        <v>-6649</v>
      </c>
      <c r="E29" s="38">
        <v>-6338</v>
      </c>
      <c r="F29" s="38">
        <v>-6643</v>
      </c>
      <c r="G29" s="38">
        <v>-3530</v>
      </c>
      <c r="H29" s="38">
        <v>-1024</v>
      </c>
      <c r="I29" s="38">
        <f>-774-250</f>
        <v>-1024</v>
      </c>
      <c r="J29" s="9">
        <f>-771-500</f>
        <v>-1271</v>
      </c>
      <c r="K29" s="115">
        <v>-2000</v>
      </c>
      <c r="L29" s="190">
        <v>-2000</v>
      </c>
      <c r="M29" s="155"/>
    </row>
    <row r="30" spans="1:15" x14ac:dyDescent="0.3">
      <c r="A30" s="4" t="s">
        <v>491</v>
      </c>
      <c r="B30" s="38">
        <v>0</v>
      </c>
      <c r="C30" s="38">
        <f>-75994-6425</f>
        <v>-82419</v>
      </c>
      <c r="D30" s="38">
        <f>-29362-12800</f>
        <v>-42162</v>
      </c>
      <c r="E30" s="38">
        <v>0</v>
      </c>
      <c r="F30" s="38">
        <v>0</v>
      </c>
      <c r="G30" s="38">
        <v>-102305</v>
      </c>
      <c r="H30" s="38">
        <v>-94393</v>
      </c>
      <c r="I30" s="38">
        <f>-1824-(23*800)-34400-1130-45448</f>
        <v>-101202</v>
      </c>
      <c r="J30" s="9">
        <v>0</v>
      </c>
      <c r="K30" s="115">
        <v>-100000</v>
      </c>
      <c r="L30" s="190">
        <v>-100000</v>
      </c>
      <c r="M30" s="155"/>
      <c r="N30" s="197"/>
    </row>
    <row r="31" spans="1:15" x14ac:dyDescent="0.3">
      <c r="A31" s="4" t="s">
        <v>33</v>
      </c>
      <c r="B31" s="38">
        <v>0</v>
      </c>
      <c r="C31" s="38">
        <v>0</v>
      </c>
      <c r="D31" s="38">
        <v>0</v>
      </c>
      <c r="E31" s="38">
        <v>-741</v>
      </c>
      <c r="F31" s="38">
        <v>-547</v>
      </c>
      <c r="G31" s="38">
        <v>-154</v>
      </c>
      <c r="H31" s="38">
        <v>-510</v>
      </c>
      <c r="I31" s="38">
        <v>0</v>
      </c>
      <c r="J31" s="9">
        <f>-160</f>
        <v>-160</v>
      </c>
      <c r="K31" s="115">
        <v>0</v>
      </c>
      <c r="L31" s="190">
        <v>0</v>
      </c>
      <c r="M31" s="155"/>
      <c r="N31" s="197"/>
    </row>
    <row r="32" spans="1:15" x14ac:dyDescent="0.3">
      <c r="A32" s="4" t="s">
        <v>493</v>
      </c>
      <c r="B32" s="38">
        <f>-635-7900</f>
        <v>-8535</v>
      </c>
      <c r="C32" s="38">
        <f>-1500-935-3800-2859-81</f>
        <v>-9175</v>
      </c>
      <c r="D32" s="38">
        <f>-755-1100</f>
        <v>-1855</v>
      </c>
      <c r="E32" s="38">
        <f>-2424-5850</f>
        <v>-8274</v>
      </c>
      <c r="F32" s="38">
        <v>-4637.7700000000004</v>
      </c>
      <c r="G32" s="38">
        <f>-2261-14329</f>
        <v>-16590</v>
      </c>
      <c r="H32" s="38">
        <v>-8129</v>
      </c>
      <c r="I32" s="38">
        <f>-469-740+140+140-4815-234</f>
        <v>-5978</v>
      </c>
      <c r="J32" s="9">
        <f>140-1170-608-2080</f>
        <v>-3718</v>
      </c>
      <c r="K32" s="115">
        <v>-5000</v>
      </c>
      <c r="L32" s="190">
        <v>-5000</v>
      </c>
      <c r="M32" s="155"/>
      <c r="N32" s="197"/>
    </row>
    <row r="33" spans="1:15" x14ac:dyDescent="0.3">
      <c r="A33" s="7" t="s">
        <v>47</v>
      </c>
      <c r="B33" s="39">
        <f>SUM(B17:B32)</f>
        <v>-218877</v>
      </c>
      <c r="C33" s="39">
        <f t="shared" ref="C33:H33" si="1">SUM(C17:C32)</f>
        <v>-258934</v>
      </c>
      <c r="D33" s="39">
        <f t="shared" si="1"/>
        <v>-187844</v>
      </c>
      <c r="E33" s="39">
        <f t="shared" si="1"/>
        <v>-247088.42</v>
      </c>
      <c r="F33" s="39">
        <f t="shared" si="1"/>
        <v>-325572.77</v>
      </c>
      <c r="G33" s="39">
        <f t="shared" si="1"/>
        <v>-457445</v>
      </c>
      <c r="H33" s="39">
        <f t="shared" si="1"/>
        <v>-467066</v>
      </c>
      <c r="I33" s="39">
        <f>SUM(I17:I32)</f>
        <v>-618159</v>
      </c>
      <c r="J33" s="11">
        <f>SUM(J17:J32)</f>
        <v>-262785</v>
      </c>
      <c r="K33" s="116">
        <f>SUM(K17:K32)</f>
        <v>-596000</v>
      </c>
      <c r="L33" s="191">
        <f>SUM(L17:L32)</f>
        <v>-591000</v>
      </c>
      <c r="M33" s="205"/>
      <c r="N33" s="206"/>
    </row>
    <row r="34" spans="1:15" x14ac:dyDescent="0.3">
      <c r="A34" s="7"/>
      <c r="B34" s="41"/>
      <c r="C34" s="41"/>
      <c r="D34" s="41"/>
      <c r="E34" s="39"/>
      <c r="F34" s="39"/>
      <c r="G34" s="39"/>
      <c r="H34" s="39"/>
      <c r="I34" s="46"/>
      <c r="J34" s="113"/>
      <c r="K34" s="117"/>
      <c r="L34" s="191"/>
      <c r="M34" s="158"/>
      <c r="N34" s="207"/>
    </row>
    <row r="35" spans="1:15" s="13" customFormat="1" ht="38.25" customHeight="1" x14ac:dyDescent="0.3">
      <c r="A35" s="7" t="s">
        <v>48</v>
      </c>
      <c r="B35" s="39">
        <f t="shared" ref="B35:K35" si="2">+B33+B14</f>
        <v>-27148</v>
      </c>
      <c r="C35" s="39">
        <f t="shared" si="2"/>
        <v>86552</v>
      </c>
      <c r="D35" s="39">
        <f t="shared" si="2"/>
        <v>32263</v>
      </c>
      <c r="E35" s="39">
        <f t="shared" si="2"/>
        <v>-7480.1300000000338</v>
      </c>
      <c r="F35" s="39">
        <f t="shared" si="2"/>
        <v>-25959.489999999991</v>
      </c>
      <c r="G35" s="39">
        <f t="shared" si="2"/>
        <v>-167525</v>
      </c>
      <c r="H35" s="39">
        <f t="shared" si="2"/>
        <v>13685</v>
      </c>
      <c r="I35" s="12">
        <f t="shared" si="2"/>
        <v>10177</v>
      </c>
      <c r="J35" s="11">
        <f t="shared" si="2"/>
        <v>25775</v>
      </c>
      <c r="K35" s="116">
        <f t="shared" si="2"/>
        <v>-11000</v>
      </c>
      <c r="L35" s="191">
        <f>L14+L33</f>
        <v>9000</v>
      </c>
      <c r="M35" s="158"/>
      <c r="N35" s="207"/>
    </row>
    <row r="36" spans="1:15" s="13" customFormat="1" x14ac:dyDescent="0.3">
      <c r="A36" s="7"/>
      <c r="B36" s="41"/>
      <c r="C36" s="41"/>
      <c r="D36" s="41"/>
      <c r="E36" s="39"/>
      <c r="F36" s="39"/>
      <c r="G36" s="39"/>
      <c r="H36" s="39"/>
      <c r="I36" s="12"/>
      <c r="J36" s="11"/>
      <c r="K36" s="116"/>
      <c r="L36" s="191"/>
      <c r="M36" s="158"/>
      <c r="N36" s="207"/>
    </row>
    <row r="37" spans="1:15" s="13" customFormat="1" x14ac:dyDescent="0.3">
      <c r="A37" s="7" t="s">
        <v>1530</v>
      </c>
      <c r="B37" s="39">
        <v>-10000</v>
      </c>
      <c r="C37" s="39">
        <v>-10000</v>
      </c>
      <c r="D37" s="39">
        <v>-10000</v>
      </c>
      <c r="E37" s="39">
        <v>-10000</v>
      </c>
      <c r="F37" s="39">
        <v>-10000</v>
      </c>
      <c r="G37" s="39">
        <v>-14449</v>
      </c>
      <c r="H37" s="39">
        <v>0</v>
      </c>
      <c r="I37" s="12">
        <v>0</v>
      </c>
      <c r="J37" s="11">
        <v>0</v>
      </c>
      <c r="K37" s="116">
        <v>0</v>
      </c>
      <c r="L37" s="191">
        <v>0</v>
      </c>
      <c r="M37" s="155"/>
      <c r="N37" s="206"/>
    </row>
    <row r="38" spans="1:15" s="13" customFormat="1" ht="16.2" thickBot="1" x14ac:dyDescent="0.35">
      <c r="A38" s="7"/>
      <c r="B38" s="41"/>
      <c r="C38" s="41"/>
      <c r="D38" s="41"/>
      <c r="E38" s="39"/>
      <c r="F38" s="39"/>
      <c r="G38" s="39"/>
      <c r="H38" s="39"/>
      <c r="I38" s="12"/>
      <c r="J38" s="11"/>
      <c r="K38" s="116"/>
      <c r="L38" s="210"/>
      <c r="M38" s="205"/>
      <c r="N38" s="206"/>
    </row>
    <row r="39" spans="1:15" s="13" customFormat="1" ht="16.2" thickBot="1" x14ac:dyDescent="0.35">
      <c r="A39" s="7" t="s">
        <v>88</v>
      </c>
      <c r="B39" s="39">
        <f t="shared" ref="B39:K39" si="3">+B37+B35</f>
        <v>-37148</v>
      </c>
      <c r="C39" s="39">
        <f t="shared" si="3"/>
        <v>76552</v>
      </c>
      <c r="D39" s="39">
        <f t="shared" si="3"/>
        <v>22263</v>
      </c>
      <c r="E39" s="39">
        <f t="shared" si="3"/>
        <v>-17480.130000000034</v>
      </c>
      <c r="F39" s="39">
        <f t="shared" si="3"/>
        <v>-35959.489999999991</v>
      </c>
      <c r="G39" s="39">
        <f t="shared" si="3"/>
        <v>-181974</v>
      </c>
      <c r="H39" s="39">
        <f t="shared" si="3"/>
        <v>13685</v>
      </c>
      <c r="I39" s="12">
        <f t="shared" si="3"/>
        <v>10177</v>
      </c>
      <c r="J39" s="154">
        <f t="shared" si="3"/>
        <v>25775</v>
      </c>
      <c r="K39" s="33">
        <f t="shared" si="3"/>
        <v>-11000</v>
      </c>
      <c r="L39" s="192">
        <f>+L37+L35</f>
        <v>9000</v>
      </c>
      <c r="M39" s="155"/>
      <c r="N39" s="208"/>
    </row>
    <row r="40" spans="1:15" s="13" customFormat="1" x14ac:dyDescent="0.3">
      <c r="A40" s="4"/>
      <c r="B40" s="4"/>
      <c r="C40" s="4"/>
      <c r="D40" s="4"/>
      <c r="E40" s="4"/>
      <c r="F40" s="4"/>
      <c r="G40" s="4"/>
      <c r="H40" s="4"/>
      <c r="K40" s="58"/>
      <c r="L40" s="58"/>
      <c r="M40" s="196"/>
      <c r="N40" s="155"/>
    </row>
    <row r="42" spans="1:15" x14ac:dyDescent="0.3">
      <c r="K42" s="99"/>
    </row>
    <row r="43" spans="1:15" x14ac:dyDescent="0.3">
      <c r="K43" s="222"/>
    </row>
    <row r="44" spans="1:15" x14ac:dyDescent="0.3">
      <c r="K44" s="207"/>
    </row>
    <row r="45" spans="1:15" x14ac:dyDescent="0.3">
      <c r="K45" s="222"/>
    </row>
    <row r="46" spans="1:15" s="4" customFormat="1" x14ac:dyDescent="0.3">
      <c r="K46" s="99"/>
      <c r="M46" s="196"/>
      <c r="N46" s="155"/>
      <c r="O46" s="1"/>
    </row>
    <row r="47" spans="1:15" s="4" customFormat="1" x14ac:dyDescent="0.3">
      <c r="K47" s="99"/>
      <c r="M47" s="196"/>
      <c r="N47" s="155"/>
      <c r="O47" s="1"/>
    </row>
    <row r="48" spans="1:15" s="4" customFormat="1" x14ac:dyDescent="0.3">
      <c r="K48" s="99"/>
      <c r="M48" s="196"/>
      <c r="N48" s="155"/>
      <c r="O48" s="1"/>
    </row>
    <row r="49" spans="11:15" s="4" customFormat="1" x14ac:dyDescent="0.3">
      <c r="K49" s="99"/>
      <c r="M49" s="196"/>
      <c r="N49" s="155"/>
      <c r="O49" s="1"/>
    </row>
    <row r="50" spans="11:15" x14ac:dyDescent="0.3">
      <c r="K50" s="99"/>
    </row>
    <row r="51" spans="11:15" x14ac:dyDescent="0.3">
      <c r="K51" s="223"/>
    </row>
  </sheetData>
  <mergeCells count="1">
    <mergeCell ref="E1:G1"/>
  </mergeCells>
  <pageMargins left="0.7" right="0.7" top="0.75" bottom="0.75" header="0.3" footer="0.3"/>
  <pageSetup paperSize="9" scale="64" orientation="landscape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  <pageSetUpPr fitToPage="1"/>
  </sheetPr>
  <dimension ref="A1:O51"/>
  <sheetViews>
    <sheetView zoomScale="90" zoomScaleNormal="90" workbookViewId="0">
      <pane xSplit="1" ySplit="3" topLeftCell="F4" activePane="bottomRight" state="frozen"/>
      <selection pane="topRight" activeCell="B1" sqref="B1"/>
      <selection pane="bottomLeft" activeCell="A4" sqref="A4"/>
      <selection pane="bottomRight" activeCell="M7" sqref="M7"/>
    </sheetView>
  </sheetViews>
  <sheetFormatPr defaultColWidth="9.109375" defaultRowHeight="15.6" x14ac:dyDescent="0.3"/>
  <cols>
    <col min="1" max="1" width="30.6640625" style="4" bestFit="1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0" width="16.44140625" style="1" customWidth="1"/>
    <col min="11" max="12" width="18.5546875" style="1" bestFit="1" customWidth="1"/>
    <col min="13" max="13" width="27" style="196" customWidth="1"/>
    <col min="14" max="14" width="12" style="155" customWidth="1"/>
    <col min="15" max="16384" width="9.109375" style="1"/>
  </cols>
  <sheetData>
    <row r="1" spans="1:14" ht="31.8" thickBot="1" x14ac:dyDescent="0.65">
      <c r="A1" s="211" t="s">
        <v>486</v>
      </c>
      <c r="C1" s="224"/>
      <c r="D1" s="224"/>
      <c r="E1" s="295" t="s">
        <v>487</v>
      </c>
      <c r="F1" s="295"/>
      <c r="G1" s="295"/>
    </row>
    <row r="2" spans="1:14" ht="16.2" thickBot="1" x14ac:dyDescent="0.35"/>
    <row r="3" spans="1:14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227">
        <v>2016</v>
      </c>
      <c r="K3" s="57" t="s">
        <v>809</v>
      </c>
      <c r="L3" s="44" t="s">
        <v>1591</v>
      </c>
      <c r="M3" s="156"/>
      <c r="N3" s="156"/>
    </row>
    <row r="4" spans="1:14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110">
        <v>42504</v>
      </c>
      <c r="K4" s="110">
        <v>42735</v>
      </c>
      <c r="L4" s="209"/>
      <c r="M4" s="156"/>
      <c r="N4" s="156"/>
    </row>
    <row r="5" spans="1:14" ht="16.2" thickBot="1" x14ac:dyDescent="0.35">
      <c r="A5" s="32" t="s">
        <v>19</v>
      </c>
      <c r="B5" s="10"/>
      <c r="C5" s="7"/>
      <c r="D5" s="7"/>
      <c r="I5" s="4"/>
      <c r="J5" s="111"/>
      <c r="K5" s="111"/>
      <c r="L5" s="8"/>
      <c r="M5" s="155"/>
    </row>
    <row r="6" spans="1:14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9">
        <f>52238+27694</f>
        <v>79932</v>
      </c>
      <c r="K6" s="115">
        <v>200000</v>
      </c>
      <c r="L6" s="190">
        <v>200000</v>
      </c>
      <c r="M6" s="217" t="s">
        <v>1601</v>
      </c>
    </row>
    <row r="7" spans="1:14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9">
        <f>10400+10800+8100+9200+9600+5400+4000+800+400+7500</f>
        <v>66200</v>
      </c>
      <c r="K7" s="115">
        <v>100000</v>
      </c>
      <c r="L7" s="190">
        <v>110000</v>
      </c>
      <c r="M7" s="217" t="s">
        <v>1782</v>
      </c>
    </row>
    <row r="8" spans="1:14" x14ac:dyDescent="0.3">
      <c r="A8" s="4" t="s">
        <v>1488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9">
        <f>650+3276</f>
        <v>3926</v>
      </c>
      <c r="K8" s="115">
        <v>70000</v>
      </c>
      <c r="L8" s="190">
        <v>80000</v>
      </c>
      <c r="M8" s="155"/>
    </row>
    <row r="9" spans="1:14" ht="29.2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9">
        <f>5080+5080+5080+25240-25000</f>
        <v>15480</v>
      </c>
      <c r="K9" s="115">
        <v>35000</v>
      </c>
      <c r="L9" s="190">
        <v>35000</v>
      </c>
      <c r="M9" s="217" t="s">
        <v>1776</v>
      </c>
    </row>
    <row r="10" spans="1:14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9">
        <f>30000+10650</f>
        <v>40650</v>
      </c>
      <c r="K10" s="115">
        <v>60000</v>
      </c>
      <c r="L10" s="190">
        <v>60000</v>
      </c>
      <c r="M10" s="217" t="s">
        <v>1778</v>
      </c>
    </row>
    <row r="11" spans="1:14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9">
        <v>0</v>
      </c>
      <c r="K11" s="115">
        <v>100000</v>
      </c>
      <c r="L11" s="190">
        <v>100000</v>
      </c>
      <c r="M11" s="155"/>
    </row>
    <row r="12" spans="1:14" x14ac:dyDescent="0.3">
      <c r="A12" s="4" t="s">
        <v>27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1824.88</v>
      </c>
      <c r="G12" s="38">
        <v>514</v>
      </c>
      <c r="H12" s="38">
        <v>101</v>
      </c>
      <c r="I12" s="38">
        <v>13</v>
      </c>
      <c r="J12" s="9">
        <v>0</v>
      </c>
      <c r="K12" s="115">
        <v>0</v>
      </c>
      <c r="L12" s="190">
        <v>0</v>
      </c>
      <c r="M12" s="155"/>
    </row>
    <row r="13" spans="1:14" x14ac:dyDescent="0.3">
      <c r="A13" s="4" t="s">
        <v>490</v>
      </c>
      <c r="B13" s="38">
        <f>3455+2000</f>
        <v>5455</v>
      </c>
      <c r="C13" s="38">
        <f>400+10000+12000</f>
        <v>22400</v>
      </c>
      <c r="D13" s="38">
        <v>4112</v>
      </c>
      <c r="E13" s="38">
        <f>4135+5600</f>
        <v>9735</v>
      </c>
      <c r="F13" s="38">
        <f>1987+4050</f>
        <v>6037</v>
      </c>
      <c r="G13" s="38">
        <v>1630</v>
      </c>
      <c r="H13" s="38">
        <v>16554</v>
      </c>
      <c r="I13" s="38">
        <f>28269-19125+4390+6756</f>
        <v>20290</v>
      </c>
      <c r="J13" s="9">
        <f>2914+5838</f>
        <v>8752</v>
      </c>
      <c r="K13" s="115">
        <v>15000</v>
      </c>
      <c r="L13" s="190">
        <v>15000</v>
      </c>
      <c r="M13" s="155"/>
    </row>
    <row r="14" spans="1:14" x14ac:dyDescent="0.3">
      <c r="A14" s="7" t="s">
        <v>29</v>
      </c>
      <c r="B14" s="39">
        <f t="shared" ref="B14:L14" si="0">SUM(B6:B13)</f>
        <v>191729</v>
      </c>
      <c r="C14" s="39">
        <f t="shared" si="0"/>
        <v>345486</v>
      </c>
      <c r="D14" s="39">
        <f t="shared" si="0"/>
        <v>220107</v>
      </c>
      <c r="E14" s="39">
        <f t="shared" si="0"/>
        <v>239608.28999999998</v>
      </c>
      <c r="F14" s="39">
        <f t="shared" si="0"/>
        <v>299613.28000000003</v>
      </c>
      <c r="G14" s="39">
        <f t="shared" si="0"/>
        <v>289920</v>
      </c>
      <c r="H14" s="39">
        <f t="shared" si="0"/>
        <v>480751</v>
      </c>
      <c r="I14" s="39">
        <f>SUM(I6:I13)</f>
        <v>628336</v>
      </c>
      <c r="J14" s="11">
        <f t="shared" si="0"/>
        <v>214940</v>
      </c>
      <c r="K14" s="116">
        <f t="shared" si="0"/>
        <v>580000</v>
      </c>
      <c r="L14" s="191">
        <f t="shared" si="0"/>
        <v>600000</v>
      </c>
      <c r="M14" s="155"/>
    </row>
    <row r="15" spans="1:14" ht="16.2" thickBot="1" x14ac:dyDescent="0.35">
      <c r="B15" s="38"/>
      <c r="C15" s="40"/>
      <c r="D15" s="40"/>
      <c r="E15" s="38"/>
      <c r="F15" s="40"/>
      <c r="G15" s="40"/>
      <c r="H15" s="40"/>
      <c r="I15" s="40"/>
      <c r="J15" s="111"/>
      <c r="K15" s="117"/>
      <c r="L15" s="190"/>
      <c r="M15" s="155"/>
    </row>
    <row r="16" spans="1:14" s="13" customFormat="1" ht="16.2" thickBot="1" x14ac:dyDescent="0.35">
      <c r="A16" s="32" t="s">
        <v>30</v>
      </c>
      <c r="B16" s="38"/>
      <c r="C16" s="41"/>
      <c r="D16" s="41"/>
      <c r="E16" s="38"/>
      <c r="F16" s="41"/>
      <c r="G16" s="41"/>
      <c r="H16" s="41"/>
      <c r="I16" s="41"/>
      <c r="J16" s="112"/>
      <c r="K16" s="118"/>
      <c r="L16" s="190"/>
      <c r="M16" s="159"/>
      <c r="N16" s="159"/>
    </row>
    <row r="17" spans="1:15" x14ac:dyDescent="0.3">
      <c r="A17" s="4" t="s">
        <v>45</v>
      </c>
      <c r="B17" s="38">
        <v>-32646</v>
      </c>
      <c r="C17" s="38">
        <v>-42437</v>
      </c>
      <c r="D17" s="38">
        <v>-26923</v>
      </c>
      <c r="E17" s="38">
        <v>-32572</v>
      </c>
      <c r="F17" s="38">
        <v>-50743</v>
      </c>
      <c r="G17" s="38">
        <v>-52811</v>
      </c>
      <c r="H17" s="38">
        <v>-126816</v>
      </c>
      <c r="I17" s="38">
        <f>-953-23023-1120-3576-498-29220-3576-3576-48894</f>
        <v>-114436</v>
      </c>
      <c r="J17" s="9">
        <f>-975-3576-25151+2412</f>
        <v>-27290</v>
      </c>
      <c r="K17" s="115">
        <v>-120000</v>
      </c>
      <c r="L17" s="190">
        <v>-120000</v>
      </c>
      <c r="M17" s="155"/>
      <c r="N17" s="197"/>
      <c r="O17" s="55"/>
    </row>
    <row r="18" spans="1:15" ht="24.6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9">
        <f>-321-213-89-336-209-438+7365-1439-247+10016-7365-8271+754+10000-415-9845-23189-828-826-12824-3000-10016-2556-2581-177-1193-13470-1422-7998-754-7066-3790-4747-1383+957</f>
        <v>-97916</v>
      </c>
      <c r="K18" s="115">
        <v>-140000</v>
      </c>
      <c r="L18" s="190">
        <v>-130000</v>
      </c>
      <c r="M18" s="157" t="s">
        <v>1779</v>
      </c>
      <c r="N18" s="197"/>
    </row>
    <row r="19" spans="1:15" ht="24.6" x14ac:dyDescent="0.3">
      <c r="A19" s="4" t="s">
        <v>508</v>
      </c>
      <c r="B19" s="38">
        <v>-11755</v>
      </c>
      <c r="C19" s="38">
        <v>-20024</v>
      </c>
      <c r="D19" s="38">
        <v>-13297</v>
      </c>
      <c r="E19" s="38">
        <v>-14853.42</v>
      </c>
      <c r="F19" s="38">
        <v>-18717</v>
      </c>
      <c r="G19" s="38">
        <v>-4027</v>
      </c>
      <c r="H19" s="38">
        <v>-20624</v>
      </c>
      <c r="I19" s="38">
        <f>-3208-5440+2557-5729-1907+1985-874-1767-2130-3432-789-9120-114-867-1407-1435-38-5807-8282</f>
        <v>-47804</v>
      </c>
      <c r="J19" s="9">
        <f>-3760-1277-3685+3685-2253-17843</f>
        <v>-25133</v>
      </c>
      <c r="K19" s="115">
        <v>-35000</v>
      </c>
      <c r="L19" s="190">
        <v>-20000</v>
      </c>
      <c r="M19" s="157" t="s">
        <v>1777</v>
      </c>
      <c r="N19" s="197"/>
    </row>
    <row r="20" spans="1:15" x14ac:dyDescent="0.3">
      <c r="A20" s="4" t="s">
        <v>1633</v>
      </c>
      <c r="B20" s="38">
        <v>-4800</v>
      </c>
      <c r="C20" s="38">
        <v>-3398</v>
      </c>
      <c r="D20" s="38">
        <v>0</v>
      </c>
      <c r="E20" s="38">
        <v>-7138</v>
      </c>
      <c r="F20" s="38">
        <v>-3450</v>
      </c>
      <c r="G20" s="38">
        <v>-8100</v>
      </c>
      <c r="H20" s="38">
        <v>-6790</v>
      </c>
      <c r="I20" s="38">
        <f>-2940-7000-2500-2800-185+23111-23111-31150-1700-495-1000</f>
        <v>-49770</v>
      </c>
      <c r="J20" s="9">
        <f>-2100-1969-5000</f>
        <v>-9069</v>
      </c>
      <c r="K20" s="115">
        <v>-30000</v>
      </c>
      <c r="L20" s="190">
        <v>-50000</v>
      </c>
      <c r="M20" s="155"/>
      <c r="N20" s="197"/>
    </row>
    <row r="21" spans="1:15" x14ac:dyDescent="0.3">
      <c r="A21" s="4" t="s">
        <v>940</v>
      </c>
      <c r="B21" s="38">
        <v>0</v>
      </c>
      <c r="C21" s="38">
        <v>-1700</v>
      </c>
      <c r="D21" s="38">
        <v>0</v>
      </c>
      <c r="E21" s="38">
        <v>-3400</v>
      </c>
      <c r="F21" s="38">
        <v>-3900</v>
      </c>
      <c r="G21" s="38">
        <v>-4550</v>
      </c>
      <c r="H21" s="38">
        <v>-7520</v>
      </c>
      <c r="I21" s="38">
        <f>-4500-4000-682-4000-1110</f>
        <v>-14292</v>
      </c>
      <c r="J21" s="9">
        <f>-4000</f>
        <v>-4000</v>
      </c>
      <c r="K21" s="115">
        <v>-15000</v>
      </c>
      <c r="L21" s="190">
        <v>-15000</v>
      </c>
      <c r="M21" s="155"/>
      <c r="N21" s="197"/>
    </row>
    <row r="22" spans="1:15" ht="24.6" x14ac:dyDescent="0.3">
      <c r="A22" s="4" t="s">
        <v>39</v>
      </c>
      <c r="B22" s="38">
        <v>-18016</v>
      </c>
      <c r="C22" s="38">
        <v>-18105</v>
      </c>
      <c r="D22" s="38">
        <v>-14387</v>
      </c>
      <c r="E22" s="38">
        <v>-7915</v>
      </c>
      <c r="F22" s="38">
        <v>-13828</v>
      </c>
      <c r="G22" s="38">
        <v>-24118</v>
      </c>
      <c r="H22" s="38">
        <v>-30770</v>
      </c>
      <c r="I22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2" s="9">
        <f>-480-480-600-595-1100-595-480-355-545-780-590-1045-650-395-395-635-545-425-605-670-610-670-605-775-575</f>
        <v>-15200</v>
      </c>
      <c r="K22" s="115">
        <v>-55000</v>
      </c>
      <c r="L22" s="190">
        <v>-55000</v>
      </c>
      <c r="M22" s="157" t="s">
        <v>1780</v>
      </c>
      <c r="N22" s="197"/>
    </row>
    <row r="23" spans="1:15" x14ac:dyDescent="0.3">
      <c r="A23" s="4" t="s">
        <v>40</v>
      </c>
      <c r="B23" s="38">
        <v>0</v>
      </c>
      <c r="C23" s="38">
        <v>-850</v>
      </c>
      <c r="D23" s="38">
        <v>-625</v>
      </c>
      <c r="E23" s="38">
        <v>-8200</v>
      </c>
      <c r="F23" s="38">
        <v>0</v>
      </c>
      <c r="G23" s="38">
        <v>0</v>
      </c>
      <c r="H23" s="38">
        <v>-2100</v>
      </c>
      <c r="I23" s="38">
        <f>-3950</f>
        <v>-3950</v>
      </c>
      <c r="J23" s="9">
        <v>0</v>
      </c>
      <c r="K23" s="115">
        <v>-4000</v>
      </c>
      <c r="L23" s="190">
        <v>-4000</v>
      </c>
      <c r="M23" s="155"/>
      <c r="N23" s="197"/>
    </row>
    <row r="24" spans="1:15" x14ac:dyDescent="0.3">
      <c r="A24" s="4" t="s">
        <v>36</v>
      </c>
      <c r="B24" s="38">
        <v>-5000</v>
      </c>
      <c r="C24" s="38">
        <v>-350</v>
      </c>
      <c r="D24" s="38">
        <v>0</v>
      </c>
      <c r="E24" s="38">
        <v>-3550</v>
      </c>
      <c r="F24" s="38">
        <v>-10190</v>
      </c>
      <c r="G24" s="38">
        <v>-27295</v>
      </c>
      <c r="H24" s="38">
        <v>-13550</v>
      </c>
      <c r="I24" s="38">
        <f>-1400-1400-2700-3000-1500-1200-1400-1000-1200-1300-1500-800-1200-1400-1400-1190</f>
        <v>-23590</v>
      </c>
      <c r="J24" s="9">
        <f>-800-1200-1100-3350-1400-1000-2000-1000</f>
        <v>-11850</v>
      </c>
      <c r="K24" s="115">
        <v>-25000</v>
      </c>
      <c r="L24" s="190">
        <v>-25000</v>
      </c>
      <c r="M24" s="157"/>
      <c r="N24" s="197"/>
    </row>
    <row r="25" spans="1:15" ht="24.6" x14ac:dyDescent="0.3">
      <c r="A25" s="4" t="s">
        <v>154</v>
      </c>
      <c r="B25" s="38">
        <v>-19050</v>
      </c>
      <c r="C25" s="38">
        <f>-13250-1750</f>
        <v>-15000</v>
      </c>
      <c r="D25" s="38">
        <v>-19650</v>
      </c>
      <c r="E25" s="38">
        <v>-15750</v>
      </c>
      <c r="F25" s="38">
        <v>-21750</v>
      </c>
      <c r="G25" s="38">
        <v>-30300</v>
      </c>
      <c r="H25" s="38">
        <v>-23520</v>
      </c>
      <c r="I25" s="38">
        <f>950+4008-3900-500-15200+1000-500-1000-2000+1000-250-7000-600-7500</f>
        <v>-31492</v>
      </c>
      <c r="J25" s="9">
        <f>-1000-3000-6600-9700</f>
        <v>-20300</v>
      </c>
      <c r="K25" s="115">
        <v>-25000</v>
      </c>
      <c r="L25" s="190">
        <v>-25000</v>
      </c>
      <c r="M25" s="157" t="s">
        <v>1781</v>
      </c>
      <c r="N25" s="197"/>
    </row>
    <row r="26" spans="1:15" x14ac:dyDescent="0.3">
      <c r="A26" s="4" t="s">
        <v>43</v>
      </c>
      <c r="B26" s="38">
        <v>-14470</v>
      </c>
      <c r="C26" s="38">
        <v>-10300</v>
      </c>
      <c r="D26" s="38">
        <v>-4860</v>
      </c>
      <c r="E26" s="38">
        <v>0</v>
      </c>
      <c r="F26" s="38">
        <v>-18405</v>
      </c>
      <c r="G26" s="38">
        <v>-10950</v>
      </c>
      <c r="H26" s="38">
        <v>-9515</v>
      </c>
      <c r="I26" s="38">
        <f>-300-8900+850-1250-3500</f>
        <v>-13100</v>
      </c>
      <c r="J26" s="9">
        <v>0</v>
      </c>
      <c r="K26" s="115">
        <v>-15000</v>
      </c>
      <c r="L26" s="190">
        <v>-15000</v>
      </c>
      <c r="M26" s="155"/>
      <c r="N26" s="197"/>
    </row>
    <row r="27" spans="1:15" x14ac:dyDescent="0.3">
      <c r="A27" s="4" t="s">
        <v>44</v>
      </c>
      <c r="B27" s="38">
        <v>-25000</v>
      </c>
      <c r="C27" s="38">
        <v>-15000</v>
      </c>
      <c r="D27" s="38">
        <v>-17500</v>
      </c>
      <c r="E27" s="38">
        <v>-30416</v>
      </c>
      <c r="F27" s="38">
        <v>-16000</v>
      </c>
      <c r="G27" s="38">
        <v>-34000</v>
      </c>
      <c r="H27" s="38">
        <v>-27000</v>
      </c>
      <c r="I27" s="38">
        <f>-12500-1000-2000-5000-3000</f>
        <v>-23500</v>
      </c>
      <c r="J27" s="9">
        <v>0</v>
      </c>
      <c r="K27" s="115">
        <v>-25000</v>
      </c>
      <c r="L27" s="190">
        <v>-25000</v>
      </c>
      <c r="M27" s="157" t="s">
        <v>1605</v>
      </c>
      <c r="N27" s="197"/>
    </row>
    <row r="28" spans="1:15" x14ac:dyDescent="0.3">
      <c r="A28" s="4" t="s">
        <v>56</v>
      </c>
      <c r="B28" s="38">
        <v>-4459</v>
      </c>
      <c r="C28" s="38">
        <v>-12173</v>
      </c>
      <c r="D28" s="38">
        <v>0</v>
      </c>
      <c r="E28" s="38">
        <v>-180</v>
      </c>
      <c r="F28" s="38">
        <v>-1887</v>
      </c>
      <c r="G28" s="38">
        <v>0</v>
      </c>
      <c r="H28" s="38">
        <v>0</v>
      </c>
      <c r="I28" s="38">
        <v>0</v>
      </c>
      <c r="J28" s="9">
        <v>0</v>
      </c>
      <c r="K28" s="115">
        <v>0</v>
      </c>
      <c r="L28" s="190">
        <v>0</v>
      </c>
      <c r="M28" s="155"/>
    </row>
    <row r="29" spans="1:15" x14ac:dyDescent="0.3">
      <c r="A29" s="4" t="s">
        <v>32</v>
      </c>
      <c r="B29" s="38">
        <f>-2650-3100-1600</f>
        <v>-7350</v>
      </c>
      <c r="C29" s="38">
        <f>-250-2500-1842</f>
        <v>-4592</v>
      </c>
      <c r="D29" s="38">
        <f>-250-4500-1899</f>
        <v>-6649</v>
      </c>
      <c r="E29" s="38">
        <v>-6338</v>
      </c>
      <c r="F29" s="38">
        <v>-6643</v>
      </c>
      <c r="G29" s="38">
        <v>-3530</v>
      </c>
      <c r="H29" s="38">
        <v>-1024</v>
      </c>
      <c r="I29" s="38">
        <f>-774-250</f>
        <v>-1024</v>
      </c>
      <c r="J29" s="9">
        <f>-771-500</f>
        <v>-1271</v>
      </c>
      <c r="K29" s="115">
        <v>-2000</v>
      </c>
      <c r="L29" s="190">
        <v>-2000</v>
      </c>
      <c r="M29" s="155"/>
    </row>
    <row r="30" spans="1:15" x14ac:dyDescent="0.3">
      <c r="A30" s="4" t="s">
        <v>491</v>
      </c>
      <c r="B30" s="38">
        <v>0</v>
      </c>
      <c r="C30" s="38">
        <f>-75994-6425</f>
        <v>-82419</v>
      </c>
      <c r="D30" s="38">
        <f>-29362-12800</f>
        <v>-42162</v>
      </c>
      <c r="E30" s="38">
        <v>0</v>
      </c>
      <c r="F30" s="38">
        <v>0</v>
      </c>
      <c r="G30" s="38">
        <v>-102305</v>
      </c>
      <c r="H30" s="38">
        <v>-94393</v>
      </c>
      <c r="I30" s="38">
        <f>-1824-(23*800)-34400-1130-45448</f>
        <v>-101202</v>
      </c>
      <c r="J30" s="9">
        <v>0</v>
      </c>
      <c r="K30" s="115">
        <v>-100000</v>
      </c>
      <c r="L30" s="190">
        <v>-100000</v>
      </c>
      <c r="M30" s="155"/>
      <c r="N30" s="197"/>
    </row>
    <row r="31" spans="1:15" x14ac:dyDescent="0.3">
      <c r="A31" s="4" t="s">
        <v>33</v>
      </c>
      <c r="B31" s="38">
        <v>0</v>
      </c>
      <c r="C31" s="38">
        <v>0</v>
      </c>
      <c r="D31" s="38">
        <v>0</v>
      </c>
      <c r="E31" s="38">
        <v>-741</v>
      </c>
      <c r="F31" s="38">
        <v>-547</v>
      </c>
      <c r="G31" s="38">
        <v>-154</v>
      </c>
      <c r="H31" s="38">
        <v>-510</v>
      </c>
      <c r="I31" s="38">
        <v>0</v>
      </c>
      <c r="J31" s="9">
        <f>-160</f>
        <v>-160</v>
      </c>
      <c r="K31" s="115">
        <v>0</v>
      </c>
      <c r="L31" s="190">
        <v>0</v>
      </c>
      <c r="M31" s="155"/>
      <c r="N31" s="197"/>
    </row>
    <row r="32" spans="1:15" x14ac:dyDescent="0.3">
      <c r="A32" s="4" t="s">
        <v>493</v>
      </c>
      <c r="B32" s="38">
        <f>-635-7900</f>
        <v>-8535</v>
      </c>
      <c r="C32" s="38">
        <f>-1500-935-3800-2859-81</f>
        <v>-9175</v>
      </c>
      <c r="D32" s="38">
        <f>-755-1100</f>
        <v>-1855</v>
      </c>
      <c r="E32" s="38">
        <f>-2424-5850</f>
        <v>-8274</v>
      </c>
      <c r="F32" s="38">
        <v>-4637.7700000000004</v>
      </c>
      <c r="G32" s="38">
        <f>-2261-14329</f>
        <v>-16590</v>
      </c>
      <c r="H32" s="38">
        <v>-8129</v>
      </c>
      <c r="I32" s="38">
        <f>-469-740+140+140-4815-234</f>
        <v>-5978</v>
      </c>
      <c r="J32" s="9">
        <f>140-1170</f>
        <v>-1030</v>
      </c>
      <c r="K32" s="115">
        <v>-5000</v>
      </c>
      <c r="L32" s="190">
        <v>-5000</v>
      </c>
      <c r="M32" s="155"/>
      <c r="N32" s="197"/>
    </row>
    <row r="33" spans="1:15" x14ac:dyDescent="0.3">
      <c r="A33" s="7" t="s">
        <v>47</v>
      </c>
      <c r="B33" s="39">
        <f>SUM(B17:B32)</f>
        <v>-218877</v>
      </c>
      <c r="C33" s="39">
        <f t="shared" ref="C33:H33" si="1">SUM(C17:C32)</f>
        <v>-258934</v>
      </c>
      <c r="D33" s="39">
        <f t="shared" si="1"/>
        <v>-187844</v>
      </c>
      <c r="E33" s="39">
        <f t="shared" si="1"/>
        <v>-247088.42</v>
      </c>
      <c r="F33" s="39">
        <f t="shared" si="1"/>
        <v>-325572.77</v>
      </c>
      <c r="G33" s="39">
        <f t="shared" si="1"/>
        <v>-457445</v>
      </c>
      <c r="H33" s="39">
        <f t="shared" si="1"/>
        <v>-467066</v>
      </c>
      <c r="I33" s="39">
        <f>SUM(I17:I32)</f>
        <v>-618159</v>
      </c>
      <c r="J33" s="11">
        <f>SUM(J17:J32)</f>
        <v>-213219</v>
      </c>
      <c r="K33" s="116">
        <f>SUM(K17:K32)</f>
        <v>-596000</v>
      </c>
      <c r="L33" s="191">
        <f>SUM(L17:L32)</f>
        <v>-591000</v>
      </c>
      <c r="M33" s="205"/>
      <c r="N33" s="206"/>
    </row>
    <row r="34" spans="1:15" x14ac:dyDescent="0.3">
      <c r="A34" s="7"/>
      <c r="B34" s="41"/>
      <c r="C34" s="41"/>
      <c r="D34" s="41"/>
      <c r="E34" s="39"/>
      <c r="F34" s="39"/>
      <c r="G34" s="39"/>
      <c r="H34" s="39"/>
      <c r="I34" s="46"/>
      <c r="J34" s="113"/>
      <c r="K34" s="117"/>
      <c r="L34" s="191"/>
      <c r="M34" s="158"/>
      <c r="N34" s="207"/>
    </row>
    <row r="35" spans="1:15" s="13" customFormat="1" ht="38.25" customHeight="1" x14ac:dyDescent="0.3">
      <c r="A35" s="7" t="s">
        <v>48</v>
      </c>
      <c r="B35" s="39">
        <f t="shared" ref="B35:K35" si="2">+B33+B14</f>
        <v>-27148</v>
      </c>
      <c r="C35" s="39">
        <f t="shared" si="2"/>
        <v>86552</v>
      </c>
      <c r="D35" s="39">
        <f t="shared" si="2"/>
        <v>32263</v>
      </c>
      <c r="E35" s="39">
        <f t="shared" si="2"/>
        <v>-7480.1300000000338</v>
      </c>
      <c r="F35" s="39">
        <f t="shared" si="2"/>
        <v>-25959.489999999991</v>
      </c>
      <c r="G35" s="39">
        <f t="shared" si="2"/>
        <v>-167525</v>
      </c>
      <c r="H35" s="39">
        <f t="shared" si="2"/>
        <v>13685</v>
      </c>
      <c r="I35" s="12">
        <f t="shared" si="2"/>
        <v>10177</v>
      </c>
      <c r="J35" s="11">
        <f t="shared" si="2"/>
        <v>1721</v>
      </c>
      <c r="K35" s="116">
        <f t="shared" si="2"/>
        <v>-16000</v>
      </c>
      <c r="L35" s="191">
        <f>L14+L33</f>
        <v>9000</v>
      </c>
      <c r="M35" s="158"/>
      <c r="N35" s="207"/>
    </row>
    <row r="36" spans="1:15" s="13" customFormat="1" x14ac:dyDescent="0.3">
      <c r="A36" s="7"/>
      <c r="B36" s="41"/>
      <c r="C36" s="41"/>
      <c r="D36" s="41"/>
      <c r="E36" s="39"/>
      <c r="F36" s="39"/>
      <c r="G36" s="39"/>
      <c r="H36" s="39"/>
      <c r="I36" s="12"/>
      <c r="J36" s="11"/>
      <c r="K36" s="116"/>
      <c r="L36" s="191"/>
      <c r="M36" s="158"/>
      <c r="N36" s="207"/>
    </row>
    <row r="37" spans="1:15" s="13" customFormat="1" x14ac:dyDescent="0.3">
      <c r="A37" s="7" t="s">
        <v>1530</v>
      </c>
      <c r="B37" s="39">
        <v>-10000</v>
      </c>
      <c r="C37" s="39">
        <v>-10000</v>
      </c>
      <c r="D37" s="39">
        <v>-10000</v>
      </c>
      <c r="E37" s="39">
        <v>-10000</v>
      </c>
      <c r="F37" s="39">
        <v>-10000</v>
      </c>
      <c r="G37" s="39">
        <v>-14449</v>
      </c>
      <c r="H37" s="39">
        <v>0</v>
      </c>
      <c r="I37" s="12">
        <v>0</v>
      </c>
      <c r="J37" s="11">
        <v>0</v>
      </c>
      <c r="K37" s="116">
        <v>0</v>
      </c>
      <c r="L37" s="191">
        <v>0</v>
      </c>
      <c r="M37" s="155"/>
      <c r="N37" s="206"/>
    </row>
    <row r="38" spans="1:15" s="13" customFormat="1" ht="16.2" thickBot="1" x14ac:dyDescent="0.35">
      <c r="A38" s="7"/>
      <c r="B38" s="41"/>
      <c r="C38" s="41"/>
      <c r="D38" s="41"/>
      <c r="E38" s="39"/>
      <c r="F38" s="39"/>
      <c r="G38" s="39"/>
      <c r="H38" s="39"/>
      <c r="I38" s="12"/>
      <c r="J38" s="11"/>
      <c r="K38" s="116"/>
      <c r="L38" s="210"/>
      <c r="M38" s="205"/>
      <c r="N38" s="206"/>
    </row>
    <row r="39" spans="1:15" s="13" customFormat="1" ht="16.2" thickBot="1" x14ac:dyDescent="0.35">
      <c r="A39" s="7" t="s">
        <v>88</v>
      </c>
      <c r="B39" s="39">
        <f t="shared" ref="B39:K39" si="3">+B37+B35</f>
        <v>-37148</v>
      </c>
      <c r="C39" s="39">
        <f t="shared" si="3"/>
        <v>76552</v>
      </c>
      <c r="D39" s="39">
        <f t="shared" si="3"/>
        <v>22263</v>
      </c>
      <c r="E39" s="39">
        <f t="shared" si="3"/>
        <v>-17480.130000000034</v>
      </c>
      <c r="F39" s="39">
        <f t="shared" si="3"/>
        <v>-35959.489999999991</v>
      </c>
      <c r="G39" s="39">
        <f t="shared" si="3"/>
        <v>-181974</v>
      </c>
      <c r="H39" s="39">
        <f t="shared" si="3"/>
        <v>13685</v>
      </c>
      <c r="I39" s="12">
        <f t="shared" si="3"/>
        <v>10177</v>
      </c>
      <c r="J39" s="154">
        <f t="shared" si="3"/>
        <v>1721</v>
      </c>
      <c r="K39" s="33">
        <f t="shared" si="3"/>
        <v>-16000</v>
      </c>
      <c r="L39" s="192">
        <f>+L37+L35</f>
        <v>9000</v>
      </c>
      <c r="M39" s="155"/>
      <c r="N39" s="208"/>
    </row>
    <row r="40" spans="1:15" s="13" customFormat="1" x14ac:dyDescent="0.3">
      <c r="A40" s="4"/>
      <c r="B40" s="4"/>
      <c r="C40" s="4"/>
      <c r="D40" s="4"/>
      <c r="E40" s="4"/>
      <c r="F40" s="4"/>
      <c r="G40" s="4"/>
      <c r="H40" s="4"/>
      <c r="K40" s="58"/>
      <c r="L40" s="58"/>
      <c r="M40" s="196"/>
      <c r="N40" s="155"/>
    </row>
    <row r="42" spans="1:15" x14ac:dyDescent="0.3">
      <c r="K42" s="99"/>
    </row>
    <row r="43" spans="1:15" x14ac:dyDescent="0.3">
      <c r="K43" s="222"/>
    </row>
    <row r="44" spans="1:15" x14ac:dyDescent="0.3">
      <c r="K44" s="207"/>
    </row>
    <row r="45" spans="1:15" x14ac:dyDescent="0.3">
      <c r="K45" s="222"/>
    </row>
    <row r="46" spans="1:15" s="4" customFormat="1" x14ac:dyDescent="0.3">
      <c r="K46" s="99"/>
      <c r="M46" s="196"/>
      <c r="N46" s="155"/>
      <c r="O46" s="1"/>
    </row>
    <row r="47" spans="1:15" s="4" customFormat="1" x14ac:dyDescent="0.3">
      <c r="K47" s="99"/>
      <c r="M47" s="196"/>
      <c r="N47" s="155"/>
      <c r="O47" s="1"/>
    </row>
    <row r="48" spans="1:15" s="4" customFormat="1" x14ac:dyDescent="0.3">
      <c r="K48" s="99"/>
      <c r="M48" s="196"/>
      <c r="N48" s="155"/>
      <c r="O48" s="1"/>
    </row>
    <row r="49" spans="11:15" s="4" customFormat="1" x14ac:dyDescent="0.3">
      <c r="K49" s="99"/>
      <c r="M49" s="196"/>
      <c r="N49" s="155"/>
      <c r="O49" s="1"/>
    </row>
    <row r="50" spans="11:15" x14ac:dyDescent="0.3">
      <c r="K50" s="99"/>
    </row>
    <row r="51" spans="11:15" x14ac:dyDescent="0.3">
      <c r="K51" s="223"/>
    </row>
  </sheetData>
  <mergeCells count="1">
    <mergeCell ref="E1:G1"/>
  </mergeCells>
  <pageMargins left="0.7" right="0.7" top="0.75" bottom="0.75" header="0.3" footer="0.3"/>
  <pageSetup paperSize="9" scale="65" orientation="landscape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  <pageSetUpPr fitToPage="1"/>
  </sheetPr>
  <dimension ref="A1:O51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bestFit="1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0" width="16.44140625" style="1" customWidth="1"/>
    <col min="11" max="12" width="18.5546875" style="1" bestFit="1" customWidth="1"/>
    <col min="13" max="13" width="27" style="196" customWidth="1"/>
    <col min="14" max="14" width="12" style="155" customWidth="1"/>
    <col min="15" max="16384" width="9.109375" style="1"/>
  </cols>
  <sheetData>
    <row r="1" spans="1:14" ht="31.8" thickBot="1" x14ac:dyDescent="0.65">
      <c r="A1" s="211" t="s">
        <v>486</v>
      </c>
      <c r="C1" s="224"/>
      <c r="D1" s="224"/>
      <c r="E1" s="295" t="s">
        <v>487</v>
      </c>
      <c r="F1" s="295"/>
      <c r="G1" s="295"/>
    </row>
    <row r="2" spans="1:14" ht="16.2" thickBot="1" x14ac:dyDescent="0.35"/>
    <row r="3" spans="1:14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227">
        <v>2016</v>
      </c>
      <c r="K3" s="57" t="s">
        <v>809</v>
      </c>
      <c r="L3" s="44" t="s">
        <v>1591</v>
      </c>
      <c r="M3" s="156"/>
      <c r="N3" s="156"/>
    </row>
    <row r="4" spans="1:14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110">
        <v>42460</v>
      </c>
      <c r="K4" s="110">
        <v>42735</v>
      </c>
      <c r="L4" s="209"/>
      <c r="M4" s="156"/>
      <c r="N4" s="156"/>
    </row>
    <row r="5" spans="1:14" ht="16.2" thickBot="1" x14ac:dyDescent="0.35">
      <c r="A5" s="32" t="s">
        <v>19</v>
      </c>
      <c r="B5" s="10"/>
      <c r="C5" s="7"/>
      <c r="D5" s="7"/>
      <c r="I5" s="4"/>
      <c r="J5" s="111"/>
      <c r="K5" s="111"/>
      <c r="L5" s="8"/>
      <c r="M5" s="155"/>
    </row>
    <row r="6" spans="1:14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9">
        <v>52238</v>
      </c>
      <c r="K6" s="115">
        <v>200000</v>
      </c>
      <c r="L6" s="190">
        <v>200000</v>
      </c>
      <c r="M6" s="217" t="s">
        <v>1601</v>
      </c>
    </row>
    <row r="7" spans="1:14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9"/>
      <c r="K7" s="115">
        <v>110000</v>
      </c>
      <c r="L7" s="190">
        <v>110000</v>
      </c>
      <c r="M7" s="217" t="s">
        <v>1602</v>
      </c>
    </row>
    <row r="8" spans="1:14" x14ac:dyDescent="0.3">
      <c r="A8" s="4" t="s">
        <v>1488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9">
        <v>650</v>
      </c>
      <c r="K8" s="115">
        <v>80000</v>
      </c>
      <c r="L8" s="190">
        <v>80000</v>
      </c>
      <c r="M8" s="155"/>
    </row>
    <row r="9" spans="1:14" ht="29.2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9">
        <v>10160</v>
      </c>
      <c r="K9" s="115">
        <v>35000</v>
      </c>
      <c r="L9" s="190">
        <v>35000</v>
      </c>
      <c r="M9" s="217" t="s">
        <v>1650</v>
      </c>
    </row>
    <row r="10" spans="1:14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9">
        <f>30000</f>
        <v>30000</v>
      </c>
      <c r="K10" s="115">
        <v>60000</v>
      </c>
      <c r="L10" s="190">
        <v>60000</v>
      </c>
      <c r="M10" s="217" t="s">
        <v>1647</v>
      </c>
    </row>
    <row r="11" spans="1:14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9"/>
      <c r="K11" s="115">
        <v>100000</v>
      </c>
      <c r="L11" s="190">
        <v>100000</v>
      </c>
      <c r="M11" s="155"/>
    </row>
    <row r="12" spans="1:14" x14ac:dyDescent="0.3">
      <c r="A12" s="4" t="s">
        <v>27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1824.88</v>
      </c>
      <c r="G12" s="38">
        <v>514</v>
      </c>
      <c r="H12" s="38">
        <v>101</v>
      </c>
      <c r="I12" s="38">
        <v>13</v>
      </c>
      <c r="J12" s="9"/>
      <c r="K12" s="115">
        <v>0</v>
      </c>
      <c r="L12" s="190">
        <v>0</v>
      </c>
      <c r="M12" s="155"/>
    </row>
    <row r="13" spans="1:14" x14ac:dyDescent="0.3">
      <c r="A13" s="4" t="s">
        <v>490</v>
      </c>
      <c r="B13" s="38">
        <f>3455+2000</f>
        <v>5455</v>
      </c>
      <c r="C13" s="38">
        <f>400+10000+12000</f>
        <v>22400</v>
      </c>
      <c r="D13" s="38">
        <v>4112</v>
      </c>
      <c r="E13" s="38">
        <f>4135+5600</f>
        <v>9735</v>
      </c>
      <c r="F13" s="38">
        <f>1987+4050</f>
        <v>6037</v>
      </c>
      <c r="G13" s="38">
        <v>1630</v>
      </c>
      <c r="H13" s="38">
        <v>16554</v>
      </c>
      <c r="I13" s="38">
        <f>28269-19125+4390+6756</f>
        <v>20290</v>
      </c>
      <c r="J13" s="9">
        <f>2914+5838</f>
        <v>8752</v>
      </c>
      <c r="K13" s="115">
        <v>15000</v>
      </c>
      <c r="L13" s="190">
        <v>15000</v>
      </c>
      <c r="M13" s="155"/>
    </row>
    <row r="14" spans="1:14" x14ac:dyDescent="0.3">
      <c r="A14" s="7" t="s">
        <v>29</v>
      </c>
      <c r="B14" s="39">
        <f t="shared" ref="B14:L14" si="0">SUM(B6:B13)</f>
        <v>191729</v>
      </c>
      <c r="C14" s="39">
        <f t="shared" si="0"/>
        <v>345486</v>
      </c>
      <c r="D14" s="39">
        <f t="shared" si="0"/>
        <v>220107</v>
      </c>
      <c r="E14" s="39">
        <f t="shared" si="0"/>
        <v>239608.28999999998</v>
      </c>
      <c r="F14" s="39">
        <f t="shared" si="0"/>
        <v>299613.28000000003</v>
      </c>
      <c r="G14" s="39">
        <f t="shared" si="0"/>
        <v>289920</v>
      </c>
      <c r="H14" s="39">
        <f t="shared" si="0"/>
        <v>480751</v>
      </c>
      <c r="I14" s="39">
        <f>SUM(I6:I13)</f>
        <v>628336</v>
      </c>
      <c r="J14" s="11">
        <f t="shared" si="0"/>
        <v>101800</v>
      </c>
      <c r="K14" s="116">
        <f t="shared" si="0"/>
        <v>600000</v>
      </c>
      <c r="L14" s="191">
        <f t="shared" si="0"/>
        <v>600000</v>
      </c>
      <c r="M14" s="155"/>
    </row>
    <row r="15" spans="1:14" ht="16.2" thickBot="1" x14ac:dyDescent="0.35">
      <c r="B15" s="38"/>
      <c r="C15" s="40"/>
      <c r="D15" s="40"/>
      <c r="E15" s="38"/>
      <c r="F15" s="40"/>
      <c r="G15" s="40"/>
      <c r="H15" s="40"/>
      <c r="I15" s="40"/>
      <c r="J15" s="111"/>
      <c r="K15" s="117"/>
      <c r="L15" s="190"/>
      <c r="M15" s="155"/>
    </row>
    <row r="16" spans="1:14" s="13" customFormat="1" ht="16.2" thickBot="1" x14ac:dyDescent="0.35">
      <c r="A16" s="32" t="s">
        <v>30</v>
      </c>
      <c r="B16" s="38"/>
      <c r="C16" s="41"/>
      <c r="D16" s="41"/>
      <c r="E16" s="38"/>
      <c r="F16" s="41"/>
      <c r="G16" s="41"/>
      <c r="H16" s="41"/>
      <c r="I16" s="41"/>
      <c r="J16" s="112"/>
      <c r="K16" s="118"/>
      <c r="L16" s="190"/>
      <c r="M16" s="159"/>
      <c r="N16" s="159"/>
    </row>
    <row r="17" spans="1:15" x14ac:dyDescent="0.3">
      <c r="A17" s="4" t="s">
        <v>45</v>
      </c>
      <c r="B17" s="38">
        <v>-32646</v>
      </c>
      <c r="C17" s="38">
        <v>-42437</v>
      </c>
      <c r="D17" s="38">
        <v>-26923</v>
      </c>
      <c r="E17" s="38">
        <v>-32572</v>
      </c>
      <c r="F17" s="38">
        <v>-50743</v>
      </c>
      <c r="G17" s="38">
        <v>-52811</v>
      </c>
      <c r="H17" s="38">
        <v>-126816</v>
      </c>
      <c r="I17" s="38">
        <f>-953-23023-1120-3576-498-29220-3576-3576-48894</f>
        <v>-114436</v>
      </c>
      <c r="J17" s="9">
        <f>-975-3576-25151</f>
        <v>-29702</v>
      </c>
      <c r="K17" s="115">
        <v>-120000</v>
      </c>
      <c r="L17" s="190">
        <v>-120000</v>
      </c>
      <c r="M17" s="155"/>
      <c r="N17" s="197"/>
      <c r="O17" s="55"/>
    </row>
    <row r="18" spans="1:15" ht="24.6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9">
        <f>-321-213-89-336-209-438</f>
        <v>-1606</v>
      </c>
      <c r="K18" s="115">
        <v>-130000</v>
      </c>
      <c r="L18" s="190">
        <v>-130000</v>
      </c>
      <c r="M18" s="157" t="s">
        <v>1648</v>
      </c>
      <c r="N18" s="197"/>
    </row>
    <row r="19" spans="1:15" x14ac:dyDescent="0.3">
      <c r="A19" s="4" t="s">
        <v>508</v>
      </c>
      <c r="B19" s="38">
        <v>-11755</v>
      </c>
      <c r="C19" s="38">
        <v>-20024</v>
      </c>
      <c r="D19" s="38">
        <v>-13297</v>
      </c>
      <c r="E19" s="38">
        <v>-14853.42</v>
      </c>
      <c r="F19" s="38">
        <v>-18717</v>
      </c>
      <c r="G19" s="38">
        <v>-4027</v>
      </c>
      <c r="H19" s="38">
        <v>-20624</v>
      </c>
      <c r="I19" s="38">
        <f>-3208-5440+2557-5729-1907+1985-874-1767-2130-3432-789-9120-114-867-1407-1435-38-5807-8282</f>
        <v>-47804</v>
      </c>
      <c r="J19" s="9"/>
      <c r="K19" s="115">
        <v>-20000</v>
      </c>
      <c r="L19" s="190">
        <v>-20000</v>
      </c>
      <c r="M19" s="157" t="s">
        <v>1603</v>
      </c>
      <c r="N19" s="197"/>
    </row>
    <row r="20" spans="1:15" x14ac:dyDescent="0.3">
      <c r="A20" s="4" t="s">
        <v>1633</v>
      </c>
      <c r="B20" s="38">
        <v>-4800</v>
      </c>
      <c r="C20" s="38">
        <v>-3398</v>
      </c>
      <c r="D20" s="38">
        <v>0</v>
      </c>
      <c r="E20" s="38">
        <v>-7138</v>
      </c>
      <c r="F20" s="38">
        <v>-3450</v>
      </c>
      <c r="G20" s="38">
        <v>-8100</v>
      </c>
      <c r="H20" s="38">
        <v>-6790</v>
      </c>
      <c r="I20" s="38">
        <f>-2940-7000-2500-2800-185+23111-23111-31150-1700-495-1000</f>
        <v>-49770</v>
      </c>
      <c r="J20" s="9">
        <f>-2100</f>
        <v>-2100</v>
      </c>
      <c r="K20" s="115">
        <v>-50000</v>
      </c>
      <c r="L20" s="190">
        <v>-50000</v>
      </c>
      <c r="M20" s="155"/>
      <c r="N20" s="197"/>
    </row>
    <row r="21" spans="1:15" x14ac:dyDescent="0.3">
      <c r="A21" s="4" t="s">
        <v>940</v>
      </c>
      <c r="B21" s="38">
        <v>0</v>
      </c>
      <c r="C21" s="38">
        <v>-1700</v>
      </c>
      <c r="D21" s="38">
        <v>0</v>
      </c>
      <c r="E21" s="38">
        <v>-3400</v>
      </c>
      <c r="F21" s="38">
        <v>-3900</v>
      </c>
      <c r="G21" s="38">
        <v>-4550</v>
      </c>
      <c r="H21" s="38">
        <v>-7520</v>
      </c>
      <c r="I21" s="38">
        <f>-4500-4000-682-4000-1110</f>
        <v>-14292</v>
      </c>
      <c r="J21" s="9">
        <f>-4000</f>
        <v>-4000</v>
      </c>
      <c r="K21" s="115">
        <v>-15000</v>
      </c>
      <c r="L21" s="190">
        <v>-15000</v>
      </c>
      <c r="M21" s="155"/>
      <c r="N21" s="197"/>
    </row>
    <row r="22" spans="1:15" ht="24.6" x14ac:dyDescent="0.3">
      <c r="A22" s="4" t="s">
        <v>39</v>
      </c>
      <c r="B22" s="38">
        <v>-18016</v>
      </c>
      <c r="C22" s="38">
        <v>-18105</v>
      </c>
      <c r="D22" s="38">
        <v>-14387</v>
      </c>
      <c r="E22" s="38">
        <v>-7915</v>
      </c>
      <c r="F22" s="38">
        <v>-13828</v>
      </c>
      <c r="G22" s="38">
        <v>-24118</v>
      </c>
      <c r="H22" s="38">
        <v>-30770</v>
      </c>
      <c r="I22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2" s="9">
        <f>-480-480-600-595-1100-595-480-355</f>
        <v>-4685</v>
      </c>
      <c r="K22" s="115">
        <v>-55000</v>
      </c>
      <c r="L22" s="190">
        <v>-55000</v>
      </c>
      <c r="M22" s="157" t="s">
        <v>1649</v>
      </c>
      <c r="N22" s="197"/>
    </row>
    <row r="23" spans="1:15" x14ac:dyDescent="0.3">
      <c r="A23" s="4" t="s">
        <v>40</v>
      </c>
      <c r="B23" s="38">
        <v>0</v>
      </c>
      <c r="C23" s="38">
        <v>-850</v>
      </c>
      <c r="D23" s="38">
        <v>-625</v>
      </c>
      <c r="E23" s="38">
        <v>-8200</v>
      </c>
      <c r="F23" s="38">
        <v>0</v>
      </c>
      <c r="G23" s="38">
        <v>0</v>
      </c>
      <c r="H23" s="38">
        <v>-2100</v>
      </c>
      <c r="I23" s="38">
        <f>-3950</f>
        <v>-3950</v>
      </c>
      <c r="J23" s="9"/>
      <c r="K23" s="115">
        <v>-4000</v>
      </c>
      <c r="L23" s="190">
        <v>-4000</v>
      </c>
      <c r="M23" s="155"/>
      <c r="N23" s="197"/>
    </row>
    <row r="24" spans="1:15" x14ac:dyDescent="0.3">
      <c r="A24" s="4" t="s">
        <v>36</v>
      </c>
      <c r="B24" s="38">
        <v>-5000</v>
      </c>
      <c r="C24" s="38">
        <v>-350</v>
      </c>
      <c r="D24" s="38">
        <v>0</v>
      </c>
      <c r="E24" s="38">
        <v>-3550</v>
      </c>
      <c r="F24" s="38">
        <v>-10190</v>
      </c>
      <c r="G24" s="38">
        <v>-27295</v>
      </c>
      <c r="H24" s="38">
        <v>-13550</v>
      </c>
      <c r="I24" s="38">
        <f>-1400-1400-2700-3000-1500-1200-1400-1000-1200-1300-1500-800-1200-1400-1400-1190</f>
        <v>-23590</v>
      </c>
      <c r="J24" s="9">
        <f>-800-1200-1100-3350-1400-1000-2000</f>
        <v>-10850</v>
      </c>
      <c r="K24" s="115">
        <v>-25000</v>
      </c>
      <c r="L24" s="190">
        <v>-25000</v>
      </c>
      <c r="M24" s="157"/>
      <c r="N24" s="197"/>
    </row>
    <row r="25" spans="1:15" ht="24.6" x14ac:dyDescent="0.3">
      <c r="A25" s="4" t="s">
        <v>154</v>
      </c>
      <c r="B25" s="38">
        <v>-19050</v>
      </c>
      <c r="C25" s="38">
        <f>-13250-1750</f>
        <v>-15000</v>
      </c>
      <c r="D25" s="38">
        <v>-19650</v>
      </c>
      <c r="E25" s="38">
        <v>-15750</v>
      </c>
      <c r="F25" s="38">
        <v>-21750</v>
      </c>
      <c r="G25" s="38">
        <v>-30300</v>
      </c>
      <c r="H25" s="38">
        <v>-23520</v>
      </c>
      <c r="I25" s="38">
        <f>950+4008-3900-500-15200+1000-500-1000-2000+1000-250-7000-600-7500</f>
        <v>-31492</v>
      </c>
      <c r="J25" s="9">
        <f>-1000-3000</f>
        <v>-4000</v>
      </c>
      <c r="K25" s="115">
        <v>-25000</v>
      </c>
      <c r="L25" s="190">
        <v>-25000</v>
      </c>
      <c r="M25" s="157" t="s">
        <v>1604</v>
      </c>
      <c r="N25" s="197"/>
    </row>
    <row r="26" spans="1:15" x14ac:dyDescent="0.3">
      <c r="A26" s="4" t="s">
        <v>43</v>
      </c>
      <c r="B26" s="38">
        <v>-14470</v>
      </c>
      <c r="C26" s="38">
        <v>-10300</v>
      </c>
      <c r="D26" s="38">
        <v>-4860</v>
      </c>
      <c r="E26" s="38">
        <v>0</v>
      </c>
      <c r="F26" s="38">
        <v>-18405</v>
      </c>
      <c r="G26" s="38">
        <v>-10950</v>
      </c>
      <c r="H26" s="38">
        <v>-9515</v>
      </c>
      <c r="I26" s="38">
        <f>-300-8900+850-1250-3500</f>
        <v>-13100</v>
      </c>
      <c r="J26" s="9"/>
      <c r="K26" s="115">
        <v>-15000</v>
      </c>
      <c r="L26" s="190">
        <v>-15000</v>
      </c>
      <c r="M26" s="155"/>
      <c r="N26" s="197"/>
    </row>
    <row r="27" spans="1:15" x14ac:dyDescent="0.3">
      <c r="A27" s="4" t="s">
        <v>44</v>
      </c>
      <c r="B27" s="38">
        <v>-25000</v>
      </c>
      <c r="C27" s="38">
        <v>-15000</v>
      </c>
      <c r="D27" s="38">
        <v>-17500</v>
      </c>
      <c r="E27" s="38">
        <v>-30416</v>
      </c>
      <c r="F27" s="38">
        <v>-16000</v>
      </c>
      <c r="G27" s="38">
        <v>-34000</v>
      </c>
      <c r="H27" s="38">
        <v>-27000</v>
      </c>
      <c r="I27" s="38">
        <f>-12500-1000-2000-5000-3000</f>
        <v>-23500</v>
      </c>
      <c r="J27" s="9"/>
      <c r="K27" s="115">
        <v>-25000</v>
      </c>
      <c r="L27" s="190">
        <v>-25000</v>
      </c>
      <c r="M27" s="157" t="s">
        <v>1605</v>
      </c>
      <c r="N27" s="197"/>
    </row>
    <row r="28" spans="1:15" x14ac:dyDescent="0.3">
      <c r="A28" s="4" t="s">
        <v>56</v>
      </c>
      <c r="B28" s="38">
        <v>-4459</v>
      </c>
      <c r="C28" s="38">
        <v>-12173</v>
      </c>
      <c r="D28" s="38">
        <v>0</v>
      </c>
      <c r="E28" s="38">
        <v>-180</v>
      </c>
      <c r="F28" s="38">
        <v>-1887</v>
      </c>
      <c r="G28" s="38">
        <v>0</v>
      </c>
      <c r="H28" s="38">
        <v>0</v>
      </c>
      <c r="I28" s="38">
        <v>0</v>
      </c>
      <c r="J28" s="9"/>
      <c r="K28" s="115">
        <v>0</v>
      </c>
      <c r="L28" s="190">
        <v>0</v>
      </c>
      <c r="M28" s="155"/>
    </row>
    <row r="29" spans="1:15" x14ac:dyDescent="0.3">
      <c r="A29" s="4" t="s">
        <v>32</v>
      </c>
      <c r="B29" s="38">
        <f>-2650-3100-1600</f>
        <v>-7350</v>
      </c>
      <c r="C29" s="38">
        <f>-250-2500-1842</f>
        <v>-4592</v>
      </c>
      <c r="D29" s="38">
        <f>-250-4500-1899</f>
        <v>-6649</v>
      </c>
      <c r="E29" s="38">
        <v>-6338</v>
      </c>
      <c r="F29" s="38">
        <v>-6643</v>
      </c>
      <c r="G29" s="38">
        <v>-3530</v>
      </c>
      <c r="H29" s="38">
        <v>-1024</v>
      </c>
      <c r="I29" s="38">
        <f>-774-250</f>
        <v>-1024</v>
      </c>
      <c r="J29" s="9">
        <f>-771-500</f>
        <v>-1271</v>
      </c>
      <c r="K29" s="115">
        <v>-2000</v>
      </c>
      <c r="L29" s="190">
        <v>-2000</v>
      </c>
      <c r="M29" s="155"/>
    </row>
    <row r="30" spans="1:15" x14ac:dyDescent="0.3">
      <c r="A30" s="4" t="s">
        <v>491</v>
      </c>
      <c r="B30" s="38">
        <v>0</v>
      </c>
      <c r="C30" s="38">
        <f>-75994-6425</f>
        <v>-82419</v>
      </c>
      <c r="D30" s="38">
        <f>-29362-12800</f>
        <v>-42162</v>
      </c>
      <c r="E30" s="38">
        <v>0</v>
      </c>
      <c r="F30" s="38">
        <v>0</v>
      </c>
      <c r="G30" s="38">
        <v>-102305</v>
      </c>
      <c r="H30" s="38">
        <v>-94393</v>
      </c>
      <c r="I30" s="38">
        <f>-1824-(23*800)-34400-1130-45448</f>
        <v>-101202</v>
      </c>
      <c r="J30" s="9"/>
      <c r="K30" s="115">
        <v>-100000</v>
      </c>
      <c r="L30" s="190">
        <v>-100000</v>
      </c>
      <c r="M30" s="155"/>
      <c r="N30" s="197"/>
    </row>
    <row r="31" spans="1:15" x14ac:dyDescent="0.3">
      <c r="A31" s="4" t="s">
        <v>33</v>
      </c>
      <c r="B31" s="38">
        <v>0</v>
      </c>
      <c r="C31" s="38">
        <v>0</v>
      </c>
      <c r="D31" s="38">
        <v>0</v>
      </c>
      <c r="E31" s="38">
        <v>-741</v>
      </c>
      <c r="F31" s="38">
        <v>-547</v>
      </c>
      <c r="G31" s="38">
        <v>-154</v>
      </c>
      <c r="H31" s="38">
        <v>-510</v>
      </c>
      <c r="I31" s="38">
        <v>0</v>
      </c>
      <c r="J31" s="9">
        <f>-160</f>
        <v>-160</v>
      </c>
      <c r="K31" s="115">
        <v>0</v>
      </c>
      <c r="L31" s="190">
        <v>0</v>
      </c>
      <c r="M31" s="155"/>
      <c r="N31" s="197"/>
    </row>
    <row r="32" spans="1:15" x14ac:dyDescent="0.3">
      <c r="A32" s="4" t="s">
        <v>493</v>
      </c>
      <c r="B32" s="38">
        <f>-635-7900</f>
        <v>-8535</v>
      </c>
      <c r="C32" s="38">
        <f>-1500-935-3800-2859-81</f>
        <v>-9175</v>
      </c>
      <c r="D32" s="38">
        <f>-755-1100</f>
        <v>-1855</v>
      </c>
      <c r="E32" s="38">
        <f>-2424-5850</f>
        <v>-8274</v>
      </c>
      <c r="F32" s="38">
        <v>-4637.7700000000004</v>
      </c>
      <c r="G32" s="38">
        <f>-2261-14329</f>
        <v>-16590</v>
      </c>
      <c r="H32" s="38">
        <v>-8129</v>
      </c>
      <c r="I32" s="38">
        <f>-469-740+140+140-4815-234</f>
        <v>-5978</v>
      </c>
      <c r="J32" s="9">
        <f>140</f>
        <v>140</v>
      </c>
      <c r="K32" s="115">
        <v>-5000</v>
      </c>
      <c r="L32" s="190">
        <v>-5000</v>
      </c>
      <c r="M32" s="155"/>
      <c r="N32" s="197"/>
    </row>
    <row r="33" spans="1:15" x14ac:dyDescent="0.3">
      <c r="A33" s="7" t="s">
        <v>47</v>
      </c>
      <c r="B33" s="39">
        <f>SUM(B17:B32)</f>
        <v>-218877</v>
      </c>
      <c r="C33" s="39">
        <f t="shared" ref="C33:H33" si="1">SUM(C17:C32)</f>
        <v>-258934</v>
      </c>
      <c r="D33" s="39">
        <f t="shared" si="1"/>
        <v>-187844</v>
      </c>
      <c r="E33" s="39">
        <f t="shared" si="1"/>
        <v>-247088.42</v>
      </c>
      <c r="F33" s="39">
        <f t="shared" si="1"/>
        <v>-325572.77</v>
      </c>
      <c r="G33" s="39">
        <f t="shared" si="1"/>
        <v>-457445</v>
      </c>
      <c r="H33" s="39">
        <f t="shared" si="1"/>
        <v>-467066</v>
      </c>
      <c r="I33" s="39">
        <f>SUM(I17:I32)</f>
        <v>-618159</v>
      </c>
      <c r="J33" s="11">
        <f>SUM(J17:J32)</f>
        <v>-58234</v>
      </c>
      <c r="K33" s="116">
        <f>SUM(K17:K32)</f>
        <v>-591000</v>
      </c>
      <c r="L33" s="191">
        <f>SUM(L17:L32)</f>
        <v>-591000</v>
      </c>
      <c r="M33" s="205"/>
      <c r="N33" s="206"/>
    </row>
    <row r="34" spans="1:15" x14ac:dyDescent="0.3">
      <c r="A34" s="7"/>
      <c r="B34" s="41"/>
      <c r="C34" s="41"/>
      <c r="D34" s="41"/>
      <c r="E34" s="39"/>
      <c r="F34" s="39"/>
      <c r="G34" s="39"/>
      <c r="H34" s="39"/>
      <c r="I34" s="46"/>
      <c r="J34" s="113"/>
      <c r="K34" s="117"/>
      <c r="L34" s="191"/>
      <c r="M34" s="158"/>
      <c r="N34" s="207"/>
    </row>
    <row r="35" spans="1:15" s="13" customFormat="1" ht="38.25" customHeight="1" x14ac:dyDescent="0.3">
      <c r="A35" s="7" t="s">
        <v>48</v>
      </c>
      <c r="B35" s="39">
        <f t="shared" ref="B35:K35" si="2">+B33+B14</f>
        <v>-27148</v>
      </c>
      <c r="C35" s="39">
        <f t="shared" si="2"/>
        <v>86552</v>
      </c>
      <c r="D35" s="39">
        <f t="shared" si="2"/>
        <v>32263</v>
      </c>
      <c r="E35" s="39">
        <f t="shared" si="2"/>
        <v>-7480.1300000000338</v>
      </c>
      <c r="F35" s="39">
        <f t="shared" si="2"/>
        <v>-25959.489999999991</v>
      </c>
      <c r="G35" s="39">
        <f t="shared" si="2"/>
        <v>-167525</v>
      </c>
      <c r="H35" s="39">
        <f t="shared" si="2"/>
        <v>13685</v>
      </c>
      <c r="I35" s="12">
        <f t="shared" si="2"/>
        <v>10177</v>
      </c>
      <c r="J35" s="11">
        <f t="shared" si="2"/>
        <v>43566</v>
      </c>
      <c r="K35" s="116">
        <f t="shared" si="2"/>
        <v>9000</v>
      </c>
      <c r="L35" s="191">
        <f>L14+L33</f>
        <v>9000</v>
      </c>
      <c r="M35" s="158"/>
      <c r="N35" s="207"/>
    </row>
    <row r="36" spans="1:15" s="13" customFormat="1" x14ac:dyDescent="0.3">
      <c r="A36" s="7"/>
      <c r="B36" s="41"/>
      <c r="C36" s="41"/>
      <c r="D36" s="41"/>
      <c r="E36" s="39"/>
      <c r="F36" s="39"/>
      <c r="G36" s="39"/>
      <c r="H36" s="39"/>
      <c r="I36" s="12"/>
      <c r="J36" s="11"/>
      <c r="K36" s="116"/>
      <c r="L36" s="191"/>
      <c r="M36" s="158"/>
      <c r="N36" s="207"/>
    </row>
    <row r="37" spans="1:15" s="13" customFormat="1" x14ac:dyDescent="0.3">
      <c r="A37" s="7" t="s">
        <v>1530</v>
      </c>
      <c r="B37" s="39">
        <v>-10000</v>
      </c>
      <c r="C37" s="39">
        <v>-10000</v>
      </c>
      <c r="D37" s="39">
        <v>-10000</v>
      </c>
      <c r="E37" s="39">
        <v>-10000</v>
      </c>
      <c r="F37" s="39">
        <v>-10000</v>
      </c>
      <c r="G37" s="39">
        <v>-14449</v>
      </c>
      <c r="H37" s="39">
        <v>0</v>
      </c>
      <c r="I37" s="12">
        <v>0</v>
      </c>
      <c r="J37" s="11">
        <v>0</v>
      </c>
      <c r="K37" s="116">
        <v>0</v>
      </c>
      <c r="L37" s="191">
        <v>0</v>
      </c>
      <c r="M37" s="155"/>
      <c r="N37" s="206"/>
    </row>
    <row r="38" spans="1:15" s="13" customFormat="1" ht="16.2" thickBot="1" x14ac:dyDescent="0.35">
      <c r="A38" s="7"/>
      <c r="B38" s="41"/>
      <c r="C38" s="41"/>
      <c r="D38" s="41"/>
      <c r="E38" s="39"/>
      <c r="F38" s="39"/>
      <c r="G38" s="39"/>
      <c r="H38" s="39"/>
      <c r="I38" s="12"/>
      <c r="J38" s="11"/>
      <c r="K38" s="116"/>
      <c r="L38" s="210"/>
      <c r="M38" s="205"/>
      <c r="N38" s="206"/>
    </row>
    <row r="39" spans="1:15" s="13" customFormat="1" ht="16.2" thickBot="1" x14ac:dyDescent="0.35">
      <c r="A39" s="7" t="s">
        <v>88</v>
      </c>
      <c r="B39" s="39">
        <f t="shared" ref="B39:K39" si="3">+B37+B35</f>
        <v>-37148</v>
      </c>
      <c r="C39" s="39">
        <f t="shared" si="3"/>
        <v>76552</v>
      </c>
      <c r="D39" s="39">
        <f t="shared" si="3"/>
        <v>22263</v>
      </c>
      <c r="E39" s="39">
        <f t="shared" si="3"/>
        <v>-17480.130000000034</v>
      </c>
      <c r="F39" s="39">
        <f t="shared" si="3"/>
        <v>-35959.489999999991</v>
      </c>
      <c r="G39" s="39">
        <f t="shared" si="3"/>
        <v>-181974</v>
      </c>
      <c r="H39" s="39">
        <f t="shared" si="3"/>
        <v>13685</v>
      </c>
      <c r="I39" s="12">
        <f t="shared" si="3"/>
        <v>10177</v>
      </c>
      <c r="J39" s="154">
        <f t="shared" si="3"/>
        <v>43566</v>
      </c>
      <c r="K39" s="33">
        <f t="shared" si="3"/>
        <v>9000</v>
      </c>
      <c r="L39" s="192">
        <f>+L37+L35</f>
        <v>9000</v>
      </c>
      <c r="M39" s="155"/>
      <c r="N39" s="208"/>
    </row>
    <row r="40" spans="1:15" s="13" customFormat="1" x14ac:dyDescent="0.3">
      <c r="A40" s="4"/>
      <c r="B40" s="4"/>
      <c r="C40" s="4"/>
      <c r="D40" s="4"/>
      <c r="E40" s="4"/>
      <c r="F40" s="4"/>
      <c r="G40" s="4"/>
      <c r="H40" s="4"/>
      <c r="K40" s="58"/>
      <c r="L40" s="58"/>
      <c r="M40" s="196"/>
      <c r="N40" s="155"/>
    </row>
    <row r="42" spans="1:15" x14ac:dyDescent="0.3">
      <c r="K42" s="99"/>
    </row>
    <row r="43" spans="1:15" x14ac:dyDescent="0.3">
      <c r="K43" s="222"/>
    </row>
    <row r="44" spans="1:15" x14ac:dyDescent="0.3">
      <c r="K44" s="207"/>
    </row>
    <row r="45" spans="1:15" x14ac:dyDescent="0.3">
      <c r="K45" s="222"/>
    </row>
    <row r="46" spans="1:15" s="4" customFormat="1" x14ac:dyDescent="0.3">
      <c r="K46" s="99"/>
      <c r="M46" s="196"/>
      <c r="N46" s="155"/>
      <c r="O46" s="1"/>
    </row>
    <row r="47" spans="1:15" s="4" customFormat="1" x14ac:dyDescent="0.3">
      <c r="K47" s="99"/>
      <c r="M47" s="196"/>
      <c r="N47" s="155"/>
      <c r="O47" s="1"/>
    </row>
    <row r="48" spans="1:15" s="4" customFormat="1" x14ac:dyDescent="0.3">
      <c r="K48" s="99"/>
      <c r="M48" s="196"/>
      <c r="N48" s="155"/>
      <c r="O48" s="1"/>
    </row>
    <row r="49" spans="11:15" s="4" customFormat="1" x14ac:dyDescent="0.3">
      <c r="K49" s="99"/>
      <c r="M49" s="196"/>
      <c r="N49" s="155"/>
      <c r="O49" s="1"/>
    </row>
    <row r="50" spans="11:15" x14ac:dyDescent="0.3">
      <c r="K50" s="99"/>
    </row>
    <row r="51" spans="11:15" x14ac:dyDescent="0.3">
      <c r="K51" s="223"/>
    </row>
  </sheetData>
  <mergeCells count="1">
    <mergeCell ref="E1:G1"/>
  </mergeCells>
  <pageMargins left="0.7" right="0.7" top="0.75" bottom="0.75" header="0.3" footer="0.3"/>
  <pageSetup paperSize="9" scale="66" orientation="landscape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  <pageSetUpPr fitToPage="1"/>
  </sheetPr>
  <dimension ref="A1:O51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bestFit="1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0" width="16.44140625" style="1" customWidth="1"/>
    <col min="11" max="12" width="18.5546875" style="1" bestFit="1" customWidth="1"/>
    <col min="13" max="13" width="27" style="196" customWidth="1"/>
    <col min="14" max="14" width="12" style="155" customWidth="1"/>
    <col min="15" max="16384" width="9.109375" style="1"/>
  </cols>
  <sheetData>
    <row r="1" spans="1:14" ht="31.8" thickBot="1" x14ac:dyDescent="0.65">
      <c r="A1" s="211" t="s">
        <v>486</v>
      </c>
      <c r="C1" s="224"/>
      <c r="D1" s="224"/>
      <c r="E1" s="295" t="s">
        <v>487</v>
      </c>
      <c r="F1" s="295"/>
      <c r="G1" s="295"/>
    </row>
    <row r="2" spans="1:14" ht="16.2" thickBot="1" x14ac:dyDescent="0.35"/>
    <row r="3" spans="1:14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227">
        <v>2016</v>
      </c>
      <c r="K3" s="57" t="s">
        <v>809</v>
      </c>
      <c r="L3" s="44" t="s">
        <v>1591</v>
      </c>
      <c r="M3" s="156"/>
      <c r="N3" s="156"/>
    </row>
    <row r="4" spans="1:14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110">
        <v>42429</v>
      </c>
      <c r="K4" s="110">
        <v>42735</v>
      </c>
      <c r="L4" s="209"/>
      <c r="M4" s="156"/>
      <c r="N4" s="156"/>
    </row>
    <row r="5" spans="1:14" ht="16.2" thickBot="1" x14ac:dyDescent="0.35">
      <c r="A5" s="32" t="s">
        <v>19</v>
      </c>
      <c r="B5" s="10"/>
      <c r="C5" s="7"/>
      <c r="D5" s="7"/>
      <c r="I5" s="4"/>
      <c r="J5" s="111"/>
      <c r="K5" s="111"/>
      <c r="L5" s="8"/>
      <c r="M5" s="155"/>
    </row>
    <row r="6" spans="1:14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9"/>
      <c r="K6" s="115">
        <v>200000</v>
      </c>
      <c r="L6" s="190">
        <v>200000</v>
      </c>
      <c r="M6" s="217" t="s">
        <v>1601</v>
      </c>
    </row>
    <row r="7" spans="1:14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9"/>
      <c r="K7" s="115">
        <v>110000</v>
      </c>
      <c r="L7" s="190">
        <v>110000</v>
      </c>
      <c r="M7" s="217" t="s">
        <v>1602</v>
      </c>
    </row>
    <row r="8" spans="1:14" x14ac:dyDescent="0.3">
      <c r="A8" s="4" t="s">
        <v>1488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9"/>
      <c r="K8" s="115">
        <v>80000</v>
      </c>
      <c r="L8" s="190">
        <v>80000</v>
      </c>
      <c r="M8" s="155"/>
    </row>
    <row r="9" spans="1:14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9"/>
      <c r="K9" s="115">
        <v>35000</v>
      </c>
      <c r="L9" s="190">
        <v>35000</v>
      </c>
      <c r="M9" s="217" t="s">
        <v>1546</v>
      </c>
    </row>
    <row r="10" spans="1:14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9">
        <f>30000</f>
        <v>30000</v>
      </c>
      <c r="K10" s="115">
        <v>60000</v>
      </c>
      <c r="L10" s="190">
        <v>60000</v>
      </c>
      <c r="M10" s="155"/>
    </row>
    <row r="11" spans="1:14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9"/>
      <c r="K11" s="115">
        <v>100000</v>
      </c>
      <c r="L11" s="190">
        <v>100000</v>
      </c>
      <c r="M11" s="155"/>
    </row>
    <row r="12" spans="1:14" x14ac:dyDescent="0.3">
      <c r="A12" s="4" t="s">
        <v>27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1824.88</v>
      </c>
      <c r="G12" s="38">
        <v>514</v>
      </c>
      <c r="H12" s="38">
        <v>101</v>
      </c>
      <c r="I12" s="38">
        <v>13</v>
      </c>
      <c r="J12" s="9"/>
      <c r="K12" s="115">
        <v>0</v>
      </c>
      <c r="L12" s="190">
        <v>0</v>
      </c>
      <c r="M12" s="155"/>
    </row>
    <row r="13" spans="1:14" x14ac:dyDescent="0.3">
      <c r="A13" s="4" t="s">
        <v>490</v>
      </c>
      <c r="B13" s="38">
        <f>3455+2000</f>
        <v>5455</v>
      </c>
      <c r="C13" s="38">
        <f>400+10000+12000</f>
        <v>22400</v>
      </c>
      <c r="D13" s="38">
        <v>4112</v>
      </c>
      <c r="E13" s="38">
        <f>4135+5600</f>
        <v>9735</v>
      </c>
      <c r="F13" s="38">
        <f>1987+4050</f>
        <v>6037</v>
      </c>
      <c r="G13" s="38">
        <v>1630</v>
      </c>
      <c r="H13" s="38">
        <v>16554</v>
      </c>
      <c r="I13" s="38">
        <f>28269-19125+4390+6756</f>
        <v>20290</v>
      </c>
      <c r="J13" s="9">
        <f>2914</f>
        <v>2914</v>
      </c>
      <c r="K13" s="115">
        <v>15000</v>
      </c>
      <c r="L13" s="190">
        <v>15000</v>
      </c>
      <c r="M13" s="155"/>
    </row>
    <row r="14" spans="1:14" x14ac:dyDescent="0.3">
      <c r="A14" s="7" t="s">
        <v>29</v>
      </c>
      <c r="B14" s="39">
        <f t="shared" ref="B14:L14" si="0">SUM(B6:B13)</f>
        <v>191729</v>
      </c>
      <c r="C14" s="39">
        <f t="shared" si="0"/>
        <v>345486</v>
      </c>
      <c r="D14" s="39">
        <f t="shared" si="0"/>
        <v>220107</v>
      </c>
      <c r="E14" s="39">
        <f t="shared" si="0"/>
        <v>239608.28999999998</v>
      </c>
      <c r="F14" s="39">
        <f t="shared" si="0"/>
        <v>299613.28000000003</v>
      </c>
      <c r="G14" s="39">
        <f t="shared" si="0"/>
        <v>289920</v>
      </c>
      <c r="H14" s="39">
        <f t="shared" si="0"/>
        <v>480751</v>
      </c>
      <c r="I14" s="39">
        <f>SUM(I6:I13)</f>
        <v>628336</v>
      </c>
      <c r="J14" s="11">
        <f t="shared" si="0"/>
        <v>32914</v>
      </c>
      <c r="K14" s="116">
        <f t="shared" si="0"/>
        <v>600000</v>
      </c>
      <c r="L14" s="191">
        <f t="shared" si="0"/>
        <v>600000</v>
      </c>
      <c r="M14" s="155"/>
    </row>
    <row r="15" spans="1:14" ht="16.2" thickBot="1" x14ac:dyDescent="0.35">
      <c r="B15" s="38"/>
      <c r="C15" s="40"/>
      <c r="D15" s="40"/>
      <c r="E15" s="38"/>
      <c r="F15" s="40"/>
      <c r="G15" s="40"/>
      <c r="H15" s="40"/>
      <c r="I15" s="40"/>
      <c r="J15" s="111"/>
      <c r="K15" s="117"/>
      <c r="L15" s="190"/>
      <c r="M15" s="155"/>
    </row>
    <row r="16" spans="1:14" s="13" customFormat="1" ht="16.2" thickBot="1" x14ac:dyDescent="0.35">
      <c r="A16" s="32" t="s">
        <v>30</v>
      </c>
      <c r="B16" s="38"/>
      <c r="C16" s="41"/>
      <c r="D16" s="41"/>
      <c r="E16" s="38"/>
      <c r="F16" s="41"/>
      <c r="G16" s="41"/>
      <c r="H16" s="41"/>
      <c r="I16" s="41"/>
      <c r="J16" s="112"/>
      <c r="K16" s="118"/>
      <c r="L16" s="190"/>
      <c r="M16" s="159"/>
      <c r="N16" s="159"/>
    </row>
    <row r="17" spans="1:15" x14ac:dyDescent="0.3">
      <c r="A17" s="4" t="s">
        <v>45</v>
      </c>
      <c r="B17" s="38">
        <v>-32646</v>
      </c>
      <c r="C17" s="38">
        <v>-42437</v>
      </c>
      <c r="D17" s="38">
        <v>-26923</v>
      </c>
      <c r="E17" s="38">
        <v>-32572</v>
      </c>
      <c r="F17" s="38">
        <v>-50743</v>
      </c>
      <c r="G17" s="38">
        <v>-52811</v>
      </c>
      <c r="H17" s="38">
        <v>-126816</v>
      </c>
      <c r="I17" s="38">
        <f>-953-23023-1120-3576-498-29220-3576-3576-48894</f>
        <v>-114436</v>
      </c>
      <c r="J17" s="9">
        <f>-975-3576-25151</f>
        <v>-29702</v>
      </c>
      <c r="K17" s="115">
        <v>-120000</v>
      </c>
      <c r="L17" s="190">
        <v>-120000</v>
      </c>
      <c r="M17" s="155"/>
      <c r="N17" s="197"/>
      <c r="O17" s="55"/>
    </row>
    <row r="18" spans="1:15" ht="24.6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9">
        <f>-321-213-89-336</f>
        <v>-959</v>
      </c>
      <c r="K18" s="115">
        <v>-130000</v>
      </c>
      <c r="L18" s="190">
        <v>-130000</v>
      </c>
      <c r="M18" s="157" t="s">
        <v>1634</v>
      </c>
      <c r="N18" s="197"/>
    </row>
    <row r="19" spans="1:15" x14ac:dyDescent="0.3">
      <c r="A19" s="4" t="s">
        <v>508</v>
      </c>
      <c r="B19" s="38">
        <v>-11755</v>
      </c>
      <c r="C19" s="38">
        <v>-20024</v>
      </c>
      <c r="D19" s="38">
        <v>-13297</v>
      </c>
      <c r="E19" s="38">
        <v>-14853.42</v>
      </c>
      <c r="F19" s="38">
        <v>-18717</v>
      </c>
      <c r="G19" s="38">
        <v>-4027</v>
      </c>
      <c r="H19" s="38">
        <v>-20624</v>
      </c>
      <c r="I19" s="38">
        <f>-3208-5440+2557-5729-1907+1985-874-1767-2130-3432-789-9120-114-867-1407-1435-38-5807-8282</f>
        <v>-47804</v>
      </c>
      <c r="J19" s="9"/>
      <c r="K19" s="115">
        <v>-20000</v>
      </c>
      <c r="L19" s="190">
        <v>-20000</v>
      </c>
      <c r="M19" s="157" t="s">
        <v>1603</v>
      </c>
      <c r="N19" s="197"/>
    </row>
    <row r="20" spans="1:15" x14ac:dyDescent="0.3">
      <c r="A20" s="4" t="s">
        <v>1633</v>
      </c>
      <c r="B20" s="38">
        <v>-4800</v>
      </c>
      <c r="C20" s="38">
        <v>-3398</v>
      </c>
      <c r="D20" s="38">
        <v>0</v>
      </c>
      <c r="E20" s="38">
        <v>-7138</v>
      </c>
      <c r="F20" s="38">
        <v>-3450</v>
      </c>
      <c r="G20" s="38">
        <v>-8100</v>
      </c>
      <c r="H20" s="38">
        <v>-6790</v>
      </c>
      <c r="I20" s="38">
        <f>-2940-7000-2500-2800-185+23111-23111-31150-1700-495-1000</f>
        <v>-49770</v>
      </c>
      <c r="J20" s="9"/>
      <c r="K20" s="115">
        <v>-50000</v>
      </c>
      <c r="L20" s="190">
        <v>-50000</v>
      </c>
      <c r="M20" s="155"/>
      <c r="N20" s="197"/>
    </row>
    <row r="21" spans="1:15" x14ac:dyDescent="0.3">
      <c r="A21" s="4" t="s">
        <v>940</v>
      </c>
      <c r="B21" s="38">
        <v>0</v>
      </c>
      <c r="C21" s="38">
        <v>-1700</v>
      </c>
      <c r="D21" s="38">
        <v>0</v>
      </c>
      <c r="E21" s="38">
        <v>-3400</v>
      </c>
      <c r="F21" s="38">
        <v>-3900</v>
      </c>
      <c r="G21" s="38">
        <v>-4550</v>
      </c>
      <c r="H21" s="38">
        <v>-7520</v>
      </c>
      <c r="I21" s="38">
        <f>-4500-4000-682-4000-1110</f>
        <v>-14292</v>
      </c>
      <c r="J21" s="9">
        <f>-4000</f>
        <v>-4000</v>
      </c>
      <c r="K21" s="115">
        <v>-15000</v>
      </c>
      <c r="L21" s="190">
        <v>-15000</v>
      </c>
      <c r="M21" s="155"/>
      <c r="N21" s="197"/>
    </row>
    <row r="22" spans="1:15" ht="24.6" x14ac:dyDescent="0.3">
      <c r="A22" s="4" t="s">
        <v>39</v>
      </c>
      <c r="B22" s="38">
        <v>-18016</v>
      </c>
      <c r="C22" s="38">
        <v>-18105</v>
      </c>
      <c r="D22" s="38">
        <v>-14387</v>
      </c>
      <c r="E22" s="38">
        <v>-7915</v>
      </c>
      <c r="F22" s="38">
        <v>-13828</v>
      </c>
      <c r="G22" s="38">
        <v>-24118</v>
      </c>
      <c r="H22" s="38">
        <v>-30770</v>
      </c>
      <c r="I22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2" s="9"/>
      <c r="K22" s="115">
        <v>-55000</v>
      </c>
      <c r="L22" s="190">
        <v>-55000</v>
      </c>
      <c r="M22" s="157" t="s">
        <v>1352</v>
      </c>
      <c r="N22" s="197"/>
    </row>
    <row r="23" spans="1:15" x14ac:dyDescent="0.3">
      <c r="A23" s="4" t="s">
        <v>40</v>
      </c>
      <c r="B23" s="38">
        <v>0</v>
      </c>
      <c r="C23" s="38">
        <v>-850</v>
      </c>
      <c r="D23" s="38">
        <v>-625</v>
      </c>
      <c r="E23" s="38">
        <v>-8200</v>
      </c>
      <c r="F23" s="38">
        <v>0</v>
      </c>
      <c r="G23" s="38">
        <v>0</v>
      </c>
      <c r="H23" s="38">
        <v>-2100</v>
      </c>
      <c r="I23" s="38">
        <f>-3950</f>
        <v>-3950</v>
      </c>
      <c r="J23" s="9"/>
      <c r="K23" s="115">
        <v>-4000</v>
      </c>
      <c r="L23" s="190">
        <v>-4000</v>
      </c>
      <c r="M23" s="155"/>
      <c r="N23" s="197"/>
    </row>
    <row r="24" spans="1:15" x14ac:dyDescent="0.3">
      <c r="A24" s="4" t="s">
        <v>36</v>
      </c>
      <c r="B24" s="38">
        <v>-5000</v>
      </c>
      <c r="C24" s="38">
        <v>-350</v>
      </c>
      <c r="D24" s="38">
        <v>0</v>
      </c>
      <c r="E24" s="38">
        <v>-3550</v>
      </c>
      <c r="F24" s="38">
        <v>-10190</v>
      </c>
      <c r="G24" s="38">
        <v>-27295</v>
      </c>
      <c r="H24" s="38">
        <v>-13550</v>
      </c>
      <c r="I24" s="38">
        <f>-1400-1400-2700-3000-1500-1200-1400-1000-1200-1300-1500-800-1200-1400-1400-1190</f>
        <v>-23590</v>
      </c>
      <c r="J24" s="9">
        <f>-800-1200-1100-3350</f>
        <v>-6450</v>
      </c>
      <c r="K24" s="115">
        <v>-25000</v>
      </c>
      <c r="L24" s="190">
        <v>-25000</v>
      </c>
      <c r="M24" s="157"/>
      <c r="N24" s="197"/>
    </row>
    <row r="25" spans="1:15" ht="24.6" x14ac:dyDescent="0.3">
      <c r="A25" s="4" t="s">
        <v>154</v>
      </c>
      <c r="B25" s="38">
        <v>-19050</v>
      </c>
      <c r="C25" s="38">
        <f>-13250-1750</f>
        <v>-15000</v>
      </c>
      <c r="D25" s="38">
        <v>-19650</v>
      </c>
      <c r="E25" s="38">
        <v>-15750</v>
      </c>
      <c r="F25" s="38">
        <v>-21750</v>
      </c>
      <c r="G25" s="38">
        <v>-30300</v>
      </c>
      <c r="H25" s="38">
        <v>-23520</v>
      </c>
      <c r="I25" s="38">
        <f>950+4008-3900-500-15200+1000-500-1000-2000+1000-250-7000-600-7500</f>
        <v>-31492</v>
      </c>
      <c r="J25" s="9">
        <f>-1000</f>
        <v>-1000</v>
      </c>
      <c r="K25" s="115">
        <v>-25000</v>
      </c>
      <c r="L25" s="190">
        <v>-25000</v>
      </c>
      <c r="M25" s="157" t="s">
        <v>1604</v>
      </c>
      <c r="N25" s="197"/>
    </row>
    <row r="26" spans="1:15" x14ac:dyDescent="0.3">
      <c r="A26" s="4" t="s">
        <v>43</v>
      </c>
      <c r="B26" s="38">
        <v>-14470</v>
      </c>
      <c r="C26" s="38">
        <v>-10300</v>
      </c>
      <c r="D26" s="38">
        <v>-4860</v>
      </c>
      <c r="E26" s="38">
        <v>0</v>
      </c>
      <c r="F26" s="38">
        <v>-18405</v>
      </c>
      <c r="G26" s="38">
        <v>-10950</v>
      </c>
      <c r="H26" s="38">
        <v>-9515</v>
      </c>
      <c r="I26" s="38">
        <f>-300-8900+850-1250-3500</f>
        <v>-13100</v>
      </c>
      <c r="J26" s="9"/>
      <c r="K26" s="115">
        <v>-15000</v>
      </c>
      <c r="L26" s="190">
        <v>-15000</v>
      </c>
      <c r="M26" s="155"/>
      <c r="N26" s="197"/>
    </row>
    <row r="27" spans="1:15" x14ac:dyDescent="0.3">
      <c r="A27" s="4" t="s">
        <v>44</v>
      </c>
      <c r="B27" s="38">
        <v>-25000</v>
      </c>
      <c r="C27" s="38">
        <v>-15000</v>
      </c>
      <c r="D27" s="38">
        <v>-17500</v>
      </c>
      <c r="E27" s="38">
        <v>-30416</v>
      </c>
      <c r="F27" s="38">
        <v>-16000</v>
      </c>
      <c r="G27" s="38">
        <v>-34000</v>
      </c>
      <c r="H27" s="38">
        <v>-27000</v>
      </c>
      <c r="I27" s="38">
        <f>-12500-1000-2000-5000-3000</f>
        <v>-23500</v>
      </c>
      <c r="J27" s="9"/>
      <c r="K27" s="115">
        <v>-25000</v>
      </c>
      <c r="L27" s="190">
        <v>-25000</v>
      </c>
      <c r="M27" s="157" t="s">
        <v>1605</v>
      </c>
      <c r="N27" s="197"/>
    </row>
    <row r="28" spans="1:15" x14ac:dyDescent="0.3">
      <c r="A28" s="4" t="s">
        <v>56</v>
      </c>
      <c r="B28" s="38">
        <v>-4459</v>
      </c>
      <c r="C28" s="38">
        <v>-12173</v>
      </c>
      <c r="D28" s="38">
        <v>0</v>
      </c>
      <c r="E28" s="38">
        <v>-180</v>
      </c>
      <c r="F28" s="38">
        <v>-1887</v>
      </c>
      <c r="G28" s="38">
        <v>0</v>
      </c>
      <c r="H28" s="38">
        <v>0</v>
      </c>
      <c r="I28" s="38">
        <v>0</v>
      </c>
      <c r="J28" s="9"/>
      <c r="K28" s="115">
        <v>0</v>
      </c>
      <c r="L28" s="190">
        <v>0</v>
      </c>
      <c r="M28" s="155"/>
    </row>
    <row r="29" spans="1:15" x14ac:dyDescent="0.3">
      <c r="A29" s="4" t="s">
        <v>32</v>
      </c>
      <c r="B29" s="38">
        <f>-2650-3100-1600</f>
        <v>-7350</v>
      </c>
      <c r="C29" s="38">
        <f>-250-2500-1842</f>
        <v>-4592</v>
      </c>
      <c r="D29" s="38">
        <f>-250-4500-1899</f>
        <v>-6649</v>
      </c>
      <c r="E29" s="38">
        <v>-6338</v>
      </c>
      <c r="F29" s="38">
        <v>-6643</v>
      </c>
      <c r="G29" s="38">
        <v>-3530</v>
      </c>
      <c r="H29" s="38">
        <v>-1024</v>
      </c>
      <c r="I29" s="38">
        <f>-774-250</f>
        <v>-1024</v>
      </c>
      <c r="J29" s="9">
        <f>-771-500</f>
        <v>-1271</v>
      </c>
      <c r="K29" s="115">
        <v>-2000</v>
      </c>
      <c r="L29" s="190">
        <v>-2000</v>
      </c>
      <c r="M29" s="155"/>
    </row>
    <row r="30" spans="1:15" x14ac:dyDescent="0.3">
      <c r="A30" s="4" t="s">
        <v>491</v>
      </c>
      <c r="B30" s="38">
        <v>0</v>
      </c>
      <c r="C30" s="38">
        <f>-75994-6425</f>
        <v>-82419</v>
      </c>
      <c r="D30" s="38">
        <f>-29362-12800</f>
        <v>-42162</v>
      </c>
      <c r="E30" s="38">
        <v>0</v>
      </c>
      <c r="F30" s="38">
        <v>0</v>
      </c>
      <c r="G30" s="38">
        <v>-102305</v>
      </c>
      <c r="H30" s="38">
        <v>-94393</v>
      </c>
      <c r="I30" s="38">
        <f>-1824-(23*800)-34400-1130-45448</f>
        <v>-101202</v>
      </c>
      <c r="J30" s="9"/>
      <c r="K30" s="115">
        <v>-100000</v>
      </c>
      <c r="L30" s="190">
        <v>-100000</v>
      </c>
      <c r="M30" s="155"/>
      <c r="N30" s="197"/>
    </row>
    <row r="31" spans="1:15" x14ac:dyDescent="0.3">
      <c r="A31" s="4" t="s">
        <v>33</v>
      </c>
      <c r="B31" s="38">
        <v>0</v>
      </c>
      <c r="C31" s="38">
        <v>0</v>
      </c>
      <c r="D31" s="38">
        <v>0</v>
      </c>
      <c r="E31" s="38">
        <v>-741</v>
      </c>
      <c r="F31" s="38">
        <v>-547</v>
      </c>
      <c r="G31" s="38">
        <v>-154</v>
      </c>
      <c r="H31" s="38">
        <v>-510</v>
      </c>
      <c r="I31" s="38">
        <v>0</v>
      </c>
      <c r="J31" s="9">
        <f>-160</f>
        <v>-160</v>
      </c>
      <c r="K31" s="115">
        <v>0</v>
      </c>
      <c r="L31" s="190">
        <v>0</v>
      </c>
      <c r="M31" s="155"/>
      <c r="N31" s="197"/>
    </row>
    <row r="32" spans="1:15" x14ac:dyDescent="0.3">
      <c r="A32" s="4" t="s">
        <v>493</v>
      </c>
      <c r="B32" s="38">
        <f>-635-7900</f>
        <v>-8535</v>
      </c>
      <c r="C32" s="38">
        <f>-1500-935-3800-2859-81</f>
        <v>-9175</v>
      </c>
      <c r="D32" s="38">
        <f>-755-1100</f>
        <v>-1855</v>
      </c>
      <c r="E32" s="38">
        <f>-2424-5850</f>
        <v>-8274</v>
      </c>
      <c r="F32" s="38">
        <v>-4637.7700000000004</v>
      </c>
      <c r="G32" s="38">
        <f>-2261-14329</f>
        <v>-16590</v>
      </c>
      <c r="H32" s="38">
        <v>-8129</v>
      </c>
      <c r="I32" s="38">
        <f>-469-740+140+140-4815-234</f>
        <v>-5978</v>
      </c>
      <c r="J32" s="9">
        <f>140</f>
        <v>140</v>
      </c>
      <c r="K32" s="115">
        <v>-5000</v>
      </c>
      <c r="L32" s="190">
        <v>-5000</v>
      </c>
      <c r="M32" s="155"/>
      <c r="N32" s="197"/>
    </row>
    <row r="33" spans="1:15" x14ac:dyDescent="0.3">
      <c r="A33" s="7" t="s">
        <v>47</v>
      </c>
      <c r="B33" s="39">
        <f>SUM(B17:B32)</f>
        <v>-218877</v>
      </c>
      <c r="C33" s="39">
        <f t="shared" ref="C33:H33" si="1">SUM(C17:C32)</f>
        <v>-258934</v>
      </c>
      <c r="D33" s="39">
        <f t="shared" si="1"/>
        <v>-187844</v>
      </c>
      <c r="E33" s="39">
        <f t="shared" si="1"/>
        <v>-247088.42</v>
      </c>
      <c r="F33" s="39">
        <f t="shared" si="1"/>
        <v>-325572.77</v>
      </c>
      <c r="G33" s="39">
        <f t="shared" si="1"/>
        <v>-457445</v>
      </c>
      <c r="H33" s="39">
        <f t="shared" si="1"/>
        <v>-467066</v>
      </c>
      <c r="I33" s="39">
        <f>SUM(I17:I32)</f>
        <v>-618159</v>
      </c>
      <c r="J33" s="11">
        <f>SUM(J17:J32)</f>
        <v>-43402</v>
      </c>
      <c r="K33" s="116">
        <f>SUM(K17:K32)</f>
        <v>-591000</v>
      </c>
      <c r="L33" s="191">
        <f>SUM(L17:L32)</f>
        <v>-591000</v>
      </c>
      <c r="M33" s="205"/>
      <c r="N33" s="206"/>
    </row>
    <row r="34" spans="1:15" x14ac:dyDescent="0.3">
      <c r="A34" s="7"/>
      <c r="B34" s="41"/>
      <c r="C34" s="41"/>
      <c r="D34" s="41"/>
      <c r="E34" s="39"/>
      <c r="F34" s="39"/>
      <c r="G34" s="39"/>
      <c r="H34" s="39"/>
      <c r="I34" s="46"/>
      <c r="J34" s="113"/>
      <c r="K34" s="117"/>
      <c r="L34" s="191"/>
      <c r="M34" s="158"/>
      <c r="N34" s="207"/>
    </row>
    <row r="35" spans="1:15" s="13" customFormat="1" ht="38.25" customHeight="1" x14ac:dyDescent="0.3">
      <c r="A35" s="7" t="s">
        <v>48</v>
      </c>
      <c r="B35" s="39">
        <f t="shared" ref="B35:K35" si="2">+B33+B14</f>
        <v>-27148</v>
      </c>
      <c r="C35" s="39">
        <f t="shared" si="2"/>
        <v>86552</v>
      </c>
      <c r="D35" s="39">
        <f t="shared" si="2"/>
        <v>32263</v>
      </c>
      <c r="E35" s="39">
        <f t="shared" si="2"/>
        <v>-7480.1300000000338</v>
      </c>
      <c r="F35" s="39">
        <f t="shared" si="2"/>
        <v>-25959.489999999991</v>
      </c>
      <c r="G35" s="39">
        <f t="shared" si="2"/>
        <v>-167525</v>
      </c>
      <c r="H35" s="39">
        <f t="shared" si="2"/>
        <v>13685</v>
      </c>
      <c r="I35" s="12">
        <f>+I33+I14</f>
        <v>10177</v>
      </c>
      <c r="J35" s="11">
        <f t="shared" si="2"/>
        <v>-10488</v>
      </c>
      <c r="K35" s="116">
        <f t="shared" si="2"/>
        <v>9000</v>
      </c>
      <c r="L35" s="191">
        <f>L14+L33</f>
        <v>9000</v>
      </c>
      <c r="M35" s="158"/>
      <c r="N35" s="207"/>
    </row>
    <row r="36" spans="1:15" s="13" customFormat="1" x14ac:dyDescent="0.3">
      <c r="A36" s="7"/>
      <c r="B36" s="41"/>
      <c r="C36" s="41"/>
      <c r="D36" s="41"/>
      <c r="E36" s="39"/>
      <c r="F36" s="39"/>
      <c r="G36" s="39"/>
      <c r="H36" s="39"/>
      <c r="I36" s="12"/>
      <c r="J36" s="11"/>
      <c r="K36" s="116"/>
      <c r="L36" s="191"/>
      <c r="M36" s="158"/>
      <c r="N36" s="207"/>
    </row>
    <row r="37" spans="1:15" s="13" customFormat="1" x14ac:dyDescent="0.3">
      <c r="A37" s="7" t="s">
        <v>1530</v>
      </c>
      <c r="B37" s="39">
        <v>-10000</v>
      </c>
      <c r="C37" s="39">
        <v>-10000</v>
      </c>
      <c r="D37" s="39">
        <v>-10000</v>
      </c>
      <c r="E37" s="39">
        <v>-10000</v>
      </c>
      <c r="F37" s="39">
        <v>-10000</v>
      </c>
      <c r="G37" s="39">
        <v>-14449</v>
      </c>
      <c r="H37" s="39">
        <v>0</v>
      </c>
      <c r="I37" s="12">
        <v>0</v>
      </c>
      <c r="J37" s="11">
        <v>0</v>
      </c>
      <c r="K37" s="116">
        <v>0</v>
      </c>
      <c r="L37" s="191">
        <v>0</v>
      </c>
      <c r="M37" s="155"/>
      <c r="N37" s="206"/>
    </row>
    <row r="38" spans="1:15" s="13" customFormat="1" ht="16.2" thickBot="1" x14ac:dyDescent="0.35">
      <c r="A38" s="7"/>
      <c r="B38" s="41"/>
      <c r="C38" s="41"/>
      <c r="D38" s="41"/>
      <c r="E38" s="39"/>
      <c r="F38" s="39"/>
      <c r="G38" s="39"/>
      <c r="H38" s="39"/>
      <c r="I38" s="12"/>
      <c r="J38" s="11"/>
      <c r="K38" s="116"/>
      <c r="L38" s="210"/>
      <c r="M38" s="205"/>
      <c r="N38" s="206"/>
    </row>
    <row r="39" spans="1:15" s="13" customFormat="1" ht="16.2" thickBot="1" x14ac:dyDescent="0.35">
      <c r="A39" s="7" t="s">
        <v>88</v>
      </c>
      <c r="B39" s="39">
        <f t="shared" ref="B39:K39" si="3">+B37+B35</f>
        <v>-37148</v>
      </c>
      <c r="C39" s="39">
        <f t="shared" si="3"/>
        <v>76552</v>
      </c>
      <c r="D39" s="39">
        <f t="shared" si="3"/>
        <v>22263</v>
      </c>
      <c r="E39" s="39">
        <f t="shared" si="3"/>
        <v>-17480.130000000034</v>
      </c>
      <c r="F39" s="39">
        <f t="shared" si="3"/>
        <v>-35959.489999999991</v>
      </c>
      <c r="G39" s="39">
        <f t="shared" si="3"/>
        <v>-181974</v>
      </c>
      <c r="H39" s="39">
        <f t="shared" si="3"/>
        <v>13685</v>
      </c>
      <c r="I39" s="12">
        <f>+I37+I35</f>
        <v>10177</v>
      </c>
      <c r="J39" s="154">
        <f t="shared" si="3"/>
        <v>-10488</v>
      </c>
      <c r="K39" s="33">
        <f t="shared" si="3"/>
        <v>9000</v>
      </c>
      <c r="L39" s="192">
        <f>+L37+L35</f>
        <v>9000</v>
      </c>
      <c r="M39" s="155"/>
      <c r="N39" s="208"/>
    </row>
    <row r="40" spans="1:15" s="13" customFormat="1" x14ac:dyDescent="0.3">
      <c r="A40" s="4"/>
      <c r="B40" s="4"/>
      <c r="C40" s="4"/>
      <c r="D40" s="4"/>
      <c r="E40" s="4"/>
      <c r="F40" s="4"/>
      <c r="G40" s="4"/>
      <c r="H40" s="4"/>
      <c r="K40" s="58"/>
      <c r="L40" s="58"/>
      <c r="M40" s="196"/>
      <c r="N40" s="155"/>
    </row>
    <row r="42" spans="1:15" x14ac:dyDescent="0.3">
      <c r="K42" s="99"/>
    </row>
    <row r="43" spans="1:15" x14ac:dyDescent="0.3">
      <c r="K43" s="222"/>
    </row>
    <row r="44" spans="1:15" x14ac:dyDescent="0.3">
      <c r="K44" s="207"/>
    </row>
    <row r="45" spans="1:15" x14ac:dyDescent="0.3">
      <c r="K45" s="222"/>
    </row>
    <row r="46" spans="1:15" s="4" customFormat="1" x14ac:dyDescent="0.3">
      <c r="K46" s="99"/>
      <c r="M46" s="196"/>
      <c r="N46" s="155"/>
      <c r="O46" s="1"/>
    </row>
    <row r="47" spans="1:15" s="4" customFormat="1" x14ac:dyDescent="0.3">
      <c r="K47" s="99"/>
      <c r="M47" s="196"/>
      <c r="N47" s="155"/>
      <c r="O47" s="1"/>
    </row>
    <row r="48" spans="1:15" s="4" customFormat="1" x14ac:dyDescent="0.3">
      <c r="K48" s="99"/>
      <c r="M48" s="196"/>
      <c r="N48" s="155"/>
      <c r="O48" s="1"/>
    </row>
    <row r="49" spans="11:15" s="4" customFormat="1" x14ac:dyDescent="0.3">
      <c r="K49" s="99"/>
      <c r="M49" s="196"/>
      <c r="N49" s="155"/>
      <c r="O49" s="1"/>
    </row>
    <row r="50" spans="11:15" x14ac:dyDescent="0.3">
      <c r="K50" s="99"/>
    </row>
    <row r="51" spans="11:15" x14ac:dyDescent="0.3">
      <c r="K51" s="223"/>
    </row>
  </sheetData>
  <mergeCells count="1">
    <mergeCell ref="E1:G1"/>
  </mergeCells>
  <pageMargins left="0.7" right="0.7" top="0.75" bottom="0.75" header="0.3" footer="0.3"/>
  <pageSetup paperSize="9" scale="67" orientation="landscape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F0"/>
    <pageSetUpPr fitToPage="1"/>
  </sheetPr>
  <dimension ref="A1:M49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bestFit="1" customWidth="1"/>
    <col min="2" max="4" width="14.33203125" style="4" hidden="1" customWidth="1"/>
    <col min="5" max="8" width="14.33203125" style="4" customWidth="1"/>
    <col min="9" max="9" width="16.44140625" style="1" customWidth="1"/>
    <col min="10" max="10" width="18.5546875" style="1" bestFit="1" customWidth="1"/>
    <col min="11" max="11" width="27" style="196" customWidth="1"/>
    <col min="12" max="12" width="12" style="155" customWidth="1"/>
    <col min="13" max="16384" width="9.109375" style="1"/>
  </cols>
  <sheetData>
    <row r="1" spans="1:12" ht="31.8" thickBot="1" x14ac:dyDescent="0.65">
      <c r="A1" s="211" t="s">
        <v>486</v>
      </c>
      <c r="C1" s="224"/>
      <c r="D1" s="224"/>
      <c r="E1" s="295" t="s">
        <v>487</v>
      </c>
      <c r="F1" s="295"/>
      <c r="G1" s="295"/>
    </row>
    <row r="2" spans="1:12" ht="16.2" thickBot="1" x14ac:dyDescent="0.35"/>
    <row r="3" spans="1:12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44" t="s">
        <v>1591</v>
      </c>
      <c r="K3" s="156"/>
      <c r="L3" s="156"/>
    </row>
    <row r="4" spans="1:12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209"/>
      <c r="K4" s="156"/>
      <c r="L4" s="156"/>
    </row>
    <row r="5" spans="1:12" ht="16.2" thickBot="1" x14ac:dyDescent="0.35">
      <c r="A5" s="32" t="s">
        <v>19</v>
      </c>
      <c r="B5" s="10"/>
      <c r="C5" s="7"/>
      <c r="D5" s="7"/>
      <c r="I5" s="4"/>
      <c r="J5" s="8"/>
      <c r="K5" s="155"/>
    </row>
    <row r="6" spans="1:12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190">
        <v>200000</v>
      </c>
      <c r="K6" s="217"/>
    </row>
    <row r="7" spans="1:12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190">
        <v>110000</v>
      </c>
      <c r="K7" s="189"/>
    </row>
    <row r="8" spans="1:12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190">
        <v>80000</v>
      </c>
      <c r="K8" s="155"/>
    </row>
    <row r="9" spans="1:12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190">
        <v>35000</v>
      </c>
      <c r="K9" s="217"/>
    </row>
    <row r="10" spans="1:12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190">
        <v>60000</v>
      </c>
      <c r="K10" s="155"/>
    </row>
    <row r="11" spans="1:12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190">
        <v>100000</v>
      </c>
      <c r="K11" s="155"/>
    </row>
    <row r="12" spans="1:12" x14ac:dyDescent="0.3">
      <c r="A12" s="4" t="s">
        <v>27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1824.88</v>
      </c>
      <c r="G12" s="38">
        <v>514</v>
      </c>
      <c r="H12" s="38">
        <v>101</v>
      </c>
      <c r="I12" s="38">
        <f>13</f>
        <v>13</v>
      </c>
      <c r="J12" s="190">
        <v>0</v>
      </c>
      <c r="K12" s="155"/>
    </row>
    <row r="13" spans="1:12" x14ac:dyDescent="0.3">
      <c r="A13" s="4" t="s">
        <v>490</v>
      </c>
      <c r="B13" s="38">
        <f>3455+2000</f>
        <v>5455</v>
      </c>
      <c r="C13" s="38">
        <f>400+10000+12000</f>
        <v>22400</v>
      </c>
      <c r="D13" s="38">
        <v>4112</v>
      </c>
      <c r="E13" s="38">
        <f>4135+5600</f>
        <v>9735</v>
      </c>
      <c r="F13" s="38">
        <f>1987+4050</f>
        <v>6037</v>
      </c>
      <c r="G13" s="38">
        <v>1630</v>
      </c>
      <c r="H13" s="38">
        <v>16554</v>
      </c>
      <c r="I13" s="38">
        <f>28269-19125+4390+6756</f>
        <v>20290</v>
      </c>
      <c r="J13" s="190">
        <v>15000</v>
      </c>
      <c r="K13" s="155"/>
    </row>
    <row r="14" spans="1:12" x14ac:dyDescent="0.3">
      <c r="A14" s="7" t="s">
        <v>29</v>
      </c>
      <c r="B14" s="39">
        <f t="shared" ref="B14:J14" si="0">SUM(B6:B13)</f>
        <v>191729</v>
      </c>
      <c r="C14" s="39">
        <f t="shared" si="0"/>
        <v>345486</v>
      </c>
      <c r="D14" s="39">
        <f t="shared" si="0"/>
        <v>220107</v>
      </c>
      <c r="E14" s="39">
        <f t="shared" si="0"/>
        <v>239608.28999999998</v>
      </c>
      <c r="F14" s="39">
        <f t="shared" si="0"/>
        <v>299613.28000000003</v>
      </c>
      <c r="G14" s="39">
        <f t="shared" si="0"/>
        <v>289920</v>
      </c>
      <c r="H14" s="39">
        <f t="shared" si="0"/>
        <v>480751</v>
      </c>
      <c r="I14" s="39">
        <f t="shared" si="0"/>
        <v>628336</v>
      </c>
      <c r="J14" s="191">
        <f t="shared" si="0"/>
        <v>600000</v>
      </c>
      <c r="K14" s="155"/>
    </row>
    <row r="15" spans="1:12" ht="16.2" thickBot="1" x14ac:dyDescent="0.35">
      <c r="B15" s="38"/>
      <c r="C15" s="40"/>
      <c r="D15" s="40"/>
      <c r="E15" s="38"/>
      <c r="F15" s="40"/>
      <c r="G15" s="40"/>
      <c r="H15" s="40"/>
      <c r="I15" s="40"/>
      <c r="J15" s="190"/>
      <c r="K15" s="155"/>
    </row>
    <row r="16" spans="1:12" s="13" customFormat="1" ht="16.2" thickBot="1" x14ac:dyDescent="0.35">
      <c r="A16" s="32" t="s">
        <v>30</v>
      </c>
      <c r="B16" s="38"/>
      <c r="C16" s="41"/>
      <c r="D16" s="41"/>
      <c r="E16" s="38"/>
      <c r="F16" s="41"/>
      <c r="G16" s="41"/>
      <c r="H16" s="41"/>
      <c r="I16" s="41"/>
      <c r="J16" s="190"/>
      <c r="K16" s="159"/>
      <c r="L16" s="159"/>
    </row>
    <row r="17" spans="1:13" x14ac:dyDescent="0.3">
      <c r="A17" s="4" t="s">
        <v>45</v>
      </c>
      <c r="B17" s="38">
        <v>-32646</v>
      </c>
      <c r="C17" s="38">
        <v>-42437</v>
      </c>
      <c r="D17" s="38">
        <v>-26923</v>
      </c>
      <c r="E17" s="38">
        <v>-32572</v>
      </c>
      <c r="F17" s="38">
        <v>-50743</v>
      </c>
      <c r="G17" s="38">
        <v>-52811</v>
      </c>
      <c r="H17" s="38">
        <v>-126816</v>
      </c>
      <c r="I17" s="38">
        <f>-953-23023-1120-3576-498-29220-3576-3576-48894</f>
        <v>-114436</v>
      </c>
      <c r="J17" s="190">
        <v>-120000</v>
      </c>
      <c r="K17" s="155"/>
      <c r="L17" s="197"/>
      <c r="M17" s="55"/>
    </row>
    <row r="18" spans="1:13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190">
        <v>-130000</v>
      </c>
      <c r="K18" s="157"/>
      <c r="L18" s="197"/>
    </row>
    <row r="19" spans="1:13" x14ac:dyDescent="0.3">
      <c r="A19" s="4" t="s">
        <v>508</v>
      </c>
      <c r="B19" s="38">
        <v>-11755</v>
      </c>
      <c r="C19" s="38">
        <v>-20024</v>
      </c>
      <c r="D19" s="38">
        <v>-13297</v>
      </c>
      <c r="E19" s="38">
        <v>-14853.42</v>
      </c>
      <c r="F19" s="38">
        <v>-18717</v>
      </c>
      <c r="G19" s="38">
        <v>-4027</v>
      </c>
      <c r="H19" s="38">
        <v>-20624</v>
      </c>
      <c r="I19" s="38">
        <f>-3208-5440+2557-5729-1907+1985-874-1767-2130-3432-789-9120-114-867-1407-1435-38-5807-8282</f>
        <v>-47804</v>
      </c>
      <c r="J19" s="190">
        <v>-20000</v>
      </c>
      <c r="K19" s="157"/>
      <c r="L19" s="197"/>
    </row>
    <row r="20" spans="1:13" x14ac:dyDescent="0.3">
      <c r="A20" s="4" t="s">
        <v>38</v>
      </c>
      <c r="B20" s="38">
        <v>-4800</v>
      </c>
      <c r="C20" s="38">
        <v>-3398</v>
      </c>
      <c r="D20" s="38">
        <v>0</v>
      </c>
      <c r="E20" s="38">
        <v>-7138</v>
      </c>
      <c r="F20" s="38">
        <v>-3450</v>
      </c>
      <c r="G20" s="38">
        <v>-8100</v>
      </c>
      <c r="H20" s="38">
        <v>-6790</v>
      </c>
      <c r="I20" s="38">
        <f>-2940-7000-2500-2800-185+23111-23111-31150-1700-495-1000</f>
        <v>-49770</v>
      </c>
      <c r="J20" s="190">
        <v>-50000</v>
      </c>
      <c r="K20" s="155"/>
      <c r="L20" s="197"/>
    </row>
    <row r="21" spans="1:13" x14ac:dyDescent="0.3">
      <c r="A21" s="4" t="s">
        <v>35</v>
      </c>
      <c r="B21" s="38">
        <v>0</v>
      </c>
      <c r="C21" s="38">
        <v>-1700</v>
      </c>
      <c r="D21" s="38">
        <v>0</v>
      </c>
      <c r="E21" s="38">
        <v>-3400</v>
      </c>
      <c r="F21" s="38">
        <v>-3900</v>
      </c>
      <c r="G21" s="38">
        <v>-4550</v>
      </c>
      <c r="H21" s="38">
        <v>-7520</v>
      </c>
      <c r="I21" s="38">
        <f>-4500-4000-682-4000-1110</f>
        <v>-14292</v>
      </c>
      <c r="J21" s="190">
        <v>-15000</v>
      </c>
      <c r="K21" s="155"/>
      <c r="L21" s="197"/>
    </row>
    <row r="22" spans="1:13" x14ac:dyDescent="0.3">
      <c r="A22" s="4" t="s">
        <v>39</v>
      </c>
      <c r="B22" s="38">
        <v>-18016</v>
      </c>
      <c r="C22" s="38">
        <v>-18105</v>
      </c>
      <c r="D22" s="38">
        <v>-14387</v>
      </c>
      <c r="E22" s="38">
        <v>-7915</v>
      </c>
      <c r="F22" s="38">
        <v>-13828</v>
      </c>
      <c r="G22" s="38">
        <v>-24118</v>
      </c>
      <c r="H22" s="38">
        <v>-30770</v>
      </c>
      <c r="I22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2" s="190">
        <v>-55000</v>
      </c>
      <c r="K22" s="158"/>
      <c r="L22" s="197"/>
    </row>
    <row r="23" spans="1:13" x14ac:dyDescent="0.3">
      <c r="A23" s="4" t="s">
        <v>40</v>
      </c>
      <c r="B23" s="38">
        <v>0</v>
      </c>
      <c r="C23" s="38">
        <v>-850</v>
      </c>
      <c r="D23" s="38">
        <v>-625</v>
      </c>
      <c r="E23" s="38">
        <v>-8200</v>
      </c>
      <c r="F23" s="38">
        <v>0</v>
      </c>
      <c r="G23" s="38">
        <v>0</v>
      </c>
      <c r="H23" s="38">
        <v>-2100</v>
      </c>
      <c r="I23" s="38">
        <f>-3950</f>
        <v>-3950</v>
      </c>
      <c r="J23" s="190">
        <v>-4000</v>
      </c>
      <c r="K23" s="155"/>
      <c r="L23" s="197"/>
    </row>
    <row r="24" spans="1:13" x14ac:dyDescent="0.3">
      <c r="A24" s="4" t="s">
        <v>36</v>
      </c>
      <c r="B24" s="38">
        <v>-5000</v>
      </c>
      <c r="C24" s="38">
        <v>-350</v>
      </c>
      <c r="D24" s="38">
        <v>0</v>
      </c>
      <c r="E24" s="38">
        <v>-3550</v>
      </c>
      <c r="F24" s="38">
        <v>-10190</v>
      </c>
      <c r="G24" s="38">
        <v>-27295</v>
      </c>
      <c r="H24" s="38">
        <v>-13550</v>
      </c>
      <c r="I24" s="38">
        <f>-1400-1400-2700-3000-1500-1200-1400-1000-1200-1300-1500-800-1200-1400-1400-1190</f>
        <v>-23590</v>
      </c>
      <c r="J24" s="190">
        <v>-25000</v>
      </c>
      <c r="K24" s="157"/>
      <c r="L24" s="197"/>
    </row>
    <row r="25" spans="1:13" x14ac:dyDescent="0.3">
      <c r="A25" s="4" t="s">
        <v>154</v>
      </c>
      <c r="B25" s="38">
        <v>-19050</v>
      </c>
      <c r="C25" s="38">
        <f>-13250-1750</f>
        <v>-15000</v>
      </c>
      <c r="D25" s="38">
        <v>-19650</v>
      </c>
      <c r="E25" s="38">
        <v>-15750</v>
      </c>
      <c r="F25" s="38">
        <v>-21750</v>
      </c>
      <c r="G25" s="38">
        <v>-30300</v>
      </c>
      <c r="H25" s="38">
        <v>-23520</v>
      </c>
      <c r="I25" s="38">
        <f>950+4008-3900-500-15200+1000-500-1000-2000+1000-250-7000-600-7500</f>
        <v>-31492</v>
      </c>
      <c r="J25" s="190">
        <v>-25000</v>
      </c>
      <c r="K25" s="157"/>
      <c r="L25" s="197"/>
    </row>
    <row r="26" spans="1:13" x14ac:dyDescent="0.3">
      <c r="A26" s="4" t="s">
        <v>43</v>
      </c>
      <c r="B26" s="38">
        <v>-14470</v>
      </c>
      <c r="C26" s="38">
        <v>-10300</v>
      </c>
      <c r="D26" s="38">
        <v>-4860</v>
      </c>
      <c r="E26" s="38">
        <v>0</v>
      </c>
      <c r="F26" s="38">
        <v>-18405</v>
      </c>
      <c r="G26" s="38">
        <v>-10950</v>
      </c>
      <c r="H26" s="38">
        <v>-9515</v>
      </c>
      <c r="I26" s="38">
        <f>-300-8900+850-1250-3500</f>
        <v>-13100</v>
      </c>
      <c r="J26" s="190">
        <v>-15000</v>
      </c>
      <c r="K26" s="155"/>
      <c r="L26" s="197"/>
    </row>
    <row r="27" spans="1:13" x14ac:dyDescent="0.3">
      <c r="A27" s="4" t="s">
        <v>44</v>
      </c>
      <c r="B27" s="38">
        <v>-25000</v>
      </c>
      <c r="C27" s="38">
        <v>-15000</v>
      </c>
      <c r="D27" s="38">
        <v>-17500</v>
      </c>
      <c r="E27" s="38">
        <v>-30416</v>
      </c>
      <c r="F27" s="38">
        <v>-16000</v>
      </c>
      <c r="G27" s="38">
        <v>-34000</v>
      </c>
      <c r="H27" s="38">
        <v>-27000</v>
      </c>
      <c r="I27" s="38">
        <f>-12500-1000-2000-5000-3000</f>
        <v>-23500</v>
      </c>
      <c r="J27" s="190">
        <v>-25000</v>
      </c>
      <c r="K27" s="158"/>
      <c r="L27" s="197"/>
    </row>
    <row r="28" spans="1:13" x14ac:dyDescent="0.3">
      <c r="A28" s="4" t="s">
        <v>56</v>
      </c>
      <c r="B28" s="38">
        <v>-4459</v>
      </c>
      <c r="C28" s="38">
        <v>-12173</v>
      </c>
      <c r="D28" s="38">
        <v>0</v>
      </c>
      <c r="E28" s="38">
        <v>-180</v>
      </c>
      <c r="F28" s="38">
        <v>-1887</v>
      </c>
      <c r="G28" s="38">
        <v>0</v>
      </c>
      <c r="H28" s="38">
        <v>0</v>
      </c>
      <c r="I28" s="38">
        <v>0</v>
      </c>
      <c r="J28" s="190">
        <v>0</v>
      </c>
      <c r="K28" s="155"/>
    </row>
    <row r="29" spans="1:13" x14ac:dyDescent="0.3">
      <c r="A29" s="4" t="s">
        <v>32</v>
      </c>
      <c r="B29" s="38">
        <f>-2650-3100-1600</f>
        <v>-7350</v>
      </c>
      <c r="C29" s="38">
        <f>-250-2500-1842</f>
        <v>-4592</v>
      </c>
      <c r="D29" s="38">
        <f>-250-4500-1899</f>
        <v>-6649</v>
      </c>
      <c r="E29" s="38">
        <v>-6338</v>
      </c>
      <c r="F29" s="38">
        <v>-6643</v>
      </c>
      <c r="G29" s="38">
        <v>-3530</v>
      </c>
      <c r="H29" s="38">
        <v>-1024</v>
      </c>
      <c r="I29" s="38">
        <f>-774-250</f>
        <v>-1024</v>
      </c>
      <c r="J29" s="190">
        <v>-2000</v>
      </c>
      <c r="K29" s="155"/>
    </row>
    <row r="30" spans="1:13" x14ac:dyDescent="0.3">
      <c r="A30" s="4" t="s">
        <v>491</v>
      </c>
      <c r="B30" s="38">
        <v>0</v>
      </c>
      <c r="C30" s="38">
        <f>-75994-6425</f>
        <v>-82419</v>
      </c>
      <c r="D30" s="38">
        <f>-29362-12800</f>
        <v>-42162</v>
      </c>
      <c r="E30" s="38">
        <v>0</v>
      </c>
      <c r="F30" s="38">
        <v>0</v>
      </c>
      <c r="G30" s="38">
        <v>-102305</v>
      </c>
      <c r="H30" s="38">
        <v>-94393</v>
      </c>
      <c r="I30" s="38">
        <f>-1824-(23*800)-34400-1130-45448</f>
        <v>-101202</v>
      </c>
      <c r="J30" s="190">
        <v>-100000</v>
      </c>
      <c r="K30" s="155"/>
      <c r="L30" s="197"/>
    </row>
    <row r="31" spans="1:13" x14ac:dyDescent="0.3">
      <c r="A31" s="4" t="s">
        <v>33</v>
      </c>
      <c r="B31" s="38">
        <v>0</v>
      </c>
      <c r="C31" s="38">
        <v>0</v>
      </c>
      <c r="D31" s="38">
        <v>0</v>
      </c>
      <c r="E31" s="38">
        <v>-741</v>
      </c>
      <c r="F31" s="38">
        <v>-547</v>
      </c>
      <c r="G31" s="38">
        <v>-154</v>
      </c>
      <c r="H31" s="38">
        <v>-510</v>
      </c>
      <c r="I31" s="38">
        <v>0</v>
      </c>
      <c r="J31" s="190">
        <v>0</v>
      </c>
      <c r="K31" s="155"/>
      <c r="L31" s="197"/>
    </row>
    <row r="32" spans="1:13" x14ac:dyDescent="0.3">
      <c r="A32" s="4" t="s">
        <v>493</v>
      </c>
      <c r="B32" s="38">
        <f>-635-7900</f>
        <v>-8535</v>
      </c>
      <c r="C32" s="38">
        <f>-1500-935-3800-2859-81</f>
        <v>-9175</v>
      </c>
      <c r="D32" s="38">
        <f>-755-1100</f>
        <v>-1855</v>
      </c>
      <c r="E32" s="38">
        <f>-2424-5850</f>
        <v>-8274</v>
      </c>
      <c r="F32" s="38">
        <v>-4637.7700000000004</v>
      </c>
      <c r="G32" s="38">
        <f>-2261-14329</f>
        <v>-16590</v>
      </c>
      <c r="H32" s="38">
        <v>-8129</v>
      </c>
      <c r="I32" s="38">
        <f>-469-740+140+140-4815-234</f>
        <v>-5978</v>
      </c>
      <c r="J32" s="190">
        <v>-5000</v>
      </c>
      <c r="K32" s="155"/>
      <c r="L32" s="197"/>
    </row>
    <row r="33" spans="1:13" x14ac:dyDescent="0.3">
      <c r="A33" s="7" t="s">
        <v>47</v>
      </c>
      <c r="B33" s="39">
        <f>SUM(B17:B32)</f>
        <v>-218877</v>
      </c>
      <c r="C33" s="39">
        <f t="shared" ref="C33:H33" si="1">SUM(C17:C32)</f>
        <v>-258934</v>
      </c>
      <c r="D33" s="39">
        <f t="shared" si="1"/>
        <v>-187844</v>
      </c>
      <c r="E33" s="39">
        <f t="shared" si="1"/>
        <v>-247088.42</v>
      </c>
      <c r="F33" s="39">
        <f t="shared" si="1"/>
        <v>-325572.77</v>
      </c>
      <c r="G33" s="39">
        <f t="shared" si="1"/>
        <v>-457445</v>
      </c>
      <c r="H33" s="39">
        <f t="shared" si="1"/>
        <v>-467066</v>
      </c>
      <c r="I33" s="39">
        <f>SUM(I17:I32)</f>
        <v>-618159</v>
      </c>
      <c r="J33" s="191">
        <f>SUM(J17:J32)</f>
        <v>-591000</v>
      </c>
      <c r="K33" s="205"/>
      <c r="L33" s="206"/>
    </row>
    <row r="34" spans="1:13" x14ac:dyDescent="0.3">
      <c r="A34" s="7"/>
      <c r="B34" s="41"/>
      <c r="C34" s="41"/>
      <c r="D34" s="41"/>
      <c r="E34" s="39"/>
      <c r="F34" s="39"/>
      <c r="G34" s="39"/>
      <c r="H34" s="39"/>
      <c r="I34" s="39"/>
      <c r="J34" s="191"/>
      <c r="K34" s="158"/>
      <c r="L34" s="207"/>
    </row>
    <row r="35" spans="1:13" s="13" customFormat="1" ht="38.25" customHeight="1" x14ac:dyDescent="0.3">
      <c r="A35" s="7" t="s">
        <v>48</v>
      </c>
      <c r="B35" s="39">
        <f t="shared" ref="B35:I35" si="2">+B33+B14</f>
        <v>-27148</v>
      </c>
      <c r="C35" s="39">
        <f t="shared" si="2"/>
        <v>86552</v>
      </c>
      <c r="D35" s="39">
        <f t="shared" si="2"/>
        <v>32263</v>
      </c>
      <c r="E35" s="39">
        <f t="shared" si="2"/>
        <v>-7480.1300000000338</v>
      </c>
      <c r="F35" s="39">
        <f t="shared" si="2"/>
        <v>-25959.489999999991</v>
      </c>
      <c r="G35" s="39">
        <f t="shared" si="2"/>
        <v>-167525</v>
      </c>
      <c r="H35" s="39">
        <f t="shared" si="2"/>
        <v>13685</v>
      </c>
      <c r="I35" s="39">
        <f t="shared" si="2"/>
        <v>10177</v>
      </c>
      <c r="J35" s="191">
        <f>J14+J33</f>
        <v>9000</v>
      </c>
      <c r="K35" s="158"/>
      <c r="L35" s="207"/>
    </row>
    <row r="36" spans="1:13" s="13" customFormat="1" x14ac:dyDescent="0.3">
      <c r="A36" s="7"/>
      <c r="B36" s="41"/>
      <c r="C36" s="41"/>
      <c r="D36" s="41"/>
      <c r="E36" s="39"/>
      <c r="F36" s="39"/>
      <c r="G36" s="39"/>
      <c r="H36" s="39"/>
      <c r="I36" s="39"/>
      <c r="J36" s="191"/>
      <c r="K36" s="158"/>
      <c r="L36" s="207"/>
    </row>
    <row r="37" spans="1:13" s="13" customFormat="1" x14ac:dyDescent="0.3">
      <c r="A37" s="7" t="s">
        <v>1530</v>
      </c>
      <c r="B37" s="39">
        <v>-10000</v>
      </c>
      <c r="C37" s="39">
        <v>-10000</v>
      </c>
      <c r="D37" s="39">
        <v>-10000</v>
      </c>
      <c r="E37" s="39">
        <v>-10000</v>
      </c>
      <c r="F37" s="39">
        <v>-10000</v>
      </c>
      <c r="G37" s="39">
        <v>-14449</v>
      </c>
      <c r="H37" s="39">
        <v>0</v>
      </c>
      <c r="I37" s="39">
        <v>0</v>
      </c>
      <c r="J37" s="191">
        <v>0</v>
      </c>
      <c r="K37" s="155"/>
      <c r="L37" s="206"/>
    </row>
    <row r="38" spans="1:13" s="13" customFormat="1" ht="16.2" thickBot="1" x14ac:dyDescent="0.35">
      <c r="A38" s="7"/>
      <c r="B38" s="41"/>
      <c r="C38" s="41"/>
      <c r="D38" s="41"/>
      <c r="E38" s="39"/>
      <c r="F38" s="39"/>
      <c r="G38" s="39"/>
      <c r="H38" s="39"/>
      <c r="I38" s="39"/>
      <c r="J38" s="210"/>
      <c r="K38" s="205"/>
      <c r="L38" s="206"/>
    </row>
    <row r="39" spans="1:13" s="13" customFormat="1" ht="16.2" thickBot="1" x14ac:dyDescent="0.35">
      <c r="A39" s="7" t="s">
        <v>88</v>
      </c>
      <c r="B39" s="39">
        <f t="shared" ref="B39:I39" si="3">+B37+B35</f>
        <v>-37148</v>
      </c>
      <c r="C39" s="39">
        <f t="shared" si="3"/>
        <v>76552</v>
      </c>
      <c r="D39" s="39">
        <f t="shared" si="3"/>
        <v>22263</v>
      </c>
      <c r="E39" s="39">
        <f t="shared" si="3"/>
        <v>-17480.130000000034</v>
      </c>
      <c r="F39" s="39">
        <f t="shared" si="3"/>
        <v>-35959.489999999991</v>
      </c>
      <c r="G39" s="39">
        <f t="shared" si="3"/>
        <v>-181974</v>
      </c>
      <c r="H39" s="39">
        <f t="shared" si="3"/>
        <v>13685</v>
      </c>
      <c r="I39" s="39">
        <f t="shared" si="3"/>
        <v>10177</v>
      </c>
      <c r="J39" s="192">
        <f>+J37+J35</f>
        <v>9000</v>
      </c>
      <c r="K39" s="155"/>
      <c r="L39" s="208"/>
    </row>
    <row r="40" spans="1:13" s="13" customFormat="1" x14ac:dyDescent="0.3">
      <c r="A40" s="4"/>
      <c r="B40" s="4"/>
      <c r="C40" s="4"/>
      <c r="D40" s="4"/>
      <c r="E40" s="4"/>
      <c r="F40" s="4"/>
      <c r="G40" s="4"/>
      <c r="H40" s="4"/>
      <c r="J40" s="58"/>
      <c r="K40" s="196"/>
      <c r="L40" s="155"/>
    </row>
    <row r="46" spans="1:13" s="4" customFormat="1" x14ac:dyDescent="0.3">
      <c r="K46" s="196"/>
      <c r="L46" s="155"/>
      <c r="M46" s="1"/>
    </row>
    <row r="47" spans="1:13" s="4" customFormat="1" x14ac:dyDescent="0.3">
      <c r="K47" s="196"/>
      <c r="L47" s="155"/>
      <c r="M47" s="1"/>
    </row>
    <row r="48" spans="1:13" s="4" customFormat="1" x14ac:dyDescent="0.3">
      <c r="K48" s="196"/>
      <c r="L48" s="155"/>
      <c r="M48" s="1"/>
    </row>
    <row r="49" spans="11:13" s="4" customFormat="1" x14ac:dyDescent="0.3">
      <c r="K49" s="196"/>
      <c r="L49" s="155"/>
      <c r="M49" s="1"/>
    </row>
  </sheetData>
  <mergeCells count="1">
    <mergeCell ref="E1:G1"/>
  </mergeCells>
  <pageMargins left="0.7" right="0.7" top="0.75" bottom="0.75" header="0.3" footer="0.3"/>
  <pageSetup paperSize="9" scale="72" orientation="landscape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9" tint="-0.249977111117893"/>
    <pageSetUpPr fitToPage="1"/>
  </sheetPr>
  <dimension ref="A1:M52"/>
  <sheetViews>
    <sheetView zoomScaleNormal="100" workbookViewId="0">
      <pane xSplit="1" ySplit="3" topLeftCell="E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bestFit="1" customWidth="1"/>
    <col min="2" max="4" width="14.33203125" style="4" hidden="1" customWidth="1"/>
    <col min="5" max="8" width="14.33203125" style="4" customWidth="1"/>
    <col min="9" max="9" width="16.44140625" style="1" customWidth="1"/>
    <col min="10" max="10" width="18.5546875" style="1" bestFit="1" customWidth="1"/>
    <col min="11" max="11" width="27" style="196" customWidth="1"/>
    <col min="12" max="12" width="12" style="155" customWidth="1"/>
    <col min="13" max="16384" width="9.109375" style="1"/>
  </cols>
  <sheetData>
    <row r="1" spans="1:12" ht="31.8" thickBot="1" x14ac:dyDescent="0.65">
      <c r="A1" s="211" t="s">
        <v>486</v>
      </c>
      <c r="C1" s="224"/>
      <c r="D1" s="224"/>
      <c r="E1" s="295" t="s">
        <v>487</v>
      </c>
      <c r="F1" s="295"/>
      <c r="G1" s="295"/>
      <c r="I1" s="55" t="s">
        <v>1598</v>
      </c>
    </row>
    <row r="2" spans="1:12" ht="16.2" thickBot="1" x14ac:dyDescent="0.35"/>
    <row r="3" spans="1:12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43" t="s">
        <v>1351</v>
      </c>
      <c r="J3" s="44" t="s">
        <v>1346</v>
      </c>
      <c r="K3" s="156"/>
      <c r="L3" s="156"/>
    </row>
    <row r="4" spans="1:12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110">
        <v>42369</v>
      </c>
      <c r="J4" s="36"/>
      <c r="K4" s="156"/>
      <c r="L4" s="156"/>
    </row>
    <row r="5" spans="1:12" ht="16.2" thickBot="1" x14ac:dyDescent="0.35">
      <c r="A5" s="32" t="s">
        <v>19</v>
      </c>
      <c r="B5" s="10"/>
      <c r="C5" s="7"/>
      <c r="D5" s="7"/>
      <c r="I5" s="111"/>
      <c r="J5" s="8"/>
      <c r="K5" s="155"/>
    </row>
    <row r="6" spans="1:12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9">
        <f>76912+88164+36549+7702</f>
        <v>209327</v>
      </c>
      <c r="J6" s="190">
        <v>12000</v>
      </c>
      <c r="K6" s="217" t="s">
        <v>1525</v>
      </c>
    </row>
    <row r="7" spans="1:12" ht="31.8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9">
        <f>5600+33600+12000+4900+11200+400+400+7500+6600+1600+5600+1600+400+600+2700+200+100+12900</f>
        <v>107900</v>
      </c>
      <c r="J7" s="190">
        <v>12900</v>
      </c>
      <c r="K7" s="217" t="s">
        <v>1595</v>
      </c>
    </row>
    <row r="8" spans="1:12" x14ac:dyDescent="0.3">
      <c r="A8" s="4" t="s">
        <v>1488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9">
        <f>10000+10000+1000+300+10000+1500+10000+1660+2000+6200+725+8200+180+492+35+55+9190+485+982+7560+1621+500+610+16073</f>
        <v>99368</v>
      </c>
      <c r="J8" s="190">
        <v>5000</v>
      </c>
      <c r="K8" s="155"/>
    </row>
    <row r="9" spans="1:12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9">
        <f>20000+5080+5080+3000</f>
        <v>33160</v>
      </c>
      <c r="J9" s="190">
        <v>3000</v>
      </c>
      <c r="K9" s="217" t="s">
        <v>1347</v>
      </c>
    </row>
    <row r="10" spans="1:12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9">
        <f>14300+22500+19478+2500</f>
        <v>58778</v>
      </c>
      <c r="J10" s="190">
        <v>0</v>
      </c>
      <c r="K10" s="155"/>
    </row>
    <row r="11" spans="1:12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9">
        <f>99500</f>
        <v>99500</v>
      </c>
      <c r="J11" s="190">
        <v>0</v>
      </c>
      <c r="K11" s="155"/>
    </row>
    <row r="12" spans="1:12" x14ac:dyDescent="0.3">
      <c r="A12" s="4" t="s">
        <v>27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1824.88</v>
      </c>
      <c r="G12" s="38">
        <v>514</v>
      </c>
      <c r="H12" s="38">
        <v>101</v>
      </c>
      <c r="I12" s="9">
        <v>13</v>
      </c>
      <c r="J12" s="190">
        <v>0</v>
      </c>
      <c r="K12" s="155"/>
    </row>
    <row r="13" spans="1:12" x14ac:dyDescent="0.3">
      <c r="A13" s="4" t="s">
        <v>490</v>
      </c>
      <c r="B13" s="38">
        <f>3455+2000</f>
        <v>5455</v>
      </c>
      <c r="C13" s="38">
        <f>400+10000+12000</f>
        <v>22400</v>
      </c>
      <c r="D13" s="38">
        <v>4112</v>
      </c>
      <c r="E13" s="38">
        <f>4135+5600</f>
        <v>9735</v>
      </c>
      <c r="F13" s="38">
        <f>1987+4050</f>
        <v>6037</v>
      </c>
      <c r="G13" s="38">
        <v>1630</v>
      </c>
      <c r="H13" s="38">
        <v>16554</v>
      </c>
      <c r="I13" s="9">
        <f>28269-19125+4390</f>
        <v>13534</v>
      </c>
      <c r="J13" s="190">
        <v>0</v>
      </c>
      <c r="K13" s="155"/>
    </row>
    <row r="14" spans="1:12" x14ac:dyDescent="0.3">
      <c r="A14" s="7" t="s">
        <v>29</v>
      </c>
      <c r="B14" s="39">
        <f t="shared" ref="B14:J14" si="0">SUM(B6:B13)</f>
        <v>191729</v>
      </c>
      <c r="C14" s="39">
        <f t="shared" si="0"/>
        <v>345486</v>
      </c>
      <c r="D14" s="39">
        <f t="shared" si="0"/>
        <v>220107</v>
      </c>
      <c r="E14" s="39">
        <f t="shared" si="0"/>
        <v>239608.28999999998</v>
      </c>
      <c r="F14" s="39">
        <f t="shared" si="0"/>
        <v>299613.28000000003</v>
      </c>
      <c r="G14" s="39">
        <f t="shared" si="0"/>
        <v>289920</v>
      </c>
      <c r="H14" s="39">
        <f t="shared" si="0"/>
        <v>480751</v>
      </c>
      <c r="I14" s="11">
        <f t="shared" si="0"/>
        <v>621580</v>
      </c>
      <c r="J14" s="11">
        <f t="shared" si="0"/>
        <v>32900</v>
      </c>
      <c r="K14" s="155"/>
    </row>
    <row r="15" spans="1:12" ht="16.2" thickBot="1" x14ac:dyDescent="0.35">
      <c r="B15" s="38"/>
      <c r="C15" s="40"/>
      <c r="D15" s="40"/>
      <c r="E15" s="38"/>
      <c r="F15" s="40"/>
      <c r="G15" s="40"/>
      <c r="H15" s="40"/>
      <c r="I15" s="111"/>
      <c r="J15" s="191"/>
      <c r="K15" s="155"/>
    </row>
    <row r="16" spans="1:12" s="13" customFormat="1" ht="16.2" thickBot="1" x14ac:dyDescent="0.35">
      <c r="A16" s="32" t="s">
        <v>30</v>
      </c>
      <c r="B16" s="38"/>
      <c r="C16" s="41"/>
      <c r="D16" s="41"/>
      <c r="E16" s="38"/>
      <c r="F16" s="41"/>
      <c r="G16" s="41"/>
      <c r="H16" s="41"/>
      <c r="I16" s="112"/>
      <c r="J16" s="190"/>
      <c r="K16" s="159"/>
      <c r="L16" s="159"/>
    </row>
    <row r="17" spans="1:13" x14ac:dyDescent="0.3">
      <c r="A17" s="4" t="s">
        <v>45</v>
      </c>
      <c r="B17" s="38">
        <v>-32646</v>
      </c>
      <c r="C17" s="38">
        <v>-42437</v>
      </c>
      <c r="D17" s="38">
        <v>-26923</v>
      </c>
      <c r="E17" s="38">
        <v>-32572</v>
      </c>
      <c r="F17" s="38">
        <v>-50743</v>
      </c>
      <c r="G17" s="38">
        <v>-52811</v>
      </c>
      <c r="H17" s="38">
        <v>-126816</v>
      </c>
      <c r="I17" s="9">
        <f>-953-23023-1120-3576-498-29220-3576-3576-48894</f>
        <v>-114436</v>
      </c>
      <c r="J17" s="225"/>
      <c r="K17" s="155"/>
      <c r="L17" s="197"/>
      <c r="M17" s="55"/>
    </row>
    <row r="18" spans="1:13" ht="24.6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9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190">
        <v>-29032</v>
      </c>
      <c r="K18" s="157" t="s">
        <v>1592</v>
      </c>
      <c r="L18" s="197"/>
    </row>
    <row r="19" spans="1:13" ht="24.6" x14ac:dyDescent="0.3">
      <c r="A19" s="4" t="s">
        <v>508</v>
      </c>
      <c r="B19" s="38">
        <v>-11755</v>
      </c>
      <c r="C19" s="38">
        <v>-20024</v>
      </c>
      <c r="D19" s="38">
        <v>-13297</v>
      </c>
      <c r="E19" s="38">
        <v>-14853.42</v>
      </c>
      <c r="F19" s="38">
        <v>-18717</v>
      </c>
      <c r="G19" s="38">
        <v>-4027</v>
      </c>
      <c r="H19" s="38">
        <v>-20624</v>
      </c>
      <c r="I19" s="9">
        <f>-3208-5440+2557-5729-1907+1985-874-1767-2130-3432-789-9120-114-867-1407-1435-38-5807-8282</f>
        <v>-47804</v>
      </c>
      <c r="J19" s="190">
        <v>-1000</v>
      </c>
      <c r="K19" s="157" t="s">
        <v>1569</v>
      </c>
      <c r="L19" s="197"/>
    </row>
    <row r="20" spans="1:13" x14ac:dyDescent="0.3">
      <c r="A20" s="4" t="s">
        <v>38</v>
      </c>
      <c r="B20" s="38">
        <v>-4800</v>
      </c>
      <c r="C20" s="38">
        <v>-3398</v>
      </c>
      <c r="D20" s="38">
        <v>0</v>
      </c>
      <c r="E20" s="38">
        <v>-7138</v>
      </c>
      <c r="F20" s="38">
        <v>-3450</v>
      </c>
      <c r="G20" s="38">
        <v>-8100</v>
      </c>
      <c r="H20" s="38">
        <v>-6790</v>
      </c>
      <c r="I20" s="9">
        <f>-2940-7000-2500-2800-185+23111-23111-31150-1700-495-1000</f>
        <v>-49770</v>
      </c>
      <c r="J20" s="190">
        <v>-1000</v>
      </c>
      <c r="K20" s="155"/>
      <c r="L20" s="197"/>
    </row>
    <row r="21" spans="1:13" x14ac:dyDescent="0.3">
      <c r="A21" s="4" t="s">
        <v>35</v>
      </c>
      <c r="B21" s="38">
        <v>0</v>
      </c>
      <c r="C21" s="38">
        <v>-1700</v>
      </c>
      <c r="D21" s="38">
        <v>0</v>
      </c>
      <c r="E21" s="38">
        <v>-3400</v>
      </c>
      <c r="F21" s="38">
        <v>-3900</v>
      </c>
      <c r="G21" s="38">
        <v>-4550</v>
      </c>
      <c r="H21" s="38">
        <v>-7520</v>
      </c>
      <c r="I21" s="9">
        <f>-4500-4000-682-4000-1110</f>
        <v>-14292</v>
      </c>
      <c r="J21" s="190">
        <v>0</v>
      </c>
      <c r="K21" s="155"/>
      <c r="L21" s="197"/>
    </row>
    <row r="22" spans="1:13" ht="24.6" x14ac:dyDescent="0.3">
      <c r="A22" s="4" t="s">
        <v>39</v>
      </c>
      <c r="B22" s="38">
        <v>-18016</v>
      </c>
      <c r="C22" s="38">
        <v>-18105</v>
      </c>
      <c r="D22" s="38">
        <v>-14387</v>
      </c>
      <c r="E22" s="38">
        <v>-7915</v>
      </c>
      <c r="F22" s="38">
        <v>-13828</v>
      </c>
      <c r="G22" s="38">
        <v>-24118</v>
      </c>
      <c r="H22" s="38">
        <v>-30770</v>
      </c>
      <c r="I22" s="9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2" s="190">
        <v>-12417</v>
      </c>
      <c r="K22" s="157" t="s">
        <v>1593</v>
      </c>
      <c r="L22" s="197"/>
    </row>
    <row r="23" spans="1:13" x14ac:dyDescent="0.3">
      <c r="A23" s="4" t="s">
        <v>40</v>
      </c>
      <c r="B23" s="38">
        <v>0</v>
      </c>
      <c r="C23" s="38">
        <v>-850</v>
      </c>
      <c r="D23" s="38">
        <v>-625</v>
      </c>
      <c r="E23" s="38">
        <v>-8200</v>
      </c>
      <c r="F23" s="38">
        <v>0</v>
      </c>
      <c r="G23" s="38">
        <v>0</v>
      </c>
      <c r="H23" s="38">
        <v>-2100</v>
      </c>
      <c r="I23" s="9">
        <f>-3950</f>
        <v>-3950</v>
      </c>
      <c r="J23" s="190">
        <v>0</v>
      </c>
      <c r="K23" s="155"/>
      <c r="L23" s="197"/>
    </row>
    <row r="24" spans="1:13" x14ac:dyDescent="0.3">
      <c r="A24" s="4" t="s">
        <v>36</v>
      </c>
      <c r="B24" s="38">
        <v>-5000</v>
      </c>
      <c r="C24" s="38">
        <v>-350</v>
      </c>
      <c r="D24" s="38">
        <v>0</v>
      </c>
      <c r="E24" s="38">
        <v>-3550</v>
      </c>
      <c r="F24" s="38">
        <v>-10190</v>
      </c>
      <c r="G24" s="38">
        <v>-27295</v>
      </c>
      <c r="H24" s="38">
        <v>-13550</v>
      </c>
      <c r="I24" s="9">
        <f>-1400-1400-2700-3000-1500-1200-1400-1000-1200-1300-1500-800-1200-1400-1400-1190</f>
        <v>-23590</v>
      </c>
      <c r="J24" s="190">
        <v>0</v>
      </c>
      <c r="K24" s="157"/>
      <c r="L24" s="197"/>
    </row>
    <row r="25" spans="1:13" ht="36.6" x14ac:dyDescent="0.3">
      <c r="A25" s="4" t="s">
        <v>154</v>
      </c>
      <c r="B25" s="38">
        <v>-19050</v>
      </c>
      <c r="C25" s="38">
        <f>-13250-1750</f>
        <v>-15000</v>
      </c>
      <c r="D25" s="38">
        <v>-19650</v>
      </c>
      <c r="E25" s="38">
        <v>-15750</v>
      </c>
      <c r="F25" s="38">
        <v>-21750</v>
      </c>
      <c r="G25" s="38">
        <v>-30300</v>
      </c>
      <c r="H25" s="38">
        <v>-23520</v>
      </c>
      <c r="I25" s="9">
        <f>950+4008-3900-500-15200+1000-500-1000-2000+1000-250-7000-600-7500</f>
        <v>-31492</v>
      </c>
      <c r="J25" s="225">
        <v>0</v>
      </c>
      <c r="K25" s="157" t="s">
        <v>1589</v>
      </c>
      <c r="L25" s="197"/>
    </row>
    <row r="26" spans="1:13" x14ac:dyDescent="0.3">
      <c r="A26" s="4" t="s">
        <v>43</v>
      </c>
      <c r="B26" s="38">
        <v>-14470</v>
      </c>
      <c r="C26" s="38">
        <v>-10300</v>
      </c>
      <c r="D26" s="38">
        <v>-4860</v>
      </c>
      <c r="E26" s="38">
        <v>0</v>
      </c>
      <c r="F26" s="38">
        <v>-18405</v>
      </c>
      <c r="G26" s="38">
        <v>-10950</v>
      </c>
      <c r="H26" s="38">
        <v>-9515</v>
      </c>
      <c r="I26" s="9">
        <f>-300-8900+850-1250-3500</f>
        <v>-13100</v>
      </c>
      <c r="J26" s="225">
        <v>-10154</v>
      </c>
      <c r="K26" s="155"/>
      <c r="L26" s="197"/>
    </row>
    <row r="27" spans="1:13" x14ac:dyDescent="0.3">
      <c r="A27" s="4" t="s">
        <v>44</v>
      </c>
      <c r="B27" s="38">
        <v>-25000</v>
      </c>
      <c r="C27" s="38">
        <v>-15000</v>
      </c>
      <c r="D27" s="38">
        <v>-17500</v>
      </c>
      <c r="E27" s="38">
        <v>-30416</v>
      </c>
      <c r="F27" s="38">
        <v>-16000</v>
      </c>
      <c r="G27" s="38">
        <v>-34000</v>
      </c>
      <c r="H27" s="38">
        <v>-27000</v>
      </c>
      <c r="I27" s="9">
        <f>-12500-1000-2000-5000-3000</f>
        <v>-23500</v>
      </c>
      <c r="J27" s="190">
        <v>-12500</v>
      </c>
      <c r="K27" s="157" t="s">
        <v>1594</v>
      </c>
      <c r="L27" s="197"/>
    </row>
    <row r="28" spans="1:13" x14ac:dyDescent="0.3">
      <c r="A28" s="4" t="s">
        <v>56</v>
      </c>
      <c r="B28" s="38">
        <v>-4459</v>
      </c>
      <c r="C28" s="38">
        <v>-12173</v>
      </c>
      <c r="D28" s="38">
        <v>0</v>
      </c>
      <c r="E28" s="38">
        <v>-180</v>
      </c>
      <c r="F28" s="38">
        <v>-1887</v>
      </c>
      <c r="G28" s="38">
        <v>0</v>
      </c>
      <c r="H28" s="38">
        <v>0</v>
      </c>
      <c r="I28" s="9">
        <v>0</v>
      </c>
      <c r="J28" s="190">
        <v>0</v>
      </c>
      <c r="K28" s="155"/>
    </row>
    <row r="29" spans="1:13" x14ac:dyDescent="0.3">
      <c r="A29" s="4" t="s">
        <v>32</v>
      </c>
      <c r="B29" s="38">
        <f>-2650-3100-1600</f>
        <v>-7350</v>
      </c>
      <c r="C29" s="38">
        <f>-250-2500-1842</f>
        <v>-4592</v>
      </c>
      <c r="D29" s="38">
        <f>-250-4500-1899</f>
        <v>-6649</v>
      </c>
      <c r="E29" s="38">
        <v>-6338</v>
      </c>
      <c r="F29" s="38">
        <v>-6643</v>
      </c>
      <c r="G29" s="38">
        <v>-3530</v>
      </c>
      <c r="H29" s="38">
        <v>-1024</v>
      </c>
      <c r="I29" s="9">
        <f>-774-250</f>
        <v>-1024</v>
      </c>
      <c r="J29" s="190">
        <v>0</v>
      </c>
      <c r="K29" s="155"/>
    </row>
    <row r="30" spans="1:13" x14ac:dyDescent="0.3">
      <c r="A30" s="4" t="s">
        <v>491</v>
      </c>
      <c r="B30" s="38">
        <v>0</v>
      </c>
      <c r="C30" s="38">
        <f>-75994-6425</f>
        <v>-82419</v>
      </c>
      <c r="D30" s="38">
        <f>-29362-12800</f>
        <v>-42162</v>
      </c>
      <c r="E30" s="38">
        <v>0</v>
      </c>
      <c r="F30" s="38">
        <v>0</v>
      </c>
      <c r="G30" s="38">
        <v>-102305</v>
      </c>
      <c r="H30" s="38">
        <v>-94393</v>
      </c>
      <c r="I30" s="9">
        <f>-1824-(23*800)-34400-1130-45448</f>
        <v>-101202</v>
      </c>
      <c r="J30" s="190">
        <v>0</v>
      </c>
      <c r="K30" s="155"/>
      <c r="L30" s="197"/>
    </row>
    <row r="31" spans="1:13" x14ac:dyDescent="0.3">
      <c r="A31" s="4" t="s">
        <v>33</v>
      </c>
      <c r="B31" s="38">
        <v>0</v>
      </c>
      <c r="C31" s="38">
        <v>0</v>
      </c>
      <c r="D31" s="38">
        <v>0</v>
      </c>
      <c r="E31" s="38">
        <v>-741</v>
      </c>
      <c r="F31" s="38">
        <v>-547</v>
      </c>
      <c r="G31" s="38">
        <v>-154</v>
      </c>
      <c r="H31" s="38">
        <v>-510</v>
      </c>
      <c r="I31" s="9">
        <v>0</v>
      </c>
      <c r="J31" s="190">
        <v>0</v>
      </c>
      <c r="K31" s="155"/>
      <c r="L31" s="197"/>
    </row>
    <row r="32" spans="1:13" x14ac:dyDescent="0.3">
      <c r="A32" s="4" t="s">
        <v>493</v>
      </c>
      <c r="B32" s="38">
        <f>-635-7900</f>
        <v>-8535</v>
      </c>
      <c r="C32" s="38">
        <f>-1500-935-3800-2859-81</f>
        <v>-9175</v>
      </c>
      <c r="D32" s="38">
        <f>-755-1100</f>
        <v>-1855</v>
      </c>
      <c r="E32" s="38">
        <f>-2424-5850</f>
        <v>-8274</v>
      </c>
      <c r="F32" s="38">
        <v>-4637.7700000000004</v>
      </c>
      <c r="G32" s="38">
        <f>-2261-14329</f>
        <v>-16590</v>
      </c>
      <c r="H32" s="38">
        <v>-8129</v>
      </c>
      <c r="I32" s="9">
        <f>-469-740+140+140-4815-234</f>
        <v>-5978</v>
      </c>
      <c r="J32" s="190">
        <v>0</v>
      </c>
      <c r="K32" s="155"/>
      <c r="L32" s="197"/>
    </row>
    <row r="33" spans="1:13" x14ac:dyDescent="0.3">
      <c r="A33" s="7" t="s">
        <v>47</v>
      </c>
      <c r="B33" s="39">
        <f>SUM(B17:B32)</f>
        <v>-218877</v>
      </c>
      <c r="C33" s="39">
        <f t="shared" ref="C33:H33" si="1">SUM(C17:C32)</f>
        <v>-258934</v>
      </c>
      <c r="D33" s="39">
        <f t="shared" si="1"/>
        <v>-187844</v>
      </c>
      <c r="E33" s="39">
        <f t="shared" si="1"/>
        <v>-247088.42</v>
      </c>
      <c r="F33" s="39">
        <f t="shared" si="1"/>
        <v>-325572.77</v>
      </c>
      <c r="G33" s="39">
        <f t="shared" si="1"/>
        <v>-457445</v>
      </c>
      <c r="H33" s="39">
        <f t="shared" si="1"/>
        <v>-467066</v>
      </c>
      <c r="I33" s="11">
        <f>SUM(I17:I32)</f>
        <v>-618159</v>
      </c>
      <c r="J33" s="11">
        <f>SUM(J17:J32)</f>
        <v>-66103</v>
      </c>
      <c r="K33" s="205"/>
      <c r="L33" s="206"/>
    </row>
    <row r="34" spans="1:13" x14ac:dyDescent="0.3">
      <c r="A34" s="7"/>
      <c r="B34" s="41"/>
      <c r="C34" s="41"/>
      <c r="D34" s="41"/>
      <c r="E34" s="39"/>
      <c r="F34" s="39"/>
      <c r="G34" s="39"/>
      <c r="H34" s="39"/>
      <c r="I34" s="113"/>
      <c r="J34" s="190"/>
      <c r="K34" s="158"/>
      <c r="L34" s="207"/>
    </row>
    <row r="35" spans="1:13" s="13" customFormat="1" ht="38.25" customHeight="1" x14ac:dyDescent="0.3">
      <c r="A35" s="7" t="s">
        <v>48</v>
      </c>
      <c r="B35" s="39">
        <f t="shared" ref="B35:I35" si="2">+B33+B14</f>
        <v>-27148</v>
      </c>
      <c r="C35" s="39">
        <f t="shared" si="2"/>
        <v>86552</v>
      </c>
      <c r="D35" s="39">
        <f t="shared" si="2"/>
        <v>32263</v>
      </c>
      <c r="E35" s="39">
        <f t="shared" si="2"/>
        <v>-7480.1300000000338</v>
      </c>
      <c r="F35" s="39">
        <f t="shared" si="2"/>
        <v>-25959.489999999991</v>
      </c>
      <c r="G35" s="39">
        <f t="shared" si="2"/>
        <v>-167525</v>
      </c>
      <c r="H35" s="39">
        <f t="shared" si="2"/>
        <v>13685</v>
      </c>
      <c r="I35" s="11">
        <f t="shared" si="2"/>
        <v>3421</v>
      </c>
      <c r="J35" s="11">
        <f>+J33+J14</f>
        <v>-33203</v>
      </c>
      <c r="K35" s="158"/>
      <c r="L35" s="207"/>
    </row>
    <row r="36" spans="1:13" s="13" customFormat="1" x14ac:dyDescent="0.3">
      <c r="A36" s="7"/>
      <c r="B36" s="41"/>
      <c r="C36" s="41"/>
      <c r="D36" s="41"/>
      <c r="E36" s="39"/>
      <c r="F36" s="39"/>
      <c r="G36" s="39"/>
      <c r="H36" s="39"/>
      <c r="I36" s="11"/>
      <c r="J36" s="191"/>
      <c r="K36" s="158"/>
      <c r="L36" s="207"/>
    </row>
    <row r="37" spans="1:13" s="13" customFormat="1" x14ac:dyDescent="0.3">
      <c r="A37" s="7" t="s">
        <v>1530</v>
      </c>
      <c r="B37" s="39">
        <v>-10000</v>
      </c>
      <c r="C37" s="39">
        <v>-10000</v>
      </c>
      <c r="D37" s="39">
        <v>-10000</v>
      </c>
      <c r="E37" s="39">
        <v>-10000</v>
      </c>
      <c r="F37" s="39">
        <v>-10000</v>
      </c>
      <c r="G37" s="39">
        <v>-14449</v>
      </c>
      <c r="H37" s="39">
        <v>0</v>
      </c>
      <c r="I37" s="11">
        <v>0</v>
      </c>
      <c r="J37" s="11">
        <v>0</v>
      </c>
      <c r="K37" s="155"/>
      <c r="L37" s="206"/>
    </row>
    <row r="38" spans="1:13" s="13" customFormat="1" ht="16.2" thickBot="1" x14ac:dyDescent="0.35">
      <c r="A38" s="7"/>
      <c r="B38" s="41"/>
      <c r="C38" s="41"/>
      <c r="D38" s="41"/>
      <c r="E38" s="39"/>
      <c r="F38" s="39"/>
      <c r="G38" s="39"/>
      <c r="H38" s="39"/>
      <c r="I38" s="11"/>
      <c r="J38" s="191"/>
      <c r="K38" s="205"/>
      <c r="L38" s="206"/>
    </row>
    <row r="39" spans="1:13" s="13" customFormat="1" ht="16.2" thickBot="1" x14ac:dyDescent="0.35">
      <c r="A39" s="7" t="s">
        <v>88</v>
      </c>
      <c r="B39" s="39">
        <f t="shared" ref="B39:J39" si="3">+B37+B35</f>
        <v>-37148</v>
      </c>
      <c r="C39" s="39">
        <f t="shared" si="3"/>
        <v>76552</v>
      </c>
      <c r="D39" s="39">
        <f t="shared" si="3"/>
        <v>22263</v>
      </c>
      <c r="E39" s="39">
        <f t="shared" si="3"/>
        <v>-17480.130000000034</v>
      </c>
      <c r="F39" s="39">
        <f t="shared" si="3"/>
        <v>-35959.489999999991</v>
      </c>
      <c r="G39" s="39">
        <f t="shared" si="3"/>
        <v>-181974</v>
      </c>
      <c r="H39" s="39">
        <f t="shared" si="3"/>
        <v>13685</v>
      </c>
      <c r="I39" s="154">
        <f t="shared" si="3"/>
        <v>3421</v>
      </c>
      <c r="J39" s="154">
        <f t="shared" si="3"/>
        <v>-33203</v>
      </c>
      <c r="K39" s="155"/>
      <c r="L39" s="208"/>
    </row>
    <row r="40" spans="1:13" s="13" customFormat="1" x14ac:dyDescent="0.3">
      <c r="A40" s="4"/>
      <c r="B40" s="4"/>
      <c r="C40" s="4"/>
      <c r="D40" s="4"/>
      <c r="E40" s="4"/>
      <c r="F40" s="4"/>
      <c r="G40" s="4"/>
      <c r="H40" s="4"/>
      <c r="J40" s="226"/>
      <c r="K40" s="196"/>
      <c r="L40" s="155"/>
    </row>
    <row r="41" spans="1:13" x14ac:dyDescent="0.3">
      <c r="J41" s="226"/>
    </row>
    <row r="42" spans="1:13" x14ac:dyDescent="0.3">
      <c r="J42" s="226"/>
    </row>
    <row r="43" spans="1:13" x14ac:dyDescent="0.3">
      <c r="J43" s="58"/>
    </row>
    <row r="46" spans="1:13" s="4" customFormat="1" x14ac:dyDescent="0.3">
      <c r="J46" s="1"/>
      <c r="K46" s="196"/>
      <c r="L46" s="155"/>
      <c r="M46" s="1"/>
    </row>
    <row r="47" spans="1:13" s="4" customFormat="1" x14ac:dyDescent="0.3">
      <c r="J47" s="1"/>
      <c r="K47" s="196"/>
      <c r="L47" s="155"/>
      <c r="M47" s="1"/>
    </row>
    <row r="48" spans="1:13" s="4" customFormat="1" x14ac:dyDescent="0.3">
      <c r="J48" s="1"/>
      <c r="K48" s="196"/>
      <c r="L48" s="155"/>
      <c r="M48" s="1"/>
    </row>
    <row r="49" spans="10:13" s="4" customFormat="1" x14ac:dyDescent="0.3">
      <c r="K49" s="196"/>
      <c r="L49" s="155"/>
      <c r="M49" s="1"/>
    </row>
    <row r="50" spans="10:13" x14ac:dyDescent="0.3">
      <c r="J50" s="4"/>
    </row>
    <row r="51" spans="10:13" x14ac:dyDescent="0.3">
      <c r="J51" s="4"/>
    </row>
    <row r="52" spans="10:13" x14ac:dyDescent="0.3">
      <c r="J52" s="4"/>
    </row>
  </sheetData>
  <mergeCells count="1">
    <mergeCell ref="E1:G1"/>
  </mergeCells>
  <pageMargins left="0.7" right="0.7" top="0.75" bottom="0.75" header="0.3" footer="0.3"/>
  <pageSetup paperSize="9" scale="66" orientation="landscape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9" tint="-0.249977111117893"/>
    <pageSetUpPr fitToPage="1"/>
  </sheetPr>
  <dimension ref="A1:G32"/>
  <sheetViews>
    <sheetView workbookViewId="0"/>
  </sheetViews>
  <sheetFormatPr defaultColWidth="9.109375" defaultRowHeight="14.4" x14ac:dyDescent="0.3"/>
  <cols>
    <col min="1" max="1" width="9.109375" style="1"/>
    <col min="2" max="2" width="39.6640625" style="1" customWidth="1"/>
    <col min="3" max="5" width="13.6640625" style="1" bestFit="1" customWidth="1"/>
    <col min="6" max="16384" width="9.109375" style="1"/>
  </cols>
  <sheetData>
    <row r="1" spans="1:7" ht="34.200000000000003" thickBot="1" x14ac:dyDescent="0.7">
      <c r="A1" s="193" t="s">
        <v>1596</v>
      </c>
      <c r="B1" s="194"/>
      <c r="C1" s="195"/>
      <c r="D1" s="195"/>
      <c r="E1" s="194"/>
    </row>
    <row r="2" spans="1:7" ht="18.75" customHeight="1" thickBot="1" x14ac:dyDescent="0.7">
      <c r="A2" s="135"/>
      <c r="B2" s="130"/>
      <c r="E2" s="136"/>
    </row>
    <row r="3" spans="1:7" ht="15" thickBot="1" x14ac:dyDescent="0.35">
      <c r="A3" s="124"/>
      <c r="C3" s="102" t="s">
        <v>0</v>
      </c>
      <c r="D3" s="102" t="s">
        <v>904</v>
      </c>
      <c r="E3" s="102" t="s">
        <v>2</v>
      </c>
    </row>
    <row r="4" spans="1:7" ht="15" thickBot="1" x14ac:dyDescent="0.35">
      <c r="A4" s="147" t="s">
        <v>905</v>
      </c>
      <c r="C4" s="103">
        <v>42005</v>
      </c>
      <c r="D4" s="104"/>
      <c r="E4" s="103">
        <v>42369</v>
      </c>
    </row>
    <row r="5" spans="1:7" x14ac:dyDescent="0.3">
      <c r="A5" s="124"/>
      <c r="E5" s="136"/>
    </row>
    <row r="6" spans="1:7" ht="15.6" x14ac:dyDescent="0.3">
      <c r="A6" s="146" t="s">
        <v>906</v>
      </c>
      <c r="E6" s="136"/>
    </row>
    <row r="7" spans="1:7" x14ac:dyDescent="0.3">
      <c r="A7" s="124"/>
      <c r="B7" s="1" t="s">
        <v>5</v>
      </c>
      <c r="C7" s="138">
        <v>0</v>
      </c>
      <c r="D7" s="138">
        <v>0</v>
      </c>
      <c r="E7" s="139">
        <v>0</v>
      </c>
    </row>
    <row r="8" spans="1:7" ht="15" thickBot="1" x14ac:dyDescent="0.35">
      <c r="A8" s="124"/>
      <c r="B8" s="1" t="s">
        <v>6</v>
      </c>
      <c r="C8" s="105">
        <v>0</v>
      </c>
      <c r="D8" s="105">
        <v>0</v>
      </c>
      <c r="E8" s="140">
        <f>C8+D8</f>
        <v>0</v>
      </c>
    </row>
    <row r="9" spans="1:7" x14ac:dyDescent="0.3">
      <c r="A9" s="137" t="s">
        <v>907</v>
      </c>
      <c r="C9" s="106">
        <f>SUM(C7:C8)</f>
        <v>0</v>
      </c>
      <c r="D9" s="106">
        <f>SUM(D7:D8)</f>
        <v>0</v>
      </c>
      <c r="E9" s="141">
        <f>SUM(E7:E8)</f>
        <v>0</v>
      </c>
    </row>
    <row r="10" spans="1:7" x14ac:dyDescent="0.3">
      <c r="A10" s="124"/>
      <c r="C10" s="138"/>
      <c r="D10" s="138"/>
      <c r="E10" s="139"/>
    </row>
    <row r="11" spans="1:7" ht="15.6" x14ac:dyDescent="0.3">
      <c r="A11" s="146" t="s">
        <v>9</v>
      </c>
      <c r="C11" s="138"/>
      <c r="D11" s="138"/>
      <c r="E11" s="139"/>
    </row>
    <row r="12" spans="1:7" x14ac:dyDescent="0.3">
      <c r="A12" s="124"/>
      <c r="B12" s="55" t="s">
        <v>921</v>
      </c>
      <c r="C12" s="138">
        <v>800</v>
      </c>
      <c r="D12" s="138">
        <f>+E12-C12</f>
        <v>200</v>
      </c>
      <c r="E12" s="139">
        <v>1000</v>
      </c>
    </row>
    <row r="13" spans="1:7" x14ac:dyDescent="0.3">
      <c r="A13" s="124"/>
      <c r="B13" s="55" t="s">
        <v>908</v>
      </c>
      <c r="C13" s="138">
        <v>2487.7399999999998</v>
      </c>
      <c r="D13" s="138">
        <f>+E13-C13</f>
        <v>-1583.9999999999998</v>
      </c>
      <c r="E13" s="139">
        <v>903.74</v>
      </c>
    </row>
    <row r="14" spans="1:7" x14ac:dyDescent="0.3">
      <c r="A14" s="124"/>
      <c r="B14" s="55" t="s">
        <v>909</v>
      </c>
      <c r="C14" s="138">
        <v>29824.91</v>
      </c>
      <c r="D14" s="138">
        <f>+E14-C14</f>
        <v>71548</v>
      </c>
      <c r="E14" s="184">
        <v>101372.91</v>
      </c>
    </row>
    <row r="15" spans="1:7" ht="15" thickBot="1" x14ac:dyDescent="0.35">
      <c r="A15" s="124"/>
      <c r="B15" s="55" t="s">
        <v>910</v>
      </c>
      <c r="C15" s="107">
        <v>68571.12</v>
      </c>
      <c r="D15" s="105">
        <f>+E15-C15</f>
        <v>-59986.869999999995</v>
      </c>
      <c r="E15" s="142">
        <v>8584.25</v>
      </c>
      <c r="G15" s="2"/>
    </row>
    <row r="16" spans="1:7" x14ac:dyDescent="0.3">
      <c r="A16" s="137" t="s">
        <v>14</v>
      </c>
      <c r="C16" s="106">
        <f>SUM(C12:C15)</f>
        <v>101683.76999999999</v>
      </c>
      <c r="D16" s="106">
        <f>SUM(D12:D15)</f>
        <v>10177.130000000005</v>
      </c>
      <c r="E16" s="141">
        <f>SUM(E12:E15)</f>
        <v>111860.90000000001</v>
      </c>
    </row>
    <row r="17" spans="1:5" x14ac:dyDescent="0.3">
      <c r="A17" s="124"/>
      <c r="C17" s="138"/>
      <c r="D17" s="138"/>
      <c r="E17" s="139"/>
    </row>
    <row r="18" spans="1:5" ht="15.6" x14ac:dyDescent="0.3">
      <c r="A18" s="146" t="s">
        <v>911</v>
      </c>
      <c r="C18" s="138"/>
      <c r="D18" s="138"/>
      <c r="E18" s="139"/>
    </row>
    <row r="19" spans="1:5" ht="15" thickBot="1" x14ac:dyDescent="0.35">
      <c r="A19" s="122"/>
      <c r="B19" s="55" t="s">
        <v>912</v>
      </c>
      <c r="C19" s="107">
        <v>0</v>
      </c>
      <c r="D19" s="105">
        <f>+E19-C19</f>
        <v>0</v>
      </c>
      <c r="E19" s="142">
        <v>0</v>
      </c>
    </row>
    <row r="20" spans="1:5" x14ac:dyDescent="0.3">
      <c r="A20" s="137" t="s">
        <v>913</v>
      </c>
      <c r="C20" s="106">
        <f>SUM(C19:C19)</f>
        <v>0</v>
      </c>
      <c r="D20" s="106">
        <f>SUM(D19:D19)</f>
        <v>0</v>
      </c>
      <c r="E20" s="141">
        <f>SUM(E19:E19)</f>
        <v>0</v>
      </c>
    </row>
    <row r="21" spans="1:5" x14ac:dyDescent="0.3">
      <c r="A21" s="124"/>
      <c r="C21" s="138"/>
      <c r="D21" s="138"/>
      <c r="E21" s="139"/>
    </row>
    <row r="22" spans="1:5" s="58" customFormat="1" ht="15" thickBot="1" x14ac:dyDescent="0.35">
      <c r="A22" s="143" t="s">
        <v>15</v>
      </c>
      <c r="C22" s="108">
        <f>+C9+C16+C20</f>
        <v>101683.76999999999</v>
      </c>
      <c r="D22" s="108">
        <f>+E22-C22</f>
        <v>10177.130000000019</v>
      </c>
      <c r="E22" s="144">
        <f>+E9+E16+E19</f>
        <v>111860.90000000001</v>
      </c>
    </row>
    <row r="23" spans="1:5" ht="15" thickTop="1" x14ac:dyDescent="0.3">
      <c r="A23" s="124"/>
      <c r="C23" s="138"/>
      <c r="D23" s="138"/>
      <c r="E23" s="139"/>
    </row>
    <row r="24" spans="1:5" x14ac:dyDescent="0.3">
      <c r="A24" s="124"/>
      <c r="C24" s="138"/>
      <c r="D24" s="138"/>
      <c r="E24" s="139"/>
    </row>
    <row r="25" spans="1:5" x14ac:dyDescent="0.3">
      <c r="A25" s="147" t="s">
        <v>923</v>
      </c>
      <c r="C25" s="138"/>
      <c r="D25" s="138"/>
      <c r="E25" s="139"/>
    </row>
    <row r="26" spans="1:5" x14ac:dyDescent="0.3">
      <c r="A26" s="124"/>
      <c r="C26" s="138"/>
      <c r="D26" s="138"/>
      <c r="E26" s="139"/>
    </row>
    <row r="27" spans="1:5" ht="15.6" x14ac:dyDescent="0.3">
      <c r="A27" s="146" t="s">
        <v>8</v>
      </c>
      <c r="C27" s="138"/>
      <c r="D27" s="138"/>
      <c r="E27" s="139"/>
    </row>
    <row r="28" spans="1:5" ht="15" thickBot="1" x14ac:dyDescent="0.35">
      <c r="A28" s="124"/>
      <c r="B28" s="55" t="s">
        <v>8</v>
      </c>
      <c r="C28" s="105">
        <v>101683.77</v>
      </c>
      <c r="D28" s="105">
        <f>+E28-C28</f>
        <v>10177.12999999999</v>
      </c>
      <c r="E28" s="140">
        <v>111860.9</v>
      </c>
    </row>
    <row r="29" spans="1:5" x14ac:dyDescent="0.3">
      <c r="A29" s="137" t="s">
        <v>914</v>
      </c>
      <c r="C29" s="106">
        <f>SUM(C28:C28)</f>
        <v>101683.77</v>
      </c>
      <c r="D29" s="106">
        <f>SUM(D28:D28)</f>
        <v>10177.12999999999</v>
      </c>
      <c r="E29" s="141">
        <f>SUM(E28:E28)</f>
        <v>111860.9</v>
      </c>
    </row>
    <row r="30" spans="1:5" x14ac:dyDescent="0.3">
      <c r="A30" s="124"/>
      <c r="E30" s="136"/>
    </row>
    <row r="31" spans="1:5" s="58" customFormat="1" ht="15" thickBot="1" x14ac:dyDescent="0.35">
      <c r="A31" s="143" t="s">
        <v>915</v>
      </c>
      <c r="C31" s="108">
        <f>+C29</f>
        <v>101683.77</v>
      </c>
      <c r="D31" s="108">
        <f>+D29</f>
        <v>10177.12999999999</v>
      </c>
      <c r="E31" s="144">
        <f>+E29</f>
        <v>111860.9</v>
      </c>
    </row>
    <row r="32" spans="1:5" ht="15.6" thickTop="1" thickBot="1" x14ac:dyDescent="0.35">
      <c r="A32" s="125"/>
      <c r="B32" s="126"/>
      <c r="C32" s="126"/>
      <c r="D32" s="126"/>
      <c r="E32" s="145"/>
    </row>
  </sheetData>
  <pageMargins left="1.18" right="0.7" top="0.75" bottom="0.75" header="0.3" footer="0.3"/>
  <pageSetup paperSize="9"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2CBD4-546B-4053-93BA-D27011B30314}">
  <sheetPr>
    <tabColor theme="5" tint="-0.249977111117893"/>
    <pageSetUpPr fitToPage="1"/>
  </sheetPr>
  <dimension ref="A1:V52"/>
  <sheetViews>
    <sheetView zoomScale="110" zoomScaleNormal="110" workbookViewId="0">
      <pane xSplit="1" ySplit="3" topLeftCell="L4" activePane="bottomRight" state="frozen"/>
      <selection pane="topRight"/>
      <selection pane="bottomLeft"/>
      <selection pane="bottomRight" activeCell="S19" sqref="S19:S35"/>
    </sheetView>
  </sheetViews>
  <sheetFormatPr defaultColWidth="9.109375" defaultRowHeight="15.6" x14ac:dyDescent="0.3"/>
  <cols>
    <col min="1" max="1" width="30.6640625" style="4" customWidth="1"/>
    <col min="2" max="5" width="14.33203125" style="4" customWidth="1"/>
    <col min="6" max="6" width="16.5546875" style="4" customWidth="1"/>
    <col min="7" max="7" width="18" style="4" customWidth="1"/>
    <col min="8" max="8" width="14.33203125" style="4" customWidth="1"/>
    <col min="9" max="11" width="16.44140625" style="1" customWidth="1"/>
    <col min="12" max="17" width="18" style="1" customWidth="1"/>
    <col min="18" max="18" width="17.6640625" style="1" customWidth="1"/>
    <col min="19" max="19" width="18.5546875" style="1" customWidth="1"/>
    <col min="20" max="20" width="27" style="196" customWidth="1"/>
    <col min="21" max="21" width="12" style="155" customWidth="1"/>
    <col min="22" max="16384" width="9.109375" style="1"/>
  </cols>
  <sheetData>
    <row r="1" spans="1:21" ht="31.8" thickBot="1" x14ac:dyDescent="0.65">
      <c r="A1" s="211" t="s">
        <v>486</v>
      </c>
      <c r="B1" s="254"/>
      <c r="C1" s="255"/>
      <c r="D1" s="255"/>
      <c r="G1" s="1"/>
      <c r="I1" s="4"/>
      <c r="K1" s="291" t="s">
        <v>487</v>
      </c>
      <c r="L1" s="291"/>
      <c r="M1" s="291"/>
      <c r="N1" s="291"/>
      <c r="O1" s="291"/>
      <c r="P1" s="291"/>
      <c r="Q1" s="291"/>
      <c r="R1" s="291"/>
      <c r="S1" s="292"/>
    </row>
    <row r="2" spans="1:21" ht="16.2" thickBot="1" x14ac:dyDescent="0.35"/>
    <row r="3" spans="1:21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37">
        <v>2016</v>
      </c>
      <c r="K3" s="241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37">
        <v>2023</v>
      </c>
      <c r="R3" s="37">
        <v>2024</v>
      </c>
      <c r="S3" s="240" t="s">
        <v>2812</v>
      </c>
      <c r="T3" s="156"/>
      <c r="U3" s="156"/>
    </row>
    <row r="4" spans="1:21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275"/>
      <c r="P4" s="275"/>
      <c r="Q4" s="263"/>
      <c r="R4" s="110"/>
      <c r="S4" s="209"/>
      <c r="T4" s="156"/>
      <c r="U4" s="156"/>
    </row>
    <row r="5" spans="1:21" ht="16.2" thickBot="1" x14ac:dyDescent="0.35">
      <c r="A5" s="32" t="s">
        <v>19</v>
      </c>
      <c r="B5" s="10"/>
      <c r="C5" s="7"/>
      <c r="D5" s="7"/>
      <c r="I5" s="4"/>
      <c r="J5" s="4"/>
      <c r="K5" s="262"/>
      <c r="L5" s="262"/>
      <c r="M5" s="262"/>
      <c r="N5" s="262"/>
      <c r="O5" s="256"/>
      <c r="P5" s="256"/>
      <c r="Q5" s="264"/>
      <c r="R5" s="237"/>
      <c r="S5" s="8"/>
      <c r="T5" s="155"/>
    </row>
    <row r="6" spans="1:21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38">
        <v>183801</v>
      </c>
      <c r="L6" s="38">
        <v>157419</v>
      </c>
      <c r="M6" s="38">
        <v>174547</v>
      </c>
      <c r="N6" s="38">
        <v>201753</v>
      </c>
      <c r="O6" s="38">
        <v>201232</v>
      </c>
      <c r="P6" s="38">
        <v>225734</v>
      </c>
      <c r="Q6" s="38">
        <v>252983</v>
      </c>
      <c r="R6" s="9">
        <v>209138</v>
      </c>
      <c r="S6" s="190">
        <v>210000</v>
      </c>
      <c r="T6" s="217"/>
    </row>
    <row r="7" spans="1:2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38">
        <v>131700</v>
      </c>
      <c r="L7" s="38">
        <v>136075</v>
      </c>
      <c r="M7" s="38">
        <v>171450</v>
      </c>
      <c r="N7" s="38">
        <v>179900</v>
      </c>
      <c r="O7" s="38">
        <v>165825</v>
      </c>
      <c r="P7" s="38">
        <v>187000</v>
      </c>
      <c r="Q7" s="38">
        <v>181250</v>
      </c>
      <c r="R7" s="9">
        <v>211575</v>
      </c>
      <c r="S7" s="190">
        <v>350000</v>
      </c>
      <c r="T7" s="236" t="s">
        <v>2856</v>
      </c>
    </row>
    <row r="8" spans="1:21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38">
        <v>96525</v>
      </c>
      <c r="L8" s="38">
        <v>71440</v>
      </c>
      <c r="M8" s="38">
        <v>94105</v>
      </c>
      <c r="N8" s="38">
        <v>36227</v>
      </c>
      <c r="O8" s="38">
        <v>38377</v>
      </c>
      <c r="P8" s="38">
        <v>83434</v>
      </c>
      <c r="Q8" s="38">
        <v>177917</v>
      </c>
      <c r="R8" s="9">
        <v>112047</v>
      </c>
      <c r="S8" s="190">
        <v>115000</v>
      </c>
      <c r="T8" s="155"/>
    </row>
    <row r="9" spans="1:21" ht="31.8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38">
        <v>13700</v>
      </c>
      <c r="L9" s="38">
        <v>18200</v>
      </c>
      <c r="M9" s="38">
        <v>12988</v>
      </c>
      <c r="N9" s="38">
        <v>20320</v>
      </c>
      <c r="O9" s="38">
        <v>16440</v>
      </c>
      <c r="P9" s="38">
        <v>33422</v>
      </c>
      <c r="Q9" s="38">
        <v>14330</v>
      </c>
      <c r="R9" s="9">
        <v>27500</v>
      </c>
      <c r="S9" s="190">
        <v>105000</v>
      </c>
      <c r="T9" s="236" t="s">
        <v>2820</v>
      </c>
    </row>
    <row r="10" spans="1:21" ht="24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38">
        <v>104297</v>
      </c>
      <c r="L10" s="38">
        <v>93420</v>
      </c>
      <c r="M10" s="38">
        <v>63900</v>
      </c>
      <c r="N10" s="38">
        <v>40260</v>
      </c>
      <c r="O10" s="38">
        <v>93603</v>
      </c>
      <c r="P10" s="38">
        <v>109900</v>
      </c>
      <c r="Q10" s="38">
        <v>137850</v>
      </c>
      <c r="R10" s="9">
        <v>125900</v>
      </c>
      <c r="S10" s="190">
        <v>100000</v>
      </c>
      <c r="T10" s="217" t="s">
        <v>2815</v>
      </c>
    </row>
    <row r="11" spans="1:21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38">
        <v>85200</v>
      </c>
      <c r="L11" s="38">
        <v>69517</v>
      </c>
      <c r="M11" s="38">
        <v>89680</v>
      </c>
      <c r="N11" s="38">
        <v>95633</v>
      </c>
      <c r="O11" s="38">
        <v>124778</v>
      </c>
      <c r="P11" s="38">
        <v>145695</v>
      </c>
      <c r="Q11" s="38">
        <v>163300</v>
      </c>
      <c r="R11" s="9">
        <v>203280</v>
      </c>
      <c r="S11" s="190">
        <v>200000</v>
      </c>
      <c r="T11" s="155"/>
    </row>
    <row r="12" spans="1:21" x14ac:dyDescent="0.3">
      <c r="A12" s="4" t="s">
        <v>2813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9">
        <v>0</v>
      </c>
      <c r="S12" s="190">
        <v>124000</v>
      </c>
      <c r="T12" s="157" t="s">
        <v>2819</v>
      </c>
    </row>
    <row r="13" spans="1:21" hidden="1" x14ac:dyDescent="0.3">
      <c r="A13" s="4" t="s">
        <v>2143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0</v>
      </c>
      <c r="G13" s="38">
        <v>0</v>
      </c>
      <c r="H13" s="38">
        <v>0</v>
      </c>
      <c r="I13" s="38">
        <v>0</v>
      </c>
      <c r="J13" s="38">
        <f>5750-1743-1743-1453-3486-4358-15750+10000+7640+840+1463+5660</f>
        <v>2820</v>
      </c>
      <c r="K13" s="38">
        <v>5455</v>
      </c>
      <c r="L13" s="38">
        <v>0</v>
      </c>
      <c r="M13" s="38">
        <v>0</v>
      </c>
      <c r="N13" s="38">
        <v>0</v>
      </c>
      <c r="O13" s="38"/>
      <c r="P13" s="38"/>
      <c r="Q13" s="38"/>
      <c r="R13" s="9"/>
      <c r="S13" s="190">
        <v>0</v>
      </c>
      <c r="T13" s="155"/>
    </row>
    <row r="14" spans="1:21" x14ac:dyDescent="0.3">
      <c r="A14" s="4" t="s">
        <v>27</v>
      </c>
      <c r="B14" s="38">
        <v>2474</v>
      </c>
      <c r="C14" s="38">
        <v>239</v>
      </c>
      <c r="D14" s="38">
        <v>450</v>
      </c>
      <c r="E14" s="38">
        <v>2470.9899999999998</v>
      </c>
      <c r="F14" s="38">
        <v>1824.88</v>
      </c>
      <c r="G14" s="38">
        <v>514</v>
      </c>
      <c r="H14" s="38">
        <v>101</v>
      </c>
      <c r="I14" s="38">
        <v>13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/>
      <c r="P14" s="38"/>
      <c r="Q14" s="38"/>
      <c r="R14" s="9">
        <v>6206</v>
      </c>
      <c r="S14" s="190">
        <v>3000</v>
      </c>
      <c r="T14" s="155"/>
    </row>
    <row r="15" spans="1:21" x14ac:dyDescent="0.3">
      <c r="A15" s="4" t="s">
        <v>490</v>
      </c>
      <c r="B15" s="38">
        <f>3455+2000</f>
        <v>5455</v>
      </c>
      <c r="C15" s="38">
        <f>400+10000+12000</f>
        <v>22400</v>
      </c>
      <c r="D15" s="38">
        <v>4112</v>
      </c>
      <c r="E15" s="38">
        <f>4135+5600</f>
        <v>9735</v>
      </c>
      <c r="F15" s="38">
        <f>1987+4050</f>
        <v>6037</v>
      </c>
      <c r="G15" s="38">
        <v>1630</v>
      </c>
      <c r="H15" s="38">
        <v>16554</v>
      </c>
      <c r="I15" s="38">
        <f>28269-19125+4390+6756</f>
        <v>20290</v>
      </c>
      <c r="J15" s="38">
        <f>2914+5838+4950+240+1000+6365+1880+2390</f>
        <v>25577</v>
      </c>
      <c r="K15" s="38">
        <v>29446</v>
      </c>
      <c r="L15" s="38">
        <v>56040</v>
      </c>
      <c r="M15" s="38">
        <v>21304</v>
      </c>
      <c r="N15" s="38">
        <v>93807</v>
      </c>
      <c r="O15" s="38">
        <v>61627</v>
      </c>
      <c r="P15" s="38">
        <v>46439</v>
      </c>
      <c r="Q15" s="38">
        <v>11035</v>
      </c>
      <c r="R15" s="9">
        <v>17071</v>
      </c>
      <c r="S15" s="190">
        <v>15000</v>
      </c>
      <c r="T15" s="217"/>
    </row>
    <row r="16" spans="1:21" x14ac:dyDescent="0.3">
      <c r="A16" s="7" t="s">
        <v>2554</v>
      </c>
      <c r="B16" s="39">
        <f t="shared" ref="B16:S16" si="0">SUM(B6:B15)</f>
        <v>194203</v>
      </c>
      <c r="C16" s="39">
        <f t="shared" si="0"/>
        <v>345725</v>
      </c>
      <c r="D16" s="39">
        <f t="shared" si="0"/>
        <v>220557</v>
      </c>
      <c r="E16" s="39">
        <f t="shared" si="0"/>
        <v>242079.27999999997</v>
      </c>
      <c r="F16" s="39">
        <f t="shared" si="0"/>
        <v>299613.28000000003</v>
      </c>
      <c r="G16" s="39">
        <f t="shared" si="0"/>
        <v>289920</v>
      </c>
      <c r="H16" s="39">
        <f t="shared" si="0"/>
        <v>480751</v>
      </c>
      <c r="I16" s="39">
        <f>SUM(I6:I15)</f>
        <v>628336</v>
      </c>
      <c r="J16" s="39">
        <f t="shared" si="0"/>
        <v>621290</v>
      </c>
      <c r="K16" s="39">
        <f t="shared" si="0"/>
        <v>650124</v>
      </c>
      <c r="L16" s="39">
        <f>SUM(L6:L15)</f>
        <v>602111</v>
      </c>
      <c r="M16" s="39">
        <v>627974</v>
      </c>
      <c r="N16" s="39">
        <f>SUM(N6:N15)</f>
        <v>667900</v>
      </c>
      <c r="O16" s="39">
        <f>SUM(O6:O15)</f>
        <v>701882</v>
      </c>
      <c r="P16" s="39">
        <f>SUM(P6:P15)</f>
        <v>831624</v>
      </c>
      <c r="Q16" s="39">
        <f t="shared" ref="Q16:R16" si="1">SUM(Q6:Q15)</f>
        <v>938665</v>
      </c>
      <c r="R16" s="11">
        <f t="shared" si="1"/>
        <v>912717</v>
      </c>
      <c r="S16" s="191">
        <f t="shared" si="0"/>
        <v>1222000</v>
      </c>
      <c r="T16" s="155"/>
    </row>
    <row r="17" spans="1:22" ht="16.2" thickBot="1" x14ac:dyDescent="0.35">
      <c r="B17" s="38"/>
      <c r="C17" s="40"/>
      <c r="D17" s="40"/>
      <c r="E17" s="38"/>
      <c r="F17" s="40"/>
      <c r="G17" s="40"/>
      <c r="H17" s="40"/>
      <c r="I17" s="40"/>
      <c r="J17" s="40"/>
      <c r="K17" s="40"/>
      <c r="R17" s="111"/>
      <c r="S17" s="190"/>
      <c r="T17" s="155"/>
    </row>
    <row r="18" spans="1:22" s="13" customFormat="1" ht="16.2" thickBot="1" x14ac:dyDescent="0.35">
      <c r="A18" s="32" t="s">
        <v>30</v>
      </c>
      <c r="B18" s="38"/>
      <c r="C18" s="41"/>
      <c r="D18" s="41"/>
      <c r="E18" s="38"/>
      <c r="F18" s="41"/>
      <c r="G18" s="41"/>
      <c r="H18" s="41"/>
      <c r="I18" s="41"/>
      <c r="J18" s="41"/>
      <c r="K18" s="41"/>
      <c r="R18" s="112"/>
      <c r="S18" s="190"/>
      <c r="T18" s="159"/>
      <c r="U18" s="159"/>
    </row>
    <row r="19" spans="1:22" x14ac:dyDescent="0.3">
      <c r="A19" s="4" t="s">
        <v>46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38">
        <v>-134562</v>
      </c>
      <c r="L19" s="38">
        <v>-150140</v>
      </c>
      <c r="M19" s="38">
        <v>-104717</v>
      </c>
      <c r="N19" s="38">
        <v>-122818</v>
      </c>
      <c r="O19" s="38">
        <v>-159842</v>
      </c>
      <c r="P19" s="38">
        <v>-181432</v>
      </c>
      <c r="Q19" s="38">
        <v>-220492</v>
      </c>
      <c r="R19" s="9">
        <v>-95687</v>
      </c>
      <c r="S19" s="190">
        <v>-130000</v>
      </c>
      <c r="T19" s="155"/>
      <c r="U19" s="197"/>
      <c r="V19" s="55"/>
    </row>
    <row r="20" spans="1:22" x14ac:dyDescent="0.3">
      <c r="A20" s="4" t="s">
        <v>45</v>
      </c>
      <c r="B20" s="38">
        <f>-60296-7500</f>
        <v>-67796</v>
      </c>
      <c r="C20" s="38">
        <f>-18276-5135</f>
        <v>-23411</v>
      </c>
      <c r="D20" s="38">
        <v>-39936</v>
      </c>
      <c r="E20" s="38">
        <v>-107761</v>
      </c>
      <c r="F20" s="38">
        <v>-154875</v>
      </c>
      <c r="G20" s="38">
        <v>-138715</v>
      </c>
      <c r="H20" s="38">
        <v>-94805</v>
      </c>
      <c r="I20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20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20" s="38">
        <v>-201761</v>
      </c>
      <c r="L20" s="38">
        <v>-70226</v>
      </c>
      <c r="M20" s="38">
        <v>-120875</v>
      </c>
      <c r="N20" s="38">
        <v>-81372</v>
      </c>
      <c r="O20" s="38">
        <v>-100638</v>
      </c>
      <c r="P20" s="38">
        <v>-133504</v>
      </c>
      <c r="Q20" s="38">
        <v>-140769</v>
      </c>
      <c r="R20" s="9">
        <v>-121835</v>
      </c>
      <c r="S20" s="190">
        <v>-120000</v>
      </c>
      <c r="T20" s="157"/>
      <c r="U20" s="197"/>
    </row>
    <row r="21" spans="1:22" x14ac:dyDescent="0.3">
      <c r="A21" s="4" t="s">
        <v>508</v>
      </c>
      <c r="B21" s="38">
        <v>-11755</v>
      </c>
      <c r="C21" s="38">
        <v>-20024</v>
      </c>
      <c r="D21" s="38">
        <v>-13297</v>
      </c>
      <c r="E21" s="38">
        <v>-14853.42</v>
      </c>
      <c r="F21" s="38">
        <v>-18717</v>
      </c>
      <c r="G21" s="38">
        <v>-4027</v>
      </c>
      <c r="H21" s="38">
        <v>-20624</v>
      </c>
      <c r="I21" s="38">
        <f>-3208-5440+2557-5729-1907+1985-874-1767-2130-3432-789-9120-114-867-1407-1435-38-5807-8282</f>
        <v>-47804</v>
      </c>
      <c r="J21" s="38">
        <f>-3760-1277-3685+3685-2253-17843-2444-4021-349-5145-111-368-279-322</f>
        <v>-38172</v>
      </c>
      <c r="K21" s="38">
        <v>-17887</v>
      </c>
      <c r="L21" s="38">
        <v>-4522</v>
      </c>
      <c r="M21" s="38">
        <v>0</v>
      </c>
      <c r="N21" s="38">
        <v>-469</v>
      </c>
      <c r="O21" s="38">
        <v>-225</v>
      </c>
      <c r="P21" s="38">
        <v>-519</v>
      </c>
      <c r="Q21" s="38">
        <v>-58306</v>
      </c>
      <c r="R21" s="9">
        <v>-29423</v>
      </c>
      <c r="S21" s="190">
        <v>-45000</v>
      </c>
      <c r="T21" s="157"/>
      <c r="U21" s="197"/>
    </row>
    <row r="22" spans="1:22" x14ac:dyDescent="0.3">
      <c r="A22" s="4" t="s">
        <v>1633</v>
      </c>
      <c r="B22" s="38">
        <v>-4800</v>
      </c>
      <c r="C22" s="38">
        <v>-3398</v>
      </c>
      <c r="D22" s="38">
        <v>0</v>
      </c>
      <c r="E22" s="38">
        <v>-7138</v>
      </c>
      <c r="F22" s="38">
        <v>-3450</v>
      </c>
      <c r="G22" s="38">
        <v>-8100</v>
      </c>
      <c r="H22" s="38">
        <v>-6790</v>
      </c>
      <c r="I22" s="38">
        <f>-2940-7000-2500-2800-185+23111-23111-31150-1700-495-1000</f>
        <v>-49770</v>
      </c>
      <c r="J22" s="38">
        <f>-2100-1969-5000-500-15500-1440-629-7355</f>
        <v>-34493</v>
      </c>
      <c r="K22" s="38">
        <v>-38345</v>
      </c>
      <c r="L22" s="38">
        <v>-52120</v>
      </c>
      <c r="M22" s="38">
        <v>-70704</v>
      </c>
      <c r="N22" s="38">
        <v>-10498</v>
      </c>
      <c r="O22" s="38">
        <v>-17059</v>
      </c>
      <c r="P22" s="38">
        <v>-29952</v>
      </c>
      <c r="Q22" s="38">
        <v>-42358</v>
      </c>
      <c r="R22" s="9">
        <v>-52555</v>
      </c>
      <c r="S22" s="190">
        <v>-90000</v>
      </c>
      <c r="T22" s="217" t="s">
        <v>2857</v>
      </c>
      <c r="U22" s="197"/>
    </row>
    <row r="23" spans="1:22" ht="21.6" x14ac:dyDescent="0.3">
      <c r="A23" s="4" t="s">
        <v>940</v>
      </c>
      <c r="B23" s="38">
        <v>0</v>
      </c>
      <c r="C23" s="38">
        <v>-1700</v>
      </c>
      <c r="D23" s="38">
        <v>0</v>
      </c>
      <c r="E23" s="38">
        <v>-3400</v>
      </c>
      <c r="F23" s="38">
        <v>-3900</v>
      </c>
      <c r="G23" s="38">
        <v>-4550</v>
      </c>
      <c r="H23" s="38">
        <v>-7520</v>
      </c>
      <c r="I23" s="38">
        <f>-4500-4000-682-4000-1110</f>
        <v>-14292</v>
      </c>
      <c r="J23" s="38">
        <f>-4000-5500-4000-407</f>
        <v>-13907</v>
      </c>
      <c r="K23" s="38">
        <v>-40515</v>
      </c>
      <c r="L23" s="38">
        <v>-23150</v>
      </c>
      <c r="M23" s="38">
        <v>-39500</v>
      </c>
      <c r="N23" s="38">
        <v>-35192</v>
      </c>
      <c r="O23" s="38">
        <v>-26250</v>
      </c>
      <c r="P23" s="38">
        <v>-92029</v>
      </c>
      <c r="Q23" s="38">
        <v>-99926</v>
      </c>
      <c r="R23" s="9">
        <v>-108845</v>
      </c>
      <c r="S23" s="190">
        <v>-210000</v>
      </c>
      <c r="T23" s="217" t="s">
        <v>2858</v>
      </c>
      <c r="U23" s="197"/>
    </row>
    <row r="24" spans="1:22" x14ac:dyDescent="0.3">
      <c r="A24" s="4" t="s">
        <v>39</v>
      </c>
      <c r="B24" s="38">
        <v>-18016</v>
      </c>
      <c r="C24" s="38">
        <v>-18105</v>
      </c>
      <c r="D24" s="38">
        <v>-14387</v>
      </c>
      <c r="E24" s="38">
        <v>-7915</v>
      </c>
      <c r="F24" s="38">
        <v>-13828</v>
      </c>
      <c r="G24" s="38">
        <v>-24118</v>
      </c>
      <c r="H24" s="38">
        <v>-30770</v>
      </c>
      <c r="I24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4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4" s="38">
        <v>-76389</v>
      </c>
      <c r="L24" s="38">
        <v>-81515</v>
      </c>
      <c r="M24" s="38">
        <v>-88679</v>
      </c>
      <c r="N24" s="38">
        <v>-72732</v>
      </c>
      <c r="O24" s="38">
        <v>-58100</v>
      </c>
      <c r="P24" s="38">
        <v>-79144</v>
      </c>
      <c r="Q24" s="38">
        <v>-104788</v>
      </c>
      <c r="R24" s="9">
        <v>-88174</v>
      </c>
      <c r="S24" s="190">
        <v>-95000</v>
      </c>
      <c r="T24" s="157"/>
      <c r="U24" s="197"/>
    </row>
    <row r="25" spans="1:22" x14ac:dyDescent="0.3">
      <c r="A25" s="4" t="s">
        <v>40</v>
      </c>
      <c r="B25" s="38">
        <v>0</v>
      </c>
      <c r="C25" s="38">
        <v>-850</v>
      </c>
      <c r="D25" s="38">
        <v>-625</v>
      </c>
      <c r="E25" s="38">
        <v>-8200</v>
      </c>
      <c r="F25" s="38">
        <v>0</v>
      </c>
      <c r="G25" s="38">
        <v>0</v>
      </c>
      <c r="H25" s="38">
        <v>-2100</v>
      </c>
      <c r="I25" s="38">
        <f>-3950</f>
        <v>-3950</v>
      </c>
      <c r="J25" s="38">
        <f>-2750</f>
        <v>-2750</v>
      </c>
      <c r="K25" s="38">
        <v>-2500</v>
      </c>
      <c r="L25" s="38">
        <v>-3050</v>
      </c>
      <c r="M25" s="38">
        <v>-3860</v>
      </c>
      <c r="N25" s="38">
        <v>-7420</v>
      </c>
      <c r="O25" s="38">
        <v>-4750</v>
      </c>
      <c r="P25" s="38">
        <v>-1231</v>
      </c>
      <c r="Q25" s="38">
        <v>-13700</v>
      </c>
      <c r="R25" s="9">
        <v>-14628</v>
      </c>
      <c r="S25" s="190">
        <v>-15000</v>
      </c>
      <c r="T25" s="155"/>
      <c r="U25" s="197"/>
    </row>
    <row r="26" spans="1:22" x14ac:dyDescent="0.3">
      <c r="A26" s="4" t="s">
        <v>36</v>
      </c>
      <c r="B26" s="38">
        <v>-5000</v>
      </c>
      <c r="C26" s="38">
        <v>-350</v>
      </c>
      <c r="D26" s="38">
        <v>0</v>
      </c>
      <c r="E26" s="38">
        <v>-3550</v>
      </c>
      <c r="F26" s="38">
        <v>-10190</v>
      </c>
      <c r="G26" s="38">
        <v>-27295</v>
      </c>
      <c r="H26" s="38">
        <v>-13550</v>
      </c>
      <c r="I26" s="38">
        <f>-1400-1400-2700-3000-1500-1200-1400-1000-1200-1300-1500-800-1200-1400-1400-1190</f>
        <v>-23590</v>
      </c>
      <c r="J26" s="38">
        <f>-800-1200-1100-3350-1400-1000-2000-1000-1400-300-1200-1400-1800-1500-1500-1600-1400-1400</f>
        <v>-25350</v>
      </c>
      <c r="K26" s="38">
        <v>-23700</v>
      </c>
      <c r="L26" s="38">
        <v>-23490</v>
      </c>
      <c r="M26" s="38">
        <v>-20500</v>
      </c>
      <c r="N26" s="38">
        <v>-6700</v>
      </c>
      <c r="O26" s="38">
        <v>-4050</v>
      </c>
      <c r="P26" s="38">
        <v>-22800</v>
      </c>
      <c r="Q26" s="38">
        <v>-34900</v>
      </c>
      <c r="R26" s="9">
        <v>-31665</v>
      </c>
      <c r="S26" s="190">
        <v>-30000</v>
      </c>
      <c r="T26" s="157"/>
      <c r="U26" s="197"/>
    </row>
    <row r="27" spans="1:22" x14ac:dyDescent="0.3">
      <c r="A27" s="4" t="s">
        <v>154</v>
      </c>
      <c r="B27" s="38">
        <v>-19050</v>
      </c>
      <c r="C27" s="38">
        <f>-13250-1750</f>
        <v>-15000</v>
      </c>
      <c r="D27" s="38">
        <v>-19650</v>
      </c>
      <c r="E27" s="38">
        <v>-15750</v>
      </c>
      <c r="F27" s="38">
        <v>-21750</v>
      </c>
      <c r="G27" s="38">
        <v>-30300</v>
      </c>
      <c r="H27" s="38">
        <v>-23520</v>
      </c>
      <c r="I27" s="38">
        <f>950+4008-3900-500-15200+1000-500-1000-2000+1000-250-7000-600-7500</f>
        <v>-31492</v>
      </c>
      <c r="J27" s="38">
        <f>-1000-3000-6600-9700-4500-1900-1200-2000-2400-2000-400-500-2000</f>
        <v>-37200</v>
      </c>
      <c r="K27" s="38">
        <v>-30550</v>
      </c>
      <c r="L27" s="38">
        <v>-32750</v>
      </c>
      <c r="M27" s="38">
        <v>-41400</v>
      </c>
      <c r="N27" s="38">
        <v>-35920</v>
      </c>
      <c r="O27" s="38">
        <v>-14840</v>
      </c>
      <c r="P27" s="38">
        <v>-30440</v>
      </c>
      <c r="Q27" s="38">
        <v>-32200</v>
      </c>
      <c r="R27" s="9">
        <v>-24300</v>
      </c>
      <c r="S27" s="190">
        <v>-25000</v>
      </c>
      <c r="T27" s="157"/>
      <c r="U27" s="197"/>
    </row>
    <row r="28" spans="1:22" x14ac:dyDescent="0.3">
      <c r="A28" s="4" t="s">
        <v>43</v>
      </c>
      <c r="B28" s="38">
        <v>-14470</v>
      </c>
      <c r="C28" s="38">
        <v>-10300</v>
      </c>
      <c r="D28" s="38">
        <v>-4860</v>
      </c>
      <c r="E28" s="38">
        <v>0</v>
      </c>
      <c r="F28" s="38">
        <v>-18405</v>
      </c>
      <c r="G28" s="38">
        <v>-10950</v>
      </c>
      <c r="H28" s="38">
        <v>-9515</v>
      </c>
      <c r="I28" s="38">
        <f>-300-8900+850-1250-3500</f>
        <v>-13100</v>
      </c>
      <c r="J28" s="38">
        <f>-4700-2390-8400</f>
        <v>-15490</v>
      </c>
      <c r="K28" s="38">
        <v>-14710</v>
      </c>
      <c r="L28" s="38">
        <v>-18980</v>
      </c>
      <c r="M28" s="38">
        <v>-15500</v>
      </c>
      <c r="N28" s="38">
        <v>-14350</v>
      </c>
      <c r="O28" s="38">
        <v>-15370</v>
      </c>
      <c r="P28" s="38">
        <v>-5340</v>
      </c>
      <c r="Q28" s="38">
        <v>-4080</v>
      </c>
      <c r="R28" s="9">
        <v>-23540</v>
      </c>
      <c r="S28" s="190">
        <v>-10000</v>
      </c>
      <c r="T28" s="155"/>
      <c r="U28" s="197"/>
    </row>
    <row r="29" spans="1:22" ht="21.6" x14ac:dyDescent="0.3">
      <c r="A29" s="4" t="s">
        <v>44</v>
      </c>
      <c r="B29" s="38">
        <v>-25000</v>
      </c>
      <c r="C29" s="38">
        <v>-15000</v>
      </c>
      <c r="D29" s="38">
        <v>-17500</v>
      </c>
      <c r="E29" s="38">
        <v>-30416</v>
      </c>
      <c r="F29" s="38">
        <v>-16000</v>
      </c>
      <c r="G29" s="38">
        <v>-34000</v>
      </c>
      <c r="H29" s="38">
        <v>-27000</v>
      </c>
      <c r="I29" s="38">
        <f>-12500-1000-2000-5000-3000</f>
        <v>-23500</v>
      </c>
      <c r="J29" s="38">
        <f>-1500-10000-500-4000</f>
        <v>-16000</v>
      </c>
      <c r="K29" s="38">
        <v>-39400</v>
      </c>
      <c r="L29" s="38">
        <v>-28600</v>
      </c>
      <c r="M29" s="38">
        <v>-18000</v>
      </c>
      <c r="N29" s="38">
        <v>-25600</v>
      </c>
      <c r="O29" s="38">
        <v>-53500</v>
      </c>
      <c r="P29" s="38">
        <v>-55750</v>
      </c>
      <c r="Q29" s="38">
        <v>-66350</v>
      </c>
      <c r="R29" s="9">
        <v>-80025</v>
      </c>
      <c r="S29" s="190">
        <v>-80000</v>
      </c>
      <c r="T29" s="217" t="s">
        <v>2817</v>
      </c>
      <c r="U29" s="197"/>
    </row>
    <row r="30" spans="1:22" x14ac:dyDescent="0.3">
      <c r="A30" s="4" t="s">
        <v>56</v>
      </c>
      <c r="B30" s="38">
        <v>-4459</v>
      </c>
      <c r="C30" s="38">
        <v>-12173</v>
      </c>
      <c r="D30" s="38">
        <v>0</v>
      </c>
      <c r="E30" s="38">
        <v>-180</v>
      </c>
      <c r="F30" s="38">
        <v>-1887</v>
      </c>
      <c r="G30" s="38">
        <v>0</v>
      </c>
      <c r="H30" s="38">
        <v>0</v>
      </c>
      <c r="I30" s="38">
        <v>0</v>
      </c>
      <c r="J30" s="38">
        <f>-500-2500-500-1000</f>
        <v>-4500</v>
      </c>
      <c r="K30" s="38">
        <v>-10000</v>
      </c>
      <c r="L30" s="38">
        <v>-14500</v>
      </c>
      <c r="M30" s="38">
        <v>-12500</v>
      </c>
      <c r="N30" s="38">
        <v>-14000</v>
      </c>
      <c r="O30" s="38">
        <v>-9500</v>
      </c>
      <c r="P30" s="38">
        <v>-23000</v>
      </c>
      <c r="Q30" s="38">
        <v>-19850</v>
      </c>
      <c r="R30" s="9">
        <v>-27630</v>
      </c>
      <c r="S30" s="190">
        <v>-36000</v>
      </c>
      <c r="T30" s="217" t="s">
        <v>2816</v>
      </c>
    </row>
    <row r="31" spans="1:22" x14ac:dyDescent="0.3">
      <c r="A31" s="4" t="s">
        <v>32</v>
      </c>
      <c r="B31" s="38">
        <f>-2650-3100-1600</f>
        <v>-7350</v>
      </c>
      <c r="C31" s="38">
        <f>-250-2500-1842</f>
        <v>-4592</v>
      </c>
      <c r="D31" s="38">
        <f>-250-4500-1899</f>
        <v>-6649</v>
      </c>
      <c r="E31" s="38">
        <v>-6338</v>
      </c>
      <c r="F31" s="38">
        <v>-6643</v>
      </c>
      <c r="G31" s="38">
        <v>-3530</v>
      </c>
      <c r="H31" s="38">
        <v>-1024</v>
      </c>
      <c r="I31" s="38">
        <f>-774-250</f>
        <v>-1024</v>
      </c>
      <c r="J31" s="38">
        <f>-771-500</f>
        <v>-1271</v>
      </c>
      <c r="K31" s="38">
        <v>-3000</v>
      </c>
      <c r="L31" s="38">
        <v>-500</v>
      </c>
      <c r="M31" s="38">
        <v>-500</v>
      </c>
      <c r="N31" s="38">
        <v>-500</v>
      </c>
      <c r="O31" s="38">
        <v>-500</v>
      </c>
      <c r="P31" s="38">
        <v>-500</v>
      </c>
      <c r="Q31" s="38">
        <v>-500</v>
      </c>
      <c r="R31" s="9">
        <v>-500</v>
      </c>
      <c r="S31" s="190">
        <v>-500</v>
      </c>
      <c r="T31" s="157"/>
    </row>
    <row r="32" spans="1:22" x14ac:dyDescent="0.3">
      <c r="A32" s="4" t="s">
        <v>491</v>
      </c>
      <c r="B32" s="38">
        <v>0</v>
      </c>
      <c r="C32" s="38">
        <f>-75994-6425</f>
        <v>-82419</v>
      </c>
      <c r="D32" s="38">
        <f>-29362-12800</f>
        <v>-42162</v>
      </c>
      <c r="E32" s="38">
        <v>0</v>
      </c>
      <c r="F32" s="38">
        <v>0</v>
      </c>
      <c r="G32" s="38">
        <v>-102305</v>
      </c>
      <c r="H32" s="38">
        <v>-94393</v>
      </c>
      <c r="I32" s="38">
        <f>-1824-(23*800)-34400-1130-45448</f>
        <v>-101202</v>
      </c>
      <c r="J32" s="38">
        <f>-268-800-800-800-800-800-800-800-800-800-800-800-800-800-800-800-800-800-264-800-800-28998-800-800-800-36777</f>
        <v>-83907</v>
      </c>
      <c r="K32" s="38">
        <v>-90569</v>
      </c>
      <c r="L32" s="38">
        <v>-87302</v>
      </c>
      <c r="M32" s="38">
        <v>-94382</v>
      </c>
      <c r="N32" s="38">
        <v>-111217</v>
      </c>
      <c r="O32" s="38">
        <v>-128246</v>
      </c>
      <c r="P32" s="38">
        <v>-166907</v>
      </c>
      <c r="Q32" s="38">
        <v>-161843</v>
      </c>
      <c r="R32" s="9">
        <v>-202575</v>
      </c>
      <c r="S32" s="190">
        <v>-200000</v>
      </c>
      <c r="T32" s="155"/>
      <c r="U32" s="197"/>
    </row>
    <row r="33" spans="1:21" x14ac:dyDescent="0.3">
      <c r="A33" s="4" t="s">
        <v>2814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9">
        <v>0</v>
      </c>
      <c r="S33" s="190">
        <v>-120000</v>
      </c>
      <c r="T33" s="155"/>
      <c r="U33" s="197"/>
    </row>
    <row r="34" spans="1:21" hidden="1" x14ac:dyDescent="0.3">
      <c r="A34" s="4" t="s">
        <v>33</v>
      </c>
      <c r="B34" s="38">
        <v>0</v>
      </c>
      <c r="C34" s="38">
        <v>0</v>
      </c>
      <c r="D34" s="38">
        <v>0</v>
      </c>
      <c r="E34" s="38">
        <v>-741</v>
      </c>
      <c r="F34" s="38">
        <v>-547</v>
      </c>
      <c r="G34" s="38">
        <v>-154</v>
      </c>
      <c r="H34" s="38">
        <v>-510</v>
      </c>
      <c r="I34" s="38">
        <v>0</v>
      </c>
      <c r="J34" s="38">
        <f>-160</f>
        <v>-160</v>
      </c>
      <c r="K34" s="38">
        <v>0</v>
      </c>
      <c r="L34" s="38">
        <v>0</v>
      </c>
      <c r="M34" s="38">
        <v>0</v>
      </c>
      <c r="N34" s="38">
        <v>0</v>
      </c>
      <c r="O34" s="38"/>
      <c r="P34" s="38"/>
      <c r="Q34" s="38"/>
      <c r="R34" s="9"/>
      <c r="S34" s="190">
        <v>0</v>
      </c>
      <c r="T34" s="155"/>
      <c r="U34" s="197"/>
    </row>
    <row r="35" spans="1:21" x14ac:dyDescent="0.3">
      <c r="A35" s="4" t="s">
        <v>493</v>
      </c>
      <c r="B35" s="38">
        <f>-635-7900</f>
        <v>-8535</v>
      </c>
      <c r="C35" s="38">
        <f>-1500-935-3800-2859-81</f>
        <v>-9175</v>
      </c>
      <c r="D35" s="38">
        <f>-755-1100</f>
        <v>-1855</v>
      </c>
      <c r="E35" s="38">
        <f>-2424-5850</f>
        <v>-8274</v>
      </c>
      <c r="F35" s="38">
        <v>-4637.7700000000004</v>
      </c>
      <c r="G35" s="38">
        <f>-2261-14329</f>
        <v>-16590</v>
      </c>
      <c r="H35" s="38">
        <v>-8129</v>
      </c>
      <c r="I35" s="38">
        <f>-469-740+140+140-4815-234</f>
        <v>-5978</v>
      </c>
      <c r="J35" s="38">
        <f>140-1170-608-2080-341</f>
        <v>-4059</v>
      </c>
      <c r="K35" s="38">
        <v>-11110</v>
      </c>
      <c r="L35" s="38">
        <f>-1688+-1553</f>
        <v>-3241</v>
      </c>
      <c r="M35" s="38">
        <v>-7179</v>
      </c>
      <c r="N35" s="38">
        <f>-2226-250-4352</f>
        <v>-6828</v>
      </c>
      <c r="O35" s="38">
        <f>-2835-250-1000</f>
        <v>-4085</v>
      </c>
      <c r="P35" s="38">
        <v>-5059</v>
      </c>
      <c r="Q35" s="38">
        <f>-750-1134-300-1094-78-365-350-711-1000-295-148</f>
        <v>-6225</v>
      </c>
      <c r="R35" s="9">
        <f>-750-65-1368-1000-308-1600-90-74-1368-187-130-75-500-800-100-132-500</f>
        <v>-9047</v>
      </c>
      <c r="S35" s="190">
        <v>-5000</v>
      </c>
      <c r="T35" s="155"/>
      <c r="U35" s="197"/>
    </row>
    <row r="36" spans="1:21" x14ac:dyDescent="0.3">
      <c r="A36" s="7" t="s">
        <v>2555</v>
      </c>
      <c r="B36" s="39">
        <f>SUM(B19:B35)</f>
        <v>-218877</v>
      </c>
      <c r="C36" s="39">
        <f t="shared" ref="C36:H36" si="2">SUM(C19:C35)</f>
        <v>-258934</v>
      </c>
      <c r="D36" s="39">
        <f t="shared" si="2"/>
        <v>-187844</v>
      </c>
      <c r="E36" s="39">
        <f t="shared" si="2"/>
        <v>-247088.42</v>
      </c>
      <c r="F36" s="39">
        <f t="shared" si="2"/>
        <v>-325572.77</v>
      </c>
      <c r="G36" s="39">
        <f t="shared" si="2"/>
        <v>-457445</v>
      </c>
      <c r="H36" s="39">
        <f t="shared" si="2"/>
        <v>-467066</v>
      </c>
      <c r="I36" s="39">
        <f>SUM(I19:I35)</f>
        <v>-618159</v>
      </c>
      <c r="J36" s="39">
        <f>SUM(J19:J35)</f>
        <v>-584733</v>
      </c>
      <c r="K36" s="39">
        <f>SUM(K19:K35)</f>
        <v>-734998</v>
      </c>
      <c r="L36" s="39">
        <f t="shared" ref="L36" si="3">SUM(L19:L35)</f>
        <v>-594086</v>
      </c>
      <c r="M36" s="39">
        <v>-638296</v>
      </c>
      <c r="N36" s="39">
        <f t="shared" ref="N36:R36" si="4">SUM(N19:N35)</f>
        <v>-545616</v>
      </c>
      <c r="O36" s="39">
        <f t="shared" si="4"/>
        <v>-596955</v>
      </c>
      <c r="P36" s="39">
        <f t="shared" si="4"/>
        <v>-827607</v>
      </c>
      <c r="Q36" s="39">
        <f t="shared" si="4"/>
        <v>-1006287</v>
      </c>
      <c r="R36" s="11">
        <f t="shared" si="4"/>
        <v>-910429</v>
      </c>
      <c r="S36" s="191">
        <f>SUM(S19:S35)</f>
        <v>-1211500</v>
      </c>
      <c r="T36" s="205"/>
      <c r="U36" s="206"/>
    </row>
    <row r="37" spans="1:21" hidden="1" x14ac:dyDescent="0.3">
      <c r="A37" s="7"/>
      <c r="B37" s="41"/>
      <c r="C37" s="41"/>
      <c r="D37" s="41"/>
      <c r="E37" s="39"/>
      <c r="F37" s="39"/>
      <c r="G37" s="39"/>
      <c r="H37" s="39"/>
      <c r="I37" s="259"/>
      <c r="J37" s="259"/>
      <c r="K37" s="259"/>
      <c r="L37" s="259"/>
      <c r="M37" s="259"/>
      <c r="N37" s="259"/>
      <c r="O37" s="259"/>
      <c r="P37" s="259"/>
      <c r="Q37" s="259"/>
      <c r="R37" s="113"/>
      <c r="S37" s="191"/>
      <c r="T37" s="158"/>
      <c r="U37" s="207"/>
    </row>
    <row r="38" spans="1:21" s="13" customFormat="1" hidden="1" x14ac:dyDescent="0.3">
      <c r="A38" s="7" t="s">
        <v>48</v>
      </c>
      <c r="B38" s="39">
        <f t="shared" ref="B38:K38" si="5">+B36+B16</f>
        <v>-24674</v>
      </c>
      <c r="C38" s="39">
        <f t="shared" si="5"/>
        <v>86791</v>
      </c>
      <c r="D38" s="39">
        <f t="shared" si="5"/>
        <v>32713</v>
      </c>
      <c r="E38" s="39">
        <f t="shared" si="5"/>
        <v>-5009.1400000000431</v>
      </c>
      <c r="F38" s="39">
        <f t="shared" si="5"/>
        <v>-25959.489999999991</v>
      </c>
      <c r="G38" s="39">
        <f t="shared" si="5"/>
        <v>-167525</v>
      </c>
      <c r="H38" s="39">
        <f t="shared" si="5"/>
        <v>13685</v>
      </c>
      <c r="I38" s="39">
        <f t="shared" si="5"/>
        <v>10177</v>
      </c>
      <c r="J38" s="39">
        <f t="shared" si="5"/>
        <v>36557</v>
      </c>
      <c r="K38" s="39">
        <f t="shared" si="5"/>
        <v>-84874</v>
      </c>
      <c r="L38" s="39">
        <f>+L36+L16</f>
        <v>8025</v>
      </c>
      <c r="M38" s="39">
        <v>-10322</v>
      </c>
      <c r="N38" s="39">
        <f>+N36+N16</f>
        <v>122284</v>
      </c>
      <c r="O38" s="39">
        <f t="shared" ref="O38:R38" si="6">+O36+O16</f>
        <v>104927</v>
      </c>
      <c r="P38" s="39">
        <f t="shared" si="6"/>
        <v>4017</v>
      </c>
      <c r="Q38" s="39">
        <f t="shared" si="6"/>
        <v>-67622</v>
      </c>
      <c r="R38" s="11">
        <f t="shared" si="6"/>
        <v>2288</v>
      </c>
      <c r="S38" s="191">
        <f>S16+S36</f>
        <v>10500</v>
      </c>
      <c r="T38" s="158"/>
      <c r="U38" s="207"/>
    </row>
    <row r="39" spans="1:21" s="13" customFormat="1" hidden="1" x14ac:dyDescent="0.3">
      <c r="A39" s="7"/>
      <c r="B39" s="41"/>
      <c r="C39" s="41"/>
      <c r="D39" s="41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11"/>
      <c r="S39" s="191"/>
      <c r="T39" s="158"/>
      <c r="U39" s="207"/>
    </row>
    <row r="40" spans="1:21" s="13" customFormat="1" hidden="1" x14ac:dyDescent="0.3">
      <c r="A40" s="7" t="s">
        <v>1530</v>
      </c>
      <c r="B40" s="39">
        <v>-10000</v>
      </c>
      <c r="C40" s="39">
        <v>-10000</v>
      </c>
      <c r="D40" s="39">
        <v>-10000</v>
      </c>
      <c r="E40" s="39">
        <v>-10000</v>
      </c>
      <c r="F40" s="39">
        <v>-10000</v>
      </c>
      <c r="G40" s="39">
        <v>-14449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11">
        <v>0</v>
      </c>
      <c r="S40" s="191">
        <v>0</v>
      </c>
      <c r="T40" s="155"/>
      <c r="U40" s="206"/>
    </row>
    <row r="41" spans="1:21" s="13" customFormat="1" ht="16.2" thickBot="1" x14ac:dyDescent="0.35">
      <c r="A41" s="7"/>
      <c r="B41" s="41"/>
      <c r="C41" s="41"/>
      <c r="D41" s="41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280"/>
      <c r="Q41" s="274"/>
      <c r="R41" s="14"/>
      <c r="S41" s="210"/>
      <c r="T41" s="205"/>
      <c r="U41" s="206"/>
    </row>
    <row r="42" spans="1:21" s="13" customFormat="1" ht="16.2" thickBot="1" x14ac:dyDescent="0.35">
      <c r="A42" s="7" t="s">
        <v>2556</v>
      </c>
      <c r="B42" s="39">
        <f t="shared" ref="B42:K42" si="7">+B40+B38</f>
        <v>-34674</v>
      </c>
      <c r="C42" s="39">
        <f t="shared" si="7"/>
        <v>76791</v>
      </c>
      <c r="D42" s="39">
        <f t="shared" si="7"/>
        <v>22713</v>
      </c>
      <c r="E42" s="39">
        <f t="shared" si="7"/>
        <v>-15009.140000000043</v>
      </c>
      <c r="F42" s="248">
        <f t="shared" si="7"/>
        <v>-35959.489999999991</v>
      </c>
      <c r="G42" s="248">
        <f t="shared" si="7"/>
        <v>-181974</v>
      </c>
      <c r="H42" s="248">
        <f t="shared" si="7"/>
        <v>13685</v>
      </c>
      <c r="I42" s="248">
        <f t="shared" si="7"/>
        <v>10177</v>
      </c>
      <c r="J42" s="248">
        <f t="shared" si="7"/>
        <v>36557</v>
      </c>
      <c r="K42" s="248">
        <f t="shared" si="7"/>
        <v>-84874</v>
      </c>
      <c r="L42" s="248">
        <f>+L40+L38</f>
        <v>8025</v>
      </c>
      <c r="M42" s="248">
        <v>-10322</v>
      </c>
      <c r="N42" s="248">
        <f>+N40+N38</f>
        <v>122284</v>
      </c>
      <c r="O42" s="248">
        <f t="shared" ref="O42:R42" si="8">+O40+O38</f>
        <v>104927</v>
      </c>
      <c r="P42" s="248">
        <f t="shared" si="8"/>
        <v>4017</v>
      </c>
      <c r="Q42" s="248">
        <f t="shared" si="8"/>
        <v>-67622</v>
      </c>
      <c r="R42" s="154">
        <f t="shared" si="8"/>
        <v>2288</v>
      </c>
      <c r="S42" s="192">
        <f>+S40+S38</f>
        <v>10500</v>
      </c>
      <c r="T42" s="155"/>
      <c r="U42" s="208"/>
    </row>
    <row r="43" spans="1:21" s="13" customFormat="1" x14ac:dyDescent="0.3">
      <c r="A43" s="4"/>
      <c r="B43" s="4"/>
      <c r="C43" s="4"/>
      <c r="D43" s="4"/>
      <c r="E43" s="4"/>
      <c r="F43" s="4"/>
      <c r="G43" s="4"/>
      <c r="H43" s="4"/>
      <c r="S43" s="58"/>
      <c r="T43" s="196"/>
      <c r="U43" s="155"/>
    </row>
    <row r="44" spans="1:21" x14ac:dyDescent="0.3">
      <c r="Q44" s="99"/>
    </row>
    <row r="45" spans="1:21" x14ac:dyDescent="0.3">
      <c r="Q45" s="99"/>
    </row>
    <row r="46" spans="1:21" x14ac:dyDescent="0.3">
      <c r="Q46" s="99"/>
    </row>
    <row r="47" spans="1:21" x14ac:dyDescent="0.3">
      <c r="Q47" s="99"/>
    </row>
    <row r="48" spans="1:21" x14ac:dyDescent="0.3">
      <c r="Q48" s="99"/>
    </row>
    <row r="49" spans="17:22" s="4" customFormat="1" x14ac:dyDescent="0.3">
      <c r="Q49" s="269"/>
      <c r="R49" s="1"/>
      <c r="T49" s="196"/>
      <c r="U49" s="155"/>
      <c r="V49" s="1"/>
    </row>
    <row r="50" spans="17:22" s="4" customFormat="1" x14ac:dyDescent="0.3">
      <c r="R50" s="1"/>
      <c r="T50" s="196"/>
      <c r="U50" s="155"/>
      <c r="V50" s="1"/>
    </row>
    <row r="51" spans="17:22" s="4" customFormat="1" x14ac:dyDescent="0.3">
      <c r="R51" s="1"/>
      <c r="T51" s="196"/>
      <c r="U51" s="155"/>
      <c r="V51" s="1"/>
    </row>
    <row r="52" spans="17:22" s="4" customFormat="1" x14ac:dyDescent="0.3">
      <c r="R52" s="1"/>
      <c r="T52" s="196"/>
      <c r="U52" s="155"/>
      <c r="V52" s="1"/>
    </row>
  </sheetData>
  <mergeCells count="1">
    <mergeCell ref="K1:S1"/>
  </mergeCells>
  <pageMargins left="0.7" right="0.7" top="0.75" bottom="0.75" header="0.3" footer="0.3"/>
  <pageSetup paperSize="9" scale="73" orientation="landscape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9" tint="-0.249977111117893"/>
    <pageSetUpPr fitToPage="1"/>
  </sheetPr>
  <dimension ref="A1:I348"/>
  <sheetViews>
    <sheetView workbookViewId="0">
      <selection activeCell="E70" sqref="E70"/>
    </sheetView>
  </sheetViews>
  <sheetFormatPr defaultColWidth="9.109375" defaultRowHeight="13.2" x14ac:dyDescent="0.25"/>
  <cols>
    <col min="1" max="1" width="8.109375" style="148" bestFit="1" customWidth="1"/>
    <col min="2" max="2" width="10.44140625" style="148" bestFit="1" customWidth="1"/>
    <col min="3" max="3" width="21.109375" style="149" customWidth="1"/>
    <col min="4" max="4" width="22.6640625" style="148" customWidth="1"/>
    <col min="5" max="5" width="13" style="148" customWidth="1"/>
    <col min="6" max="6" width="19.109375" style="148" bestFit="1" customWidth="1"/>
    <col min="7" max="7" width="13.44140625" style="148" bestFit="1" customWidth="1"/>
    <col min="8" max="8" width="15" style="148" bestFit="1" customWidth="1"/>
    <col min="9" max="9" width="36.109375" style="150" customWidth="1"/>
    <col min="10" max="16384" width="9.109375" style="148"/>
  </cols>
  <sheetData>
    <row r="1" spans="1:9" x14ac:dyDescent="0.25">
      <c r="A1" s="148" t="s">
        <v>89</v>
      </c>
      <c r="B1" s="148" t="s">
        <v>90</v>
      </c>
      <c r="C1" s="149" t="s">
        <v>91</v>
      </c>
      <c r="D1" s="148" t="s">
        <v>92</v>
      </c>
      <c r="E1" s="148" t="s">
        <v>93</v>
      </c>
      <c r="F1" s="148" t="s">
        <v>94</v>
      </c>
      <c r="G1" s="148" t="s">
        <v>95</v>
      </c>
      <c r="H1" s="148" t="s">
        <v>96</v>
      </c>
      <c r="I1" s="150" t="s">
        <v>97</v>
      </c>
    </row>
    <row r="2" spans="1:9" customFormat="1" ht="14.4" x14ac:dyDescent="0.3">
      <c r="B2" s="183">
        <v>42369</v>
      </c>
      <c r="C2" t="s">
        <v>1599</v>
      </c>
      <c r="D2" t="s">
        <v>1600</v>
      </c>
      <c r="E2" s="45">
        <v>6756</v>
      </c>
    </row>
    <row r="3" spans="1:9" customFormat="1" ht="14.4" x14ac:dyDescent="0.3">
      <c r="B3" s="183">
        <v>42369</v>
      </c>
      <c r="C3" t="s">
        <v>1597</v>
      </c>
      <c r="E3" s="45">
        <v>13.13</v>
      </c>
      <c r="F3" t="s">
        <v>484</v>
      </c>
    </row>
    <row r="4" spans="1:9" customFormat="1" ht="14.4" x14ac:dyDescent="0.3">
      <c r="B4" s="183">
        <v>42368</v>
      </c>
      <c r="C4" t="s">
        <v>838</v>
      </c>
      <c r="D4" t="s">
        <v>101</v>
      </c>
      <c r="E4" s="45">
        <v>-399</v>
      </c>
      <c r="F4" t="s">
        <v>46</v>
      </c>
      <c r="G4" t="s">
        <v>586</v>
      </c>
      <c r="H4" t="s">
        <v>586</v>
      </c>
    </row>
    <row r="5" spans="1:9" customFormat="1" ht="14.4" x14ac:dyDescent="0.3">
      <c r="B5" t="s">
        <v>1570</v>
      </c>
      <c r="C5" t="s">
        <v>35</v>
      </c>
      <c r="D5" t="s">
        <v>101</v>
      </c>
      <c r="E5" s="45">
        <v>-1110</v>
      </c>
      <c r="F5" t="s">
        <v>35</v>
      </c>
      <c r="G5" t="s">
        <v>580</v>
      </c>
    </row>
    <row r="6" spans="1:9" customFormat="1" ht="14.4" x14ac:dyDescent="0.3">
      <c r="A6" s="166"/>
      <c r="B6" s="166" t="s">
        <v>1570</v>
      </c>
      <c r="C6" s="166" t="s">
        <v>1144</v>
      </c>
      <c r="D6" s="166" t="s">
        <v>126</v>
      </c>
      <c r="E6" s="167">
        <v>-1600</v>
      </c>
      <c r="F6" s="166"/>
      <c r="G6" s="166"/>
      <c r="H6" s="166"/>
    </row>
    <row r="7" spans="1:9" customFormat="1" ht="14.4" x14ac:dyDescent="0.3">
      <c r="A7" s="166"/>
      <c r="B7" s="166" t="s">
        <v>1571</v>
      </c>
      <c r="C7" s="166" t="s">
        <v>144</v>
      </c>
      <c r="D7" s="166" t="s">
        <v>145</v>
      </c>
      <c r="E7" s="167">
        <v>1600</v>
      </c>
      <c r="F7" s="166"/>
      <c r="G7" s="166"/>
      <c r="H7" s="166"/>
    </row>
    <row r="8" spans="1:9" customFormat="1" ht="14.4" x14ac:dyDescent="0.3">
      <c r="B8" t="s">
        <v>1572</v>
      </c>
      <c r="C8" t="s">
        <v>838</v>
      </c>
      <c r="D8" t="s">
        <v>101</v>
      </c>
      <c r="E8" s="45">
        <v>-499</v>
      </c>
      <c r="F8" t="s">
        <v>46</v>
      </c>
      <c r="G8" t="s">
        <v>586</v>
      </c>
      <c r="H8" t="s">
        <v>586</v>
      </c>
    </row>
    <row r="9" spans="1:9" customFormat="1" ht="14.4" x14ac:dyDescent="0.3">
      <c r="B9" t="s">
        <v>1572</v>
      </c>
      <c r="C9" t="s">
        <v>950</v>
      </c>
      <c r="D9" t="s">
        <v>101</v>
      </c>
      <c r="E9" s="45">
        <v>-1000</v>
      </c>
      <c r="F9" t="s">
        <v>950</v>
      </c>
      <c r="G9" t="s">
        <v>580</v>
      </c>
    </row>
    <row r="10" spans="1:9" customFormat="1" ht="14.4" x14ac:dyDescent="0.3">
      <c r="B10" t="s">
        <v>1573</v>
      </c>
      <c r="C10" t="s">
        <v>144</v>
      </c>
      <c r="D10" t="s">
        <v>145</v>
      </c>
      <c r="E10" s="45">
        <v>2500</v>
      </c>
      <c r="F10" t="s">
        <v>489</v>
      </c>
      <c r="I10" t="s">
        <v>1588</v>
      </c>
    </row>
    <row r="11" spans="1:9" customFormat="1" ht="14.4" x14ac:dyDescent="0.3">
      <c r="B11" t="s">
        <v>1574</v>
      </c>
      <c r="C11" t="s">
        <v>838</v>
      </c>
      <c r="D11" t="s">
        <v>101</v>
      </c>
      <c r="E11" s="45">
        <v>-331</v>
      </c>
      <c r="F11" t="s">
        <v>46</v>
      </c>
      <c r="G11" t="s">
        <v>586</v>
      </c>
      <c r="H11" t="s">
        <v>586</v>
      </c>
    </row>
    <row r="12" spans="1:9" customFormat="1" ht="14.4" x14ac:dyDescent="0.3">
      <c r="B12" t="s">
        <v>1575</v>
      </c>
      <c r="C12" t="s">
        <v>838</v>
      </c>
      <c r="D12" t="s">
        <v>101</v>
      </c>
      <c r="E12" s="45">
        <v>-124</v>
      </c>
      <c r="F12" t="s">
        <v>46</v>
      </c>
      <c r="G12" t="s">
        <v>586</v>
      </c>
      <c r="H12" t="s">
        <v>586</v>
      </c>
    </row>
    <row r="13" spans="1:9" customFormat="1" ht="14.4" x14ac:dyDescent="0.3">
      <c r="B13" t="s">
        <v>1576</v>
      </c>
      <c r="C13" t="s">
        <v>44</v>
      </c>
      <c r="D13" t="s">
        <v>126</v>
      </c>
      <c r="E13" s="45">
        <v>-3000</v>
      </c>
      <c r="F13" t="s">
        <v>44</v>
      </c>
      <c r="G13" t="s">
        <v>1002</v>
      </c>
      <c r="H13" t="s">
        <v>1002</v>
      </c>
    </row>
    <row r="14" spans="1:9" customFormat="1" ht="14.4" x14ac:dyDescent="0.3">
      <c r="B14" t="s">
        <v>1576</v>
      </c>
      <c r="C14" t="s">
        <v>44</v>
      </c>
      <c r="D14" t="s">
        <v>126</v>
      </c>
      <c r="E14" s="45">
        <v>-5000</v>
      </c>
      <c r="F14" t="s">
        <v>44</v>
      </c>
      <c r="G14" t="s">
        <v>1002</v>
      </c>
      <c r="H14" t="s">
        <v>1002</v>
      </c>
    </row>
    <row r="15" spans="1:9" customFormat="1" ht="14.4" x14ac:dyDescent="0.3">
      <c r="B15" t="s">
        <v>1576</v>
      </c>
      <c r="C15" t="s">
        <v>44</v>
      </c>
      <c r="D15" t="s">
        <v>126</v>
      </c>
      <c r="E15" s="45">
        <v>-2000</v>
      </c>
      <c r="F15" t="s">
        <v>44</v>
      </c>
      <c r="G15" t="s">
        <v>1002</v>
      </c>
      <c r="H15" t="s">
        <v>1002</v>
      </c>
    </row>
    <row r="16" spans="1:9" customFormat="1" ht="14.4" x14ac:dyDescent="0.3">
      <c r="B16" t="s">
        <v>1576</v>
      </c>
      <c r="C16" t="s">
        <v>44</v>
      </c>
      <c r="D16" t="s">
        <v>126</v>
      </c>
      <c r="E16" s="45">
        <v>-1000</v>
      </c>
      <c r="F16" t="s">
        <v>44</v>
      </c>
      <c r="G16" t="s">
        <v>1002</v>
      </c>
      <c r="H16" t="s">
        <v>1002</v>
      </c>
    </row>
    <row r="17" spans="1:9" customFormat="1" ht="55.2" x14ac:dyDescent="0.3">
      <c r="B17" t="s">
        <v>1577</v>
      </c>
      <c r="C17" t="s">
        <v>1225</v>
      </c>
      <c r="D17" t="s">
        <v>126</v>
      </c>
      <c r="E17" s="45">
        <v>-16616</v>
      </c>
      <c r="F17" t="s">
        <v>1586</v>
      </c>
      <c r="G17" t="s">
        <v>586</v>
      </c>
      <c r="I17" s="221" t="s">
        <v>1587</v>
      </c>
    </row>
    <row r="18" spans="1:9" customFormat="1" ht="14.4" x14ac:dyDescent="0.3">
      <c r="B18" t="s">
        <v>1578</v>
      </c>
      <c r="C18" t="s">
        <v>962</v>
      </c>
      <c r="D18" t="s">
        <v>101</v>
      </c>
      <c r="E18" s="45">
        <v>-1190</v>
      </c>
      <c r="F18" t="s">
        <v>36</v>
      </c>
      <c r="G18" t="s">
        <v>580</v>
      </c>
      <c r="H18" t="s">
        <v>342</v>
      </c>
    </row>
    <row r="19" spans="1:9" customFormat="1" ht="14.4" x14ac:dyDescent="0.3">
      <c r="B19" t="s">
        <v>1578</v>
      </c>
      <c r="C19" t="s">
        <v>962</v>
      </c>
      <c r="D19" t="s">
        <v>101</v>
      </c>
      <c r="E19" s="45">
        <v>-1400</v>
      </c>
      <c r="F19" t="s">
        <v>36</v>
      </c>
      <c r="G19" t="s">
        <v>580</v>
      </c>
      <c r="H19" t="s">
        <v>342</v>
      </c>
    </row>
    <row r="20" spans="1:9" customFormat="1" ht="14.4" x14ac:dyDescent="0.3">
      <c r="B20" t="s">
        <v>1578</v>
      </c>
      <c r="C20" t="s">
        <v>962</v>
      </c>
      <c r="D20" t="s">
        <v>101</v>
      </c>
      <c r="E20" s="45">
        <v>-1400</v>
      </c>
      <c r="F20" t="s">
        <v>36</v>
      </c>
      <c r="G20" t="s">
        <v>580</v>
      </c>
      <c r="H20" t="s">
        <v>342</v>
      </c>
    </row>
    <row r="21" spans="1:9" customFormat="1" ht="14.4" x14ac:dyDescent="0.3">
      <c r="B21" t="s">
        <v>1578</v>
      </c>
      <c r="C21" t="s">
        <v>1579</v>
      </c>
      <c r="D21" t="s">
        <v>101</v>
      </c>
      <c r="E21" s="45">
        <v>-7500</v>
      </c>
      <c r="F21" t="s">
        <v>154</v>
      </c>
      <c r="G21" t="s">
        <v>107</v>
      </c>
    </row>
    <row r="22" spans="1:9" customFormat="1" ht="14.4" x14ac:dyDescent="0.3">
      <c r="B22" t="s">
        <v>1578</v>
      </c>
      <c r="C22" t="s">
        <v>38</v>
      </c>
      <c r="D22" t="s">
        <v>101</v>
      </c>
      <c r="E22" s="45">
        <v>-495</v>
      </c>
      <c r="F22" t="s">
        <v>950</v>
      </c>
      <c r="G22" t="s">
        <v>107</v>
      </c>
    </row>
    <row r="23" spans="1:9" customFormat="1" ht="14.4" x14ac:dyDescent="0.3">
      <c r="B23" t="s">
        <v>1580</v>
      </c>
      <c r="C23" t="s">
        <v>978</v>
      </c>
      <c r="D23" t="s">
        <v>101</v>
      </c>
      <c r="E23" s="45">
        <v>-1250</v>
      </c>
      <c r="F23" t="s">
        <v>43</v>
      </c>
      <c r="G23" t="s">
        <v>107</v>
      </c>
    </row>
    <row r="24" spans="1:9" customFormat="1" ht="14.4" x14ac:dyDescent="0.3">
      <c r="A24" s="166"/>
      <c r="B24" s="166" t="s">
        <v>1581</v>
      </c>
      <c r="C24" s="166" t="s">
        <v>1144</v>
      </c>
      <c r="D24" s="166" t="s">
        <v>126</v>
      </c>
      <c r="E24" s="167">
        <v>-1800</v>
      </c>
      <c r="F24" s="166"/>
      <c r="G24" s="166"/>
      <c r="H24" s="166"/>
    </row>
    <row r="25" spans="1:9" customFormat="1" ht="14.4" x14ac:dyDescent="0.3">
      <c r="B25" t="s">
        <v>1582</v>
      </c>
      <c r="C25" t="s">
        <v>975</v>
      </c>
      <c r="D25" t="s">
        <v>101</v>
      </c>
      <c r="E25" s="45">
        <v>-449</v>
      </c>
      <c r="F25" t="s">
        <v>46</v>
      </c>
      <c r="G25" t="s">
        <v>107</v>
      </c>
    </row>
    <row r="26" spans="1:9" customFormat="1" ht="14.4" x14ac:dyDescent="0.3">
      <c r="B26" t="s">
        <v>1582</v>
      </c>
      <c r="C26" t="s">
        <v>1372</v>
      </c>
      <c r="D26" t="s">
        <v>101</v>
      </c>
      <c r="E26" s="45">
        <v>-234</v>
      </c>
      <c r="F26" t="s">
        <v>493</v>
      </c>
      <c r="G26" t="s">
        <v>107</v>
      </c>
      <c r="I26" t="s">
        <v>1585</v>
      </c>
    </row>
    <row r="27" spans="1:9" customFormat="1" ht="14.4" x14ac:dyDescent="0.3">
      <c r="B27" t="s">
        <v>1582</v>
      </c>
      <c r="C27" t="s">
        <v>1219</v>
      </c>
      <c r="D27" t="s">
        <v>101</v>
      </c>
      <c r="E27" s="45">
        <v>-600</v>
      </c>
      <c r="F27" t="s">
        <v>154</v>
      </c>
      <c r="G27" t="s">
        <v>107</v>
      </c>
    </row>
    <row r="28" spans="1:9" customFormat="1" ht="14.4" x14ac:dyDescent="0.3">
      <c r="A28" s="166"/>
      <c r="B28" s="166" t="s">
        <v>1583</v>
      </c>
      <c r="C28" s="166" t="s">
        <v>144</v>
      </c>
      <c r="D28" s="166" t="s">
        <v>145</v>
      </c>
      <c r="E28" s="167">
        <v>1800</v>
      </c>
      <c r="F28" s="166"/>
      <c r="G28" s="166"/>
      <c r="H28" s="166"/>
    </row>
    <row r="29" spans="1:9" customFormat="1" ht="14.4" x14ac:dyDescent="0.3">
      <c r="B29" t="s">
        <v>1583</v>
      </c>
      <c r="C29" t="s">
        <v>934</v>
      </c>
      <c r="D29" t="s">
        <v>101</v>
      </c>
      <c r="E29" s="45">
        <v>-1200</v>
      </c>
      <c r="F29" t="s">
        <v>36</v>
      </c>
    </row>
    <row r="30" spans="1:9" customFormat="1" ht="15" thickBot="1" x14ac:dyDescent="0.35">
      <c r="A30" s="54"/>
      <c r="B30" s="54" t="s">
        <v>1584</v>
      </c>
      <c r="C30" s="54" t="s">
        <v>38</v>
      </c>
      <c r="D30" s="54" t="s">
        <v>101</v>
      </c>
      <c r="E30" s="153">
        <v>-1700</v>
      </c>
      <c r="F30" s="54" t="s">
        <v>950</v>
      </c>
      <c r="G30" s="54"/>
      <c r="H30" s="54"/>
      <c r="I30" s="54"/>
    </row>
    <row r="31" spans="1:9" customFormat="1" ht="14.4" x14ac:dyDescent="0.3">
      <c r="B31" t="s">
        <v>1547</v>
      </c>
      <c r="C31" t="s">
        <v>144</v>
      </c>
      <c r="D31" t="s">
        <v>145</v>
      </c>
      <c r="E31" s="45">
        <v>7702</v>
      </c>
      <c r="F31" t="s">
        <v>20</v>
      </c>
      <c r="G31" t="s">
        <v>580</v>
      </c>
    </row>
    <row r="32" spans="1:9" customFormat="1" ht="14.4" x14ac:dyDescent="0.3">
      <c r="B32" t="s">
        <v>1548</v>
      </c>
      <c r="C32" t="s">
        <v>856</v>
      </c>
      <c r="D32" t="s">
        <v>101</v>
      </c>
      <c r="E32" s="45">
        <v>-7000</v>
      </c>
      <c r="F32" t="s">
        <v>856</v>
      </c>
      <c r="G32" t="s">
        <v>1002</v>
      </c>
      <c r="H32" t="s">
        <v>1002</v>
      </c>
    </row>
    <row r="33" spans="1:9" customFormat="1" ht="14.4" x14ac:dyDescent="0.3">
      <c r="A33" s="166"/>
      <c r="B33" s="166" t="s">
        <v>1548</v>
      </c>
      <c r="C33" s="166" t="s">
        <v>1144</v>
      </c>
      <c r="D33" s="166" t="s">
        <v>126</v>
      </c>
      <c r="E33" s="167">
        <v>-1600</v>
      </c>
      <c r="F33" s="166"/>
      <c r="G33" s="166"/>
      <c r="H33" s="166"/>
    </row>
    <row r="34" spans="1:9" customFormat="1" ht="14.4" x14ac:dyDescent="0.3">
      <c r="B34" t="s">
        <v>1549</v>
      </c>
      <c r="C34" t="s">
        <v>144</v>
      </c>
      <c r="D34" t="s">
        <v>145</v>
      </c>
      <c r="E34" s="45">
        <v>5990</v>
      </c>
      <c r="I34" s="221" t="s">
        <v>1564</v>
      </c>
    </row>
    <row r="35" spans="1:9" customFormat="1" ht="14.4" x14ac:dyDescent="0.3">
      <c r="B35" t="s">
        <v>1550</v>
      </c>
      <c r="C35" t="s">
        <v>1148</v>
      </c>
      <c r="D35" t="s">
        <v>284</v>
      </c>
      <c r="E35" s="45">
        <v>610</v>
      </c>
      <c r="F35" t="s">
        <v>1441</v>
      </c>
      <c r="G35" t="s">
        <v>107</v>
      </c>
    </row>
    <row r="36" spans="1:9" customFormat="1" ht="14.4" x14ac:dyDescent="0.3">
      <c r="B36" t="s">
        <v>1550</v>
      </c>
      <c r="C36" t="s">
        <v>508</v>
      </c>
      <c r="D36" t="s">
        <v>101</v>
      </c>
      <c r="E36" s="45">
        <v>-8282</v>
      </c>
      <c r="F36" t="s">
        <v>508</v>
      </c>
      <c r="G36" t="s">
        <v>107</v>
      </c>
    </row>
    <row r="37" spans="1:9" customFormat="1" ht="14.4" x14ac:dyDescent="0.3">
      <c r="B37" t="s">
        <v>1550</v>
      </c>
      <c r="C37" t="s">
        <v>1197</v>
      </c>
      <c r="D37" t="s">
        <v>101</v>
      </c>
      <c r="E37" s="45">
        <v>-210</v>
      </c>
      <c r="F37" t="s">
        <v>39</v>
      </c>
      <c r="G37" t="s">
        <v>107</v>
      </c>
    </row>
    <row r="38" spans="1:9" customFormat="1" ht="14.4" x14ac:dyDescent="0.3">
      <c r="B38" t="s">
        <v>1550</v>
      </c>
      <c r="C38" t="s">
        <v>154</v>
      </c>
      <c r="D38" t="s">
        <v>101</v>
      </c>
      <c r="E38" s="45">
        <v>-250</v>
      </c>
      <c r="F38" t="s">
        <v>154</v>
      </c>
      <c r="G38" t="s">
        <v>580</v>
      </c>
    </row>
    <row r="39" spans="1:9" customFormat="1" ht="14.4" x14ac:dyDescent="0.3">
      <c r="B39" t="s">
        <v>1551</v>
      </c>
      <c r="C39" t="s">
        <v>144</v>
      </c>
      <c r="D39" t="s">
        <v>145</v>
      </c>
      <c r="E39" s="45">
        <v>500</v>
      </c>
      <c r="F39" t="s">
        <v>1441</v>
      </c>
      <c r="G39" t="s">
        <v>107</v>
      </c>
      <c r="H39" t="s">
        <v>1563</v>
      </c>
    </row>
    <row r="40" spans="1:9" customFormat="1" ht="14.4" x14ac:dyDescent="0.3">
      <c r="B40" t="s">
        <v>1552</v>
      </c>
      <c r="C40" t="s">
        <v>1436</v>
      </c>
      <c r="D40" t="s">
        <v>1188</v>
      </c>
      <c r="E40" s="45">
        <v>1621</v>
      </c>
      <c r="F40" t="s">
        <v>1441</v>
      </c>
      <c r="G40" t="s">
        <v>107</v>
      </c>
    </row>
    <row r="41" spans="1:9" customFormat="1" ht="14.4" x14ac:dyDescent="0.3">
      <c r="B41" t="s">
        <v>1552</v>
      </c>
      <c r="C41" t="s">
        <v>1436</v>
      </c>
      <c r="D41" t="s">
        <v>1185</v>
      </c>
      <c r="E41" s="45">
        <v>7560</v>
      </c>
      <c r="F41" t="s">
        <v>1441</v>
      </c>
      <c r="G41" t="s">
        <v>107</v>
      </c>
    </row>
    <row r="42" spans="1:9" customFormat="1" ht="14.4" x14ac:dyDescent="0.3">
      <c r="B42" t="s">
        <v>1553</v>
      </c>
      <c r="C42" t="s">
        <v>1468</v>
      </c>
      <c r="D42" t="s">
        <v>101</v>
      </c>
      <c r="E42" s="45">
        <v>-5807</v>
      </c>
      <c r="F42" t="s">
        <v>508</v>
      </c>
      <c r="G42" t="s">
        <v>107</v>
      </c>
    </row>
    <row r="43" spans="1:9" customFormat="1" ht="14.4" x14ac:dyDescent="0.3">
      <c r="B43" t="s">
        <v>1553</v>
      </c>
      <c r="C43" t="s">
        <v>508</v>
      </c>
      <c r="D43" t="s">
        <v>101</v>
      </c>
      <c r="E43" s="45">
        <v>-38</v>
      </c>
      <c r="F43" t="s">
        <v>508</v>
      </c>
      <c r="G43" t="s">
        <v>107</v>
      </c>
    </row>
    <row r="44" spans="1:9" customFormat="1" ht="14.4" x14ac:dyDescent="0.3">
      <c r="B44" t="s">
        <v>1553</v>
      </c>
      <c r="C44" t="s">
        <v>927</v>
      </c>
      <c r="D44" t="s">
        <v>126</v>
      </c>
      <c r="E44" s="45">
        <v>-525</v>
      </c>
      <c r="F44" t="s">
        <v>39</v>
      </c>
      <c r="G44" t="s">
        <v>580</v>
      </c>
      <c r="H44" t="s">
        <v>590</v>
      </c>
    </row>
    <row r="45" spans="1:9" customFormat="1" ht="14.4" x14ac:dyDescent="0.3">
      <c r="B45" t="s">
        <v>1553</v>
      </c>
      <c r="C45" t="s">
        <v>942</v>
      </c>
      <c r="D45" t="s">
        <v>126</v>
      </c>
      <c r="E45" s="45">
        <v>-390</v>
      </c>
      <c r="F45" t="s">
        <v>39</v>
      </c>
      <c r="G45" t="s">
        <v>580</v>
      </c>
      <c r="H45" t="s">
        <v>592</v>
      </c>
    </row>
    <row r="46" spans="1:9" customFormat="1" ht="14.4" x14ac:dyDescent="0.3">
      <c r="B46" t="s">
        <v>1553</v>
      </c>
      <c r="C46" t="s">
        <v>942</v>
      </c>
      <c r="D46" t="s">
        <v>126</v>
      </c>
      <c r="E46" s="45">
        <v>-240</v>
      </c>
      <c r="F46" t="s">
        <v>39</v>
      </c>
      <c r="G46" t="s">
        <v>580</v>
      </c>
      <c r="H46" t="s">
        <v>592</v>
      </c>
    </row>
    <row r="47" spans="1:9" customFormat="1" ht="14.4" x14ac:dyDescent="0.3">
      <c r="B47" t="s">
        <v>1553</v>
      </c>
      <c r="C47" t="s">
        <v>942</v>
      </c>
      <c r="D47" t="s">
        <v>126</v>
      </c>
      <c r="E47" s="45">
        <v>-390</v>
      </c>
      <c r="F47" t="s">
        <v>39</v>
      </c>
      <c r="G47" t="s">
        <v>580</v>
      </c>
      <c r="H47" t="s">
        <v>592</v>
      </c>
    </row>
    <row r="48" spans="1:9" customFormat="1" ht="14.4" x14ac:dyDescent="0.3">
      <c r="B48" t="s">
        <v>1554</v>
      </c>
      <c r="C48" t="s">
        <v>1197</v>
      </c>
      <c r="D48" t="s">
        <v>122</v>
      </c>
      <c r="E48" s="45">
        <v>-1200</v>
      </c>
      <c r="F48" t="s">
        <v>39</v>
      </c>
      <c r="G48" t="s">
        <v>107</v>
      </c>
    </row>
    <row r="49" spans="1:9" customFormat="1" ht="14.4" x14ac:dyDescent="0.3">
      <c r="A49" s="166"/>
      <c r="B49" s="166" t="s">
        <v>1555</v>
      </c>
      <c r="C49" s="166" t="s">
        <v>1144</v>
      </c>
      <c r="D49" s="166" t="s">
        <v>126</v>
      </c>
      <c r="E49" s="167">
        <v>-1200</v>
      </c>
      <c r="F49" s="166"/>
      <c r="G49" s="166"/>
      <c r="H49" s="166"/>
    </row>
    <row r="50" spans="1:9" customFormat="1" ht="14.4" x14ac:dyDescent="0.3">
      <c r="A50" s="166"/>
      <c r="B50" s="166" t="s">
        <v>1556</v>
      </c>
      <c r="C50" s="166" t="s">
        <v>144</v>
      </c>
      <c r="D50" s="166" t="s">
        <v>145</v>
      </c>
      <c r="E50" s="167">
        <v>1200</v>
      </c>
      <c r="F50" s="166"/>
      <c r="G50" s="166"/>
      <c r="H50" s="166"/>
    </row>
    <row r="51" spans="1:9" customFormat="1" ht="14.4" x14ac:dyDescent="0.3">
      <c r="B51" t="s">
        <v>1556</v>
      </c>
      <c r="C51" t="s">
        <v>1176</v>
      </c>
      <c r="D51" t="s">
        <v>101</v>
      </c>
      <c r="E51" s="45">
        <v>-218</v>
      </c>
      <c r="F51" t="s">
        <v>46</v>
      </c>
      <c r="G51" t="s">
        <v>1002</v>
      </c>
      <c r="H51" t="s">
        <v>1002</v>
      </c>
    </row>
    <row r="52" spans="1:9" customFormat="1" ht="14.4" x14ac:dyDescent="0.3">
      <c r="B52" t="s">
        <v>1557</v>
      </c>
      <c r="C52" t="s">
        <v>1558</v>
      </c>
      <c r="D52" t="s">
        <v>122</v>
      </c>
      <c r="E52" s="45">
        <v>-1094</v>
      </c>
      <c r="F52" t="s">
        <v>46</v>
      </c>
      <c r="G52" t="s">
        <v>580</v>
      </c>
      <c r="H52" t="s">
        <v>1562</v>
      </c>
    </row>
    <row r="53" spans="1:9" customFormat="1" ht="14.4" x14ac:dyDescent="0.3">
      <c r="B53" t="s">
        <v>1559</v>
      </c>
      <c r="C53" t="s">
        <v>1560</v>
      </c>
      <c r="D53" t="s">
        <v>101</v>
      </c>
      <c r="E53" s="45">
        <v>-800</v>
      </c>
      <c r="F53" t="s">
        <v>36</v>
      </c>
      <c r="G53" t="s">
        <v>580</v>
      </c>
      <c r="H53" t="s">
        <v>594</v>
      </c>
    </row>
    <row r="54" spans="1:9" customFormat="1" ht="15" thickBot="1" x14ac:dyDescent="0.35">
      <c r="A54" s="54"/>
      <c r="B54" s="54" t="s">
        <v>1559</v>
      </c>
      <c r="C54" s="54" t="s">
        <v>1561</v>
      </c>
      <c r="D54" s="54" t="s">
        <v>126</v>
      </c>
      <c r="E54" s="153">
        <v>-4815</v>
      </c>
      <c r="F54" s="54" t="s">
        <v>493</v>
      </c>
      <c r="G54" s="54" t="s">
        <v>107</v>
      </c>
      <c r="H54" s="54"/>
      <c r="I54" s="54"/>
    </row>
    <row r="55" spans="1:9" customFormat="1" ht="14.4" x14ac:dyDescent="0.3">
      <c r="A55" s="166"/>
      <c r="B55" s="166" t="s">
        <v>1531</v>
      </c>
      <c r="C55" s="166" t="s">
        <v>1144</v>
      </c>
      <c r="D55" s="166" t="s">
        <v>126</v>
      </c>
      <c r="E55" s="167">
        <v>-1800</v>
      </c>
      <c r="F55" s="166"/>
      <c r="G55" s="166"/>
      <c r="H55" s="166"/>
    </row>
    <row r="56" spans="1:9" customFormat="1" ht="14.4" x14ac:dyDescent="0.3">
      <c r="B56" t="s">
        <v>1532</v>
      </c>
      <c r="C56" t="s">
        <v>838</v>
      </c>
      <c r="D56" t="s">
        <v>101</v>
      </c>
      <c r="E56" s="45">
        <v>-445</v>
      </c>
      <c r="F56" t="s">
        <v>46</v>
      </c>
      <c r="G56" t="s">
        <v>586</v>
      </c>
      <c r="H56" t="s">
        <v>586</v>
      </c>
    </row>
    <row r="57" spans="1:9" customFormat="1" ht="27.6" x14ac:dyDescent="0.3">
      <c r="B57" t="s">
        <v>1533</v>
      </c>
      <c r="C57" t="s">
        <v>144</v>
      </c>
      <c r="D57" t="s">
        <v>145</v>
      </c>
      <c r="E57" s="45">
        <v>24278</v>
      </c>
      <c r="I57" s="221" t="s">
        <v>1544</v>
      </c>
    </row>
    <row r="58" spans="1:9" customFormat="1" ht="14.4" x14ac:dyDescent="0.3">
      <c r="B58" t="s">
        <v>1533</v>
      </c>
      <c r="C58" t="s">
        <v>838</v>
      </c>
      <c r="D58" t="s">
        <v>101</v>
      </c>
      <c r="E58" s="45">
        <v>-316</v>
      </c>
      <c r="F58" t="s">
        <v>46</v>
      </c>
      <c r="G58" t="s">
        <v>586</v>
      </c>
      <c r="H58" t="s">
        <v>586</v>
      </c>
    </row>
    <row r="59" spans="1:9" customFormat="1" ht="14.4" x14ac:dyDescent="0.3">
      <c r="B59" t="s">
        <v>1534</v>
      </c>
      <c r="C59" t="s">
        <v>1510</v>
      </c>
      <c r="D59" t="s">
        <v>284</v>
      </c>
      <c r="E59" s="45">
        <v>982</v>
      </c>
      <c r="F59" t="s">
        <v>1441</v>
      </c>
      <c r="G59" t="s">
        <v>107</v>
      </c>
    </row>
    <row r="60" spans="1:9" customFormat="1" ht="14.4" x14ac:dyDescent="0.3">
      <c r="B60" t="s">
        <v>1535</v>
      </c>
      <c r="C60" t="s">
        <v>35</v>
      </c>
      <c r="D60" t="s">
        <v>101</v>
      </c>
      <c r="E60" s="45">
        <v>-4000</v>
      </c>
      <c r="F60" t="s">
        <v>35</v>
      </c>
      <c r="G60" t="s">
        <v>580</v>
      </c>
    </row>
    <row r="61" spans="1:9" customFormat="1" ht="14.4" x14ac:dyDescent="0.3">
      <c r="B61" t="s">
        <v>1536</v>
      </c>
      <c r="C61" t="s">
        <v>144</v>
      </c>
      <c r="D61" t="s">
        <v>145</v>
      </c>
      <c r="E61" s="45">
        <v>1000</v>
      </c>
      <c r="F61" t="s">
        <v>154</v>
      </c>
      <c r="G61" t="s">
        <v>1002</v>
      </c>
      <c r="H61" t="s">
        <v>1002</v>
      </c>
    </row>
    <row r="62" spans="1:9" customFormat="1" ht="14.4" x14ac:dyDescent="0.3">
      <c r="B62" t="s">
        <v>1537</v>
      </c>
      <c r="C62" t="s">
        <v>1227</v>
      </c>
      <c r="D62" t="s">
        <v>101</v>
      </c>
      <c r="E62" s="45">
        <v>-2000</v>
      </c>
      <c r="F62" t="s">
        <v>154</v>
      </c>
      <c r="G62" t="s">
        <v>1002</v>
      </c>
      <c r="H62" t="s">
        <v>1002</v>
      </c>
    </row>
    <row r="63" spans="1:9" customFormat="1" ht="14.4" x14ac:dyDescent="0.3">
      <c r="B63" t="s">
        <v>1537</v>
      </c>
      <c r="C63" t="s">
        <v>1397</v>
      </c>
      <c r="D63" t="s">
        <v>126</v>
      </c>
      <c r="E63" s="45">
        <v>-755</v>
      </c>
      <c r="F63" t="s">
        <v>39</v>
      </c>
      <c r="G63" t="s">
        <v>580</v>
      </c>
      <c r="H63" t="s">
        <v>593</v>
      </c>
    </row>
    <row r="64" spans="1:9" customFormat="1" ht="14.4" x14ac:dyDescent="0.3">
      <c r="B64" t="s">
        <v>1537</v>
      </c>
      <c r="C64" t="s">
        <v>1510</v>
      </c>
      <c r="D64" t="s">
        <v>284</v>
      </c>
      <c r="E64" s="45">
        <v>485</v>
      </c>
      <c r="F64" t="s">
        <v>1441</v>
      </c>
      <c r="G64" t="s">
        <v>107</v>
      </c>
    </row>
    <row r="65" spans="1:9" customFormat="1" ht="14.4" x14ac:dyDescent="0.3">
      <c r="B65" t="s">
        <v>1537</v>
      </c>
      <c r="C65" t="s">
        <v>984</v>
      </c>
      <c r="D65" t="s">
        <v>126</v>
      </c>
      <c r="E65" s="45">
        <v>-760</v>
      </c>
      <c r="F65" t="s">
        <v>39</v>
      </c>
      <c r="G65" t="s">
        <v>1002</v>
      </c>
      <c r="H65" t="s">
        <v>1002</v>
      </c>
    </row>
    <row r="66" spans="1:9" customFormat="1" ht="14.4" x14ac:dyDescent="0.3">
      <c r="B66" t="s">
        <v>1538</v>
      </c>
      <c r="C66" t="s">
        <v>952</v>
      </c>
      <c r="D66" t="s">
        <v>126</v>
      </c>
      <c r="E66" s="45">
        <v>-1500</v>
      </c>
      <c r="F66" t="s">
        <v>36</v>
      </c>
      <c r="G66" t="s">
        <v>580</v>
      </c>
      <c r="H66" t="s">
        <v>858</v>
      </c>
    </row>
    <row r="67" spans="1:9" customFormat="1" ht="14.4" x14ac:dyDescent="0.3">
      <c r="B67" t="s">
        <v>1539</v>
      </c>
      <c r="C67" t="s">
        <v>1438</v>
      </c>
      <c r="D67" t="s">
        <v>101</v>
      </c>
      <c r="E67" s="45">
        <v>-598</v>
      </c>
      <c r="F67" t="s">
        <v>46</v>
      </c>
      <c r="G67" t="s">
        <v>580</v>
      </c>
      <c r="H67" t="s">
        <v>1385</v>
      </c>
    </row>
    <row r="68" spans="1:9" customFormat="1" ht="14.4" x14ac:dyDescent="0.3">
      <c r="B68" t="s">
        <v>1540</v>
      </c>
      <c r="C68" t="s">
        <v>144</v>
      </c>
      <c r="D68" t="s">
        <v>145</v>
      </c>
      <c r="E68" s="45">
        <v>36549</v>
      </c>
      <c r="F68" t="s">
        <v>20</v>
      </c>
      <c r="G68" t="s">
        <v>107</v>
      </c>
    </row>
    <row r="69" spans="1:9" customFormat="1" ht="14.4" x14ac:dyDescent="0.3">
      <c r="B69" t="s">
        <v>1540</v>
      </c>
      <c r="C69" t="s">
        <v>984</v>
      </c>
      <c r="D69" t="s">
        <v>126</v>
      </c>
      <c r="E69" s="45">
        <v>-760</v>
      </c>
      <c r="F69" t="s">
        <v>39</v>
      </c>
      <c r="G69" t="s">
        <v>1002</v>
      </c>
      <c r="H69" t="s">
        <v>1002</v>
      </c>
    </row>
    <row r="70" spans="1:9" customFormat="1" ht="14.4" x14ac:dyDescent="0.3">
      <c r="B70" t="s">
        <v>1541</v>
      </c>
      <c r="C70" t="s">
        <v>1437</v>
      </c>
      <c r="D70" t="s">
        <v>101</v>
      </c>
      <c r="E70" s="45">
        <v>-48894</v>
      </c>
      <c r="F70" t="s">
        <v>45</v>
      </c>
      <c r="G70" t="s">
        <v>107</v>
      </c>
    </row>
    <row r="71" spans="1:9" customFormat="1" ht="14.4" x14ac:dyDescent="0.3">
      <c r="B71" t="s">
        <v>1542</v>
      </c>
      <c r="C71" t="s">
        <v>1397</v>
      </c>
      <c r="D71" t="s">
        <v>126</v>
      </c>
      <c r="E71" s="45">
        <v>-390</v>
      </c>
      <c r="F71" t="s">
        <v>39</v>
      </c>
      <c r="G71" t="s">
        <v>580</v>
      </c>
      <c r="H71" t="s">
        <v>593</v>
      </c>
    </row>
    <row r="72" spans="1:9" customFormat="1" ht="14.4" x14ac:dyDescent="0.3">
      <c r="B72" t="s">
        <v>1542</v>
      </c>
      <c r="C72" t="s">
        <v>1436</v>
      </c>
      <c r="D72" t="s">
        <v>1185</v>
      </c>
      <c r="E72" s="45">
        <v>9190</v>
      </c>
      <c r="F72" t="s">
        <v>1441</v>
      </c>
      <c r="G72" t="s">
        <v>107</v>
      </c>
    </row>
    <row r="73" spans="1:9" customFormat="1" ht="15" thickBot="1" x14ac:dyDescent="0.35">
      <c r="A73" s="54"/>
      <c r="B73" s="54" t="s">
        <v>1543</v>
      </c>
      <c r="C73" s="54" t="s">
        <v>1510</v>
      </c>
      <c r="D73" s="54" t="s">
        <v>284</v>
      </c>
      <c r="E73" s="153">
        <v>55</v>
      </c>
      <c r="F73" s="54" t="s">
        <v>1441</v>
      </c>
      <c r="G73" s="54" t="s">
        <v>107</v>
      </c>
      <c r="H73" s="54"/>
      <c r="I73" s="54"/>
    </row>
    <row r="74" spans="1:9" customFormat="1" ht="14.4" x14ac:dyDescent="0.3">
      <c r="B74" t="s">
        <v>1527</v>
      </c>
      <c r="C74" t="s">
        <v>1128</v>
      </c>
      <c r="D74" t="s">
        <v>101</v>
      </c>
      <c r="E74" s="45">
        <v>-212</v>
      </c>
      <c r="F74" t="s">
        <v>46</v>
      </c>
      <c r="G74" t="s">
        <v>580</v>
      </c>
      <c r="H74" t="s">
        <v>438</v>
      </c>
    </row>
    <row r="75" spans="1:9" customFormat="1" ht="14.4" x14ac:dyDescent="0.3">
      <c r="B75" t="s">
        <v>1528</v>
      </c>
      <c r="C75" t="s">
        <v>144</v>
      </c>
      <c r="D75" t="s">
        <v>145</v>
      </c>
      <c r="E75" s="45">
        <v>100</v>
      </c>
      <c r="F75" t="s">
        <v>1441</v>
      </c>
      <c r="G75" t="s">
        <v>107</v>
      </c>
    </row>
    <row r="76" spans="1:9" customFormat="1" ht="14.4" x14ac:dyDescent="0.3">
      <c r="B76" t="s">
        <v>1528</v>
      </c>
      <c r="C76" t="s">
        <v>1510</v>
      </c>
      <c r="D76" t="s">
        <v>284</v>
      </c>
      <c r="E76" s="45">
        <v>35</v>
      </c>
      <c r="F76" t="s">
        <v>1441</v>
      </c>
      <c r="G76" t="s">
        <v>107</v>
      </c>
    </row>
    <row r="77" spans="1:9" customFormat="1" ht="14.4" x14ac:dyDescent="0.3">
      <c r="B77" t="s">
        <v>1506</v>
      </c>
      <c r="C77" t="s">
        <v>144</v>
      </c>
      <c r="D77" t="s">
        <v>145</v>
      </c>
      <c r="E77" s="45">
        <v>598</v>
      </c>
      <c r="F77" t="s">
        <v>46</v>
      </c>
      <c r="G77" t="s">
        <v>580</v>
      </c>
      <c r="H77" t="s">
        <v>1385</v>
      </c>
    </row>
    <row r="78" spans="1:9" customFormat="1" ht="14.4" x14ac:dyDescent="0.3">
      <c r="A78" s="166"/>
      <c r="B78" s="166" t="s">
        <v>1507</v>
      </c>
      <c r="C78" s="166" t="s">
        <v>144</v>
      </c>
      <c r="D78" s="166" t="s">
        <v>145</v>
      </c>
      <c r="E78" s="167">
        <v>2400</v>
      </c>
      <c r="F78" s="166"/>
      <c r="G78" s="166"/>
      <c r="H78" s="166"/>
    </row>
    <row r="79" spans="1:9" customFormat="1" ht="14.4" x14ac:dyDescent="0.3">
      <c r="A79" s="166"/>
      <c r="B79" s="166" t="s">
        <v>1507</v>
      </c>
      <c r="C79" s="166" t="s">
        <v>1144</v>
      </c>
      <c r="D79" s="166" t="s">
        <v>126</v>
      </c>
      <c r="E79" s="167">
        <v>-2400</v>
      </c>
      <c r="F79" s="166"/>
      <c r="G79" s="166"/>
      <c r="H79" s="166"/>
    </row>
    <row r="80" spans="1:9" customFormat="1" ht="14.4" x14ac:dyDescent="0.3">
      <c r="B80" t="s">
        <v>1508</v>
      </c>
      <c r="C80" t="s">
        <v>759</v>
      </c>
      <c r="D80" t="s">
        <v>101</v>
      </c>
      <c r="E80" s="45">
        <v>-45448</v>
      </c>
      <c r="F80" t="s">
        <v>759</v>
      </c>
      <c r="G80" t="s">
        <v>580</v>
      </c>
    </row>
    <row r="81" spans="2:9" customFormat="1" ht="14.4" x14ac:dyDescent="0.3">
      <c r="B81" t="s">
        <v>1509</v>
      </c>
      <c r="C81" t="s">
        <v>984</v>
      </c>
      <c r="D81" t="s">
        <v>126</v>
      </c>
      <c r="E81" s="45">
        <v>-760</v>
      </c>
      <c r="F81" t="s">
        <v>39</v>
      </c>
      <c r="G81" t="s">
        <v>1002</v>
      </c>
      <c r="H81" t="s">
        <v>1002</v>
      </c>
    </row>
    <row r="82" spans="2:9" customFormat="1" ht="14.4" x14ac:dyDescent="0.3">
      <c r="B82" t="s">
        <v>1509</v>
      </c>
      <c r="C82" t="s">
        <v>1510</v>
      </c>
      <c r="D82" t="s">
        <v>284</v>
      </c>
      <c r="E82" s="45">
        <v>492</v>
      </c>
      <c r="F82" t="s">
        <v>1441</v>
      </c>
      <c r="G82" t="s">
        <v>107</v>
      </c>
    </row>
    <row r="83" spans="2:9" customFormat="1" ht="14.4" x14ac:dyDescent="0.3">
      <c r="B83" t="s">
        <v>1509</v>
      </c>
      <c r="C83" t="s">
        <v>838</v>
      </c>
      <c r="D83" t="s">
        <v>101</v>
      </c>
      <c r="E83" s="45">
        <v>-120</v>
      </c>
      <c r="F83" t="s">
        <v>46</v>
      </c>
      <c r="G83" t="s">
        <v>586</v>
      </c>
      <c r="H83" t="s">
        <v>586</v>
      </c>
    </row>
    <row r="84" spans="2:9" customFormat="1" ht="14.4" x14ac:dyDescent="0.3">
      <c r="B84" t="s">
        <v>1511</v>
      </c>
      <c r="C84" t="s">
        <v>1437</v>
      </c>
      <c r="D84" t="s">
        <v>101</v>
      </c>
      <c r="E84" s="45">
        <v>-3576</v>
      </c>
      <c r="F84" t="s">
        <v>45</v>
      </c>
      <c r="G84" t="s">
        <v>107</v>
      </c>
    </row>
    <row r="85" spans="2:9" customFormat="1" ht="14.4" x14ac:dyDescent="0.3">
      <c r="B85" t="s">
        <v>1512</v>
      </c>
      <c r="C85" t="s">
        <v>1439</v>
      </c>
      <c r="D85" t="s">
        <v>101</v>
      </c>
      <c r="E85" s="45">
        <v>-628</v>
      </c>
      <c r="F85" t="s">
        <v>46</v>
      </c>
      <c r="G85" t="s">
        <v>580</v>
      </c>
      <c r="H85" t="s">
        <v>593</v>
      </c>
    </row>
    <row r="86" spans="2:9" customFormat="1" ht="14.4" x14ac:dyDescent="0.3">
      <c r="B86" t="s">
        <v>1512</v>
      </c>
      <c r="C86" t="s">
        <v>838</v>
      </c>
      <c r="D86" t="s">
        <v>101</v>
      </c>
      <c r="E86" s="45">
        <v>-833</v>
      </c>
      <c r="F86" t="s">
        <v>46</v>
      </c>
      <c r="G86" t="s">
        <v>586</v>
      </c>
      <c r="H86" t="s">
        <v>586</v>
      </c>
    </row>
    <row r="87" spans="2:9" customFormat="1" ht="14.4" x14ac:dyDescent="0.3">
      <c r="B87" t="s">
        <v>1512</v>
      </c>
      <c r="C87" t="s">
        <v>1477</v>
      </c>
      <c r="D87" t="s">
        <v>101</v>
      </c>
      <c r="E87" s="45">
        <v>-14652</v>
      </c>
      <c r="F87" t="s">
        <v>46</v>
      </c>
      <c r="G87" t="s">
        <v>580</v>
      </c>
      <c r="H87" t="s">
        <v>1158</v>
      </c>
    </row>
    <row r="88" spans="2:9" customFormat="1" ht="14.4" x14ac:dyDescent="0.3">
      <c r="B88" t="s">
        <v>1513</v>
      </c>
      <c r="C88" t="s">
        <v>1468</v>
      </c>
      <c r="D88" t="s">
        <v>126</v>
      </c>
      <c r="E88" s="45">
        <v>-1435</v>
      </c>
      <c r="F88" t="s">
        <v>508</v>
      </c>
      <c r="G88" t="s">
        <v>107</v>
      </c>
    </row>
    <row r="89" spans="2:9" customFormat="1" ht="14.4" x14ac:dyDescent="0.3">
      <c r="B89" t="s">
        <v>1514</v>
      </c>
      <c r="C89" t="s">
        <v>144</v>
      </c>
      <c r="D89" t="s">
        <v>145</v>
      </c>
      <c r="E89" s="45">
        <v>88164</v>
      </c>
      <c r="F89" t="s">
        <v>20</v>
      </c>
      <c r="G89" t="s">
        <v>107</v>
      </c>
    </row>
    <row r="90" spans="2:9" customFormat="1" ht="14.4" x14ac:dyDescent="0.3">
      <c r="B90" t="s">
        <v>1515</v>
      </c>
      <c r="C90" t="s">
        <v>1184</v>
      </c>
      <c r="D90" t="s">
        <v>1185</v>
      </c>
      <c r="E90" s="45">
        <v>1800</v>
      </c>
      <c r="F90" t="s">
        <v>1441</v>
      </c>
      <c r="G90" t="s">
        <v>107</v>
      </c>
    </row>
    <row r="91" spans="2:9" customFormat="1" ht="14.4" x14ac:dyDescent="0.3">
      <c r="B91" t="s">
        <v>1515</v>
      </c>
      <c r="C91" t="s">
        <v>1184</v>
      </c>
      <c r="D91" t="s">
        <v>1185</v>
      </c>
      <c r="E91" s="45">
        <v>8200</v>
      </c>
      <c r="F91" t="s">
        <v>1441</v>
      </c>
      <c r="G91" t="s">
        <v>107</v>
      </c>
    </row>
    <row r="92" spans="2:9" customFormat="1" ht="14.4" x14ac:dyDescent="0.3">
      <c r="B92" t="s">
        <v>1516</v>
      </c>
      <c r="C92" t="s">
        <v>144</v>
      </c>
      <c r="D92" t="s">
        <v>145</v>
      </c>
      <c r="E92" s="45">
        <v>200</v>
      </c>
      <c r="F92" t="s">
        <v>22</v>
      </c>
      <c r="G92" t="s">
        <v>580</v>
      </c>
      <c r="H92" t="s">
        <v>1385</v>
      </c>
      <c r="I92" t="s">
        <v>1522</v>
      </c>
    </row>
    <row r="93" spans="2:9" customFormat="1" ht="14.4" x14ac:dyDescent="0.3">
      <c r="B93" t="s">
        <v>1517</v>
      </c>
      <c r="C93" t="s">
        <v>928</v>
      </c>
      <c r="D93" t="s">
        <v>126</v>
      </c>
      <c r="E93" s="45">
        <v>-390</v>
      </c>
      <c r="F93" t="s">
        <v>39</v>
      </c>
      <c r="G93" t="s">
        <v>580</v>
      </c>
      <c r="H93" t="s">
        <v>594</v>
      </c>
    </row>
    <row r="94" spans="2:9" customFormat="1" ht="14.4" x14ac:dyDescent="0.3">
      <c r="B94" t="s">
        <v>1518</v>
      </c>
      <c r="C94" t="s">
        <v>1197</v>
      </c>
      <c r="D94" t="s">
        <v>126</v>
      </c>
      <c r="E94" s="45">
        <v>-1115</v>
      </c>
      <c r="F94" t="s">
        <v>39</v>
      </c>
      <c r="G94" t="s">
        <v>580</v>
      </c>
      <c r="H94" t="s">
        <v>1523</v>
      </c>
    </row>
    <row r="95" spans="2:9" customFormat="1" ht="14.4" x14ac:dyDescent="0.3">
      <c r="B95" t="s">
        <v>1518</v>
      </c>
      <c r="C95" t="s">
        <v>942</v>
      </c>
      <c r="D95" t="s">
        <v>126</v>
      </c>
      <c r="E95" s="45">
        <v>-735</v>
      </c>
      <c r="F95" t="s">
        <v>39</v>
      </c>
      <c r="G95" t="s">
        <v>580</v>
      </c>
      <c r="H95" t="s">
        <v>592</v>
      </c>
    </row>
    <row r="96" spans="2:9" customFormat="1" ht="14.4" x14ac:dyDescent="0.3">
      <c r="B96" t="s">
        <v>1518</v>
      </c>
      <c r="C96" t="s">
        <v>998</v>
      </c>
      <c r="D96" t="s">
        <v>126</v>
      </c>
      <c r="E96" s="45">
        <v>-540</v>
      </c>
      <c r="F96" t="s">
        <v>39</v>
      </c>
      <c r="G96" t="s">
        <v>580</v>
      </c>
      <c r="H96" t="s">
        <v>438</v>
      </c>
    </row>
    <row r="97" spans="1:9" customFormat="1" ht="14.4" x14ac:dyDescent="0.3">
      <c r="B97" t="s">
        <v>1518</v>
      </c>
      <c r="C97" t="s">
        <v>513</v>
      </c>
      <c r="D97" t="s">
        <v>101</v>
      </c>
      <c r="E97" s="45">
        <v>-120</v>
      </c>
      <c r="F97" t="s">
        <v>46</v>
      </c>
      <c r="G97" t="s">
        <v>586</v>
      </c>
      <c r="H97" t="s">
        <v>586</v>
      </c>
    </row>
    <row r="98" spans="1:9" customFormat="1" ht="14.4" x14ac:dyDescent="0.3">
      <c r="B98" t="s">
        <v>1518</v>
      </c>
      <c r="C98" t="s">
        <v>508</v>
      </c>
      <c r="D98" t="s">
        <v>101</v>
      </c>
      <c r="E98" s="45">
        <v>-1407</v>
      </c>
      <c r="F98" t="s">
        <v>508</v>
      </c>
      <c r="G98" t="s">
        <v>107</v>
      </c>
    </row>
    <row r="99" spans="1:9" customFormat="1" ht="14.4" x14ac:dyDescent="0.3">
      <c r="A99" s="166"/>
      <c r="B99" s="166" t="s">
        <v>1519</v>
      </c>
      <c r="C99" s="166" t="s">
        <v>1144</v>
      </c>
      <c r="D99" s="166" t="s">
        <v>126</v>
      </c>
      <c r="E99" s="167">
        <v>-1000</v>
      </c>
      <c r="F99" s="166"/>
      <c r="G99" s="166"/>
      <c r="H99" s="166"/>
    </row>
    <row r="100" spans="1:9" customFormat="1" ht="27.6" x14ac:dyDescent="0.3">
      <c r="B100" t="s">
        <v>1519</v>
      </c>
      <c r="C100" t="s">
        <v>1404</v>
      </c>
      <c r="D100" t="s">
        <v>101</v>
      </c>
      <c r="E100" s="45">
        <v>-6461</v>
      </c>
      <c r="F100" t="s">
        <v>46</v>
      </c>
      <c r="G100" t="s">
        <v>580</v>
      </c>
      <c r="I100" s="221" t="s">
        <v>1526</v>
      </c>
    </row>
    <row r="101" spans="1:9" customFormat="1" ht="14.4" x14ac:dyDescent="0.3">
      <c r="B101" t="s">
        <v>1519</v>
      </c>
      <c r="C101" t="s">
        <v>1416</v>
      </c>
      <c r="D101" t="s">
        <v>101</v>
      </c>
      <c r="E101" s="45">
        <v>-4784</v>
      </c>
      <c r="F101" t="s">
        <v>46</v>
      </c>
      <c r="G101" t="s">
        <v>582</v>
      </c>
    </row>
    <row r="102" spans="1:9" customFormat="1" ht="27.6" x14ac:dyDescent="0.3">
      <c r="B102" t="s">
        <v>1520</v>
      </c>
      <c r="C102" t="s">
        <v>144</v>
      </c>
      <c r="D102" t="s">
        <v>145</v>
      </c>
      <c r="E102" s="45">
        <v>3700</v>
      </c>
      <c r="I102" s="221" t="s">
        <v>1521</v>
      </c>
    </row>
    <row r="103" spans="1:9" customFormat="1" ht="15" thickBot="1" x14ac:dyDescent="0.35">
      <c r="A103" s="54"/>
      <c r="B103" s="54" t="s">
        <v>1520</v>
      </c>
      <c r="C103" s="54" t="s">
        <v>984</v>
      </c>
      <c r="D103" s="54" t="s">
        <v>126</v>
      </c>
      <c r="E103" s="153">
        <v>-760</v>
      </c>
      <c r="F103" s="54" t="s">
        <v>39</v>
      </c>
      <c r="G103" s="54" t="s">
        <v>1002</v>
      </c>
      <c r="H103" s="54" t="s">
        <v>1002</v>
      </c>
    </row>
    <row r="104" spans="1:9" customFormat="1" ht="14.4" x14ac:dyDescent="0.3">
      <c r="B104" t="s">
        <v>1492</v>
      </c>
      <c r="C104" t="s">
        <v>1397</v>
      </c>
      <c r="D104" t="s">
        <v>126</v>
      </c>
      <c r="E104" s="45">
        <v>-315</v>
      </c>
      <c r="F104" t="s">
        <v>39</v>
      </c>
      <c r="G104" t="s">
        <v>580</v>
      </c>
      <c r="H104" t="s">
        <v>593</v>
      </c>
    </row>
    <row r="105" spans="1:9" customFormat="1" ht="14.4" x14ac:dyDescent="0.3">
      <c r="A105" s="166"/>
      <c r="B105" s="166" t="s">
        <v>1493</v>
      </c>
      <c r="C105" s="166" t="s">
        <v>144</v>
      </c>
      <c r="D105" s="166" t="s">
        <v>145</v>
      </c>
      <c r="E105" s="167">
        <v>1600</v>
      </c>
      <c r="F105" s="166"/>
      <c r="G105" s="166"/>
      <c r="H105" s="166"/>
    </row>
    <row r="106" spans="1:9" customFormat="1" ht="14.4" x14ac:dyDescent="0.3">
      <c r="A106" s="166"/>
      <c r="B106" s="166" t="s">
        <v>1493</v>
      </c>
      <c r="C106" s="166" t="s">
        <v>1144</v>
      </c>
      <c r="D106" s="166" t="s">
        <v>126</v>
      </c>
      <c r="E106" s="167">
        <v>-1600</v>
      </c>
      <c r="F106" s="166"/>
      <c r="G106" s="166"/>
      <c r="H106" s="166"/>
    </row>
    <row r="107" spans="1:9" customFormat="1" ht="14.4" x14ac:dyDescent="0.3">
      <c r="B107" t="s">
        <v>1493</v>
      </c>
      <c r="C107" t="s">
        <v>998</v>
      </c>
      <c r="D107" t="s">
        <v>126</v>
      </c>
      <c r="E107" s="45">
        <v>-540</v>
      </c>
      <c r="F107" t="s">
        <v>39</v>
      </c>
      <c r="G107" t="s">
        <v>580</v>
      </c>
      <c r="H107" t="s">
        <v>438</v>
      </c>
    </row>
    <row r="108" spans="1:9" customFormat="1" ht="14.4" x14ac:dyDescent="0.3">
      <c r="B108" t="s">
        <v>1493</v>
      </c>
      <c r="C108" t="s">
        <v>1494</v>
      </c>
      <c r="D108" t="s">
        <v>284</v>
      </c>
      <c r="E108" s="45">
        <v>12185</v>
      </c>
      <c r="F108" t="s">
        <v>46</v>
      </c>
      <c r="G108" t="s">
        <v>580</v>
      </c>
      <c r="H108" t="s">
        <v>1158</v>
      </c>
    </row>
    <row r="109" spans="1:9" customFormat="1" ht="14.4" x14ac:dyDescent="0.3">
      <c r="B109" t="s">
        <v>1495</v>
      </c>
      <c r="C109" t="s">
        <v>998</v>
      </c>
      <c r="D109" t="s">
        <v>126</v>
      </c>
      <c r="E109" s="45">
        <v>-785</v>
      </c>
      <c r="F109" t="s">
        <v>39</v>
      </c>
      <c r="G109" t="s">
        <v>580</v>
      </c>
      <c r="H109" t="s">
        <v>438</v>
      </c>
    </row>
    <row r="110" spans="1:9" customFormat="1" ht="14.4" x14ac:dyDescent="0.3">
      <c r="B110" t="s">
        <v>1495</v>
      </c>
      <c r="C110" t="s">
        <v>1496</v>
      </c>
      <c r="D110" t="s">
        <v>126</v>
      </c>
      <c r="E110" s="45">
        <v>-1300</v>
      </c>
      <c r="F110" t="s">
        <v>36</v>
      </c>
      <c r="G110" t="s">
        <v>580</v>
      </c>
      <c r="H110" t="s">
        <v>593</v>
      </c>
    </row>
    <row r="111" spans="1:9" customFormat="1" ht="14.4" x14ac:dyDescent="0.3">
      <c r="B111" t="s">
        <v>1495</v>
      </c>
      <c r="C111" t="s">
        <v>942</v>
      </c>
      <c r="D111" t="s">
        <v>126</v>
      </c>
      <c r="E111" s="45">
        <v>-630</v>
      </c>
      <c r="F111" t="s">
        <v>39</v>
      </c>
      <c r="G111" t="s">
        <v>580</v>
      </c>
      <c r="H111" t="s">
        <v>592</v>
      </c>
    </row>
    <row r="112" spans="1:9" customFormat="1" ht="14.4" x14ac:dyDescent="0.3">
      <c r="A112" s="166"/>
      <c r="B112" s="166" t="s">
        <v>1497</v>
      </c>
      <c r="C112" s="166" t="s">
        <v>1144</v>
      </c>
      <c r="D112" s="166" t="s">
        <v>126</v>
      </c>
      <c r="E112" s="167">
        <v>-2400</v>
      </c>
      <c r="F112" s="166"/>
      <c r="G112" s="166"/>
      <c r="H112" s="166"/>
    </row>
    <row r="113" spans="1:8" customFormat="1" ht="14.4" x14ac:dyDescent="0.3">
      <c r="B113" t="s">
        <v>1497</v>
      </c>
      <c r="C113" t="s">
        <v>1498</v>
      </c>
      <c r="D113" t="s">
        <v>284</v>
      </c>
      <c r="E113" s="45">
        <v>4784</v>
      </c>
      <c r="F113" t="s">
        <v>46</v>
      </c>
      <c r="G113" t="s">
        <v>580</v>
      </c>
      <c r="H113" t="s">
        <v>582</v>
      </c>
    </row>
    <row r="114" spans="1:8" customFormat="1" ht="14.4" x14ac:dyDescent="0.3">
      <c r="A114" s="166"/>
      <c r="B114" s="166" t="s">
        <v>1499</v>
      </c>
      <c r="C114" s="166" t="s">
        <v>144</v>
      </c>
      <c r="D114" s="166" t="s">
        <v>145</v>
      </c>
      <c r="E114" s="167">
        <v>2400</v>
      </c>
      <c r="F114" s="166"/>
      <c r="G114" s="166"/>
      <c r="H114" s="166"/>
    </row>
    <row r="115" spans="1:8" customFormat="1" ht="14.4" x14ac:dyDescent="0.3">
      <c r="B115" t="s">
        <v>1500</v>
      </c>
      <c r="C115" t="s">
        <v>1436</v>
      </c>
      <c r="D115" t="s">
        <v>1188</v>
      </c>
      <c r="E115" s="45">
        <v>725</v>
      </c>
      <c r="F115" t="s">
        <v>1441</v>
      </c>
      <c r="G115" t="s">
        <v>107</v>
      </c>
    </row>
    <row r="116" spans="1:8" customFormat="1" ht="14.4" x14ac:dyDescent="0.3">
      <c r="B116" t="s">
        <v>1500</v>
      </c>
      <c r="C116" t="s">
        <v>1436</v>
      </c>
      <c r="D116" t="s">
        <v>1185</v>
      </c>
      <c r="E116" s="45">
        <v>6200</v>
      </c>
      <c r="F116" t="s">
        <v>1441</v>
      </c>
      <c r="G116" t="s">
        <v>107</v>
      </c>
    </row>
    <row r="117" spans="1:8" customFormat="1" ht="14.4" x14ac:dyDescent="0.3">
      <c r="B117" t="s">
        <v>1500</v>
      </c>
      <c r="C117" t="s">
        <v>1436</v>
      </c>
      <c r="D117" t="s">
        <v>1185</v>
      </c>
      <c r="E117" s="45">
        <v>2000</v>
      </c>
      <c r="F117" t="s">
        <v>1441</v>
      </c>
      <c r="G117" t="s">
        <v>107</v>
      </c>
    </row>
    <row r="118" spans="1:8" customFormat="1" ht="14.4" x14ac:dyDescent="0.3">
      <c r="B118" t="s">
        <v>1500</v>
      </c>
      <c r="C118" t="s">
        <v>1194</v>
      </c>
      <c r="D118" t="s">
        <v>284</v>
      </c>
      <c r="E118" s="45">
        <v>1660</v>
      </c>
      <c r="F118" t="s">
        <v>1441</v>
      </c>
      <c r="G118" t="s">
        <v>107</v>
      </c>
    </row>
    <row r="119" spans="1:8" customFormat="1" ht="14.4" x14ac:dyDescent="0.3">
      <c r="B119" t="s">
        <v>1501</v>
      </c>
      <c r="C119" t="s">
        <v>1436</v>
      </c>
      <c r="D119" t="s">
        <v>1185</v>
      </c>
      <c r="E119" s="45">
        <v>10000</v>
      </c>
      <c r="F119" t="s">
        <v>1441</v>
      </c>
      <c r="G119" t="s">
        <v>107</v>
      </c>
    </row>
    <row r="120" spans="1:8" customFormat="1" ht="14.4" x14ac:dyDescent="0.3">
      <c r="B120" t="s">
        <v>1502</v>
      </c>
      <c r="C120" t="s">
        <v>1148</v>
      </c>
      <c r="D120" t="s">
        <v>284</v>
      </c>
      <c r="E120" s="45">
        <v>1500</v>
      </c>
      <c r="F120" t="s">
        <v>1441</v>
      </c>
      <c r="G120" t="s">
        <v>107</v>
      </c>
    </row>
    <row r="121" spans="1:8" customFormat="1" ht="14.4" x14ac:dyDescent="0.3">
      <c r="B121" t="s">
        <v>1502</v>
      </c>
      <c r="C121" t="s">
        <v>154</v>
      </c>
      <c r="D121" t="s">
        <v>122</v>
      </c>
      <c r="E121" s="45">
        <v>-1000</v>
      </c>
      <c r="F121" t="s">
        <v>154</v>
      </c>
      <c r="G121" t="s">
        <v>580</v>
      </c>
    </row>
    <row r="122" spans="1:8" customFormat="1" ht="14.4" x14ac:dyDescent="0.3">
      <c r="B122" t="s">
        <v>1503</v>
      </c>
      <c r="C122" t="s">
        <v>504</v>
      </c>
      <c r="D122" t="s">
        <v>101</v>
      </c>
      <c r="E122" s="45">
        <v>-268</v>
      </c>
      <c r="F122" t="s">
        <v>46</v>
      </c>
      <c r="G122" t="s">
        <v>580</v>
      </c>
      <c r="H122" t="s">
        <v>342</v>
      </c>
    </row>
    <row r="123" spans="1:8" customFormat="1" ht="15" thickBot="1" x14ac:dyDescent="0.35">
      <c r="A123" s="54"/>
      <c r="B123" s="54" t="s">
        <v>1503</v>
      </c>
      <c r="C123" s="54" t="s">
        <v>1439</v>
      </c>
      <c r="D123" s="54" t="s">
        <v>101</v>
      </c>
      <c r="E123" s="153">
        <v>-698</v>
      </c>
      <c r="F123" s="54" t="s">
        <v>46</v>
      </c>
      <c r="G123" s="54" t="s">
        <v>580</v>
      </c>
      <c r="H123" s="54" t="s">
        <v>593</v>
      </c>
    </row>
    <row r="124" spans="1:8" customFormat="1" ht="14.4" x14ac:dyDescent="0.3">
      <c r="B124" t="s">
        <v>1444</v>
      </c>
      <c r="C124" t="s">
        <v>1436</v>
      </c>
      <c r="D124" t="s">
        <v>1185</v>
      </c>
      <c r="E124" s="45">
        <v>10000</v>
      </c>
      <c r="F124" t="s">
        <v>1441</v>
      </c>
      <c r="G124" t="s">
        <v>107</v>
      </c>
    </row>
    <row r="125" spans="1:8" customFormat="1" ht="14.4" x14ac:dyDescent="0.3">
      <c r="A125" s="166"/>
      <c r="B125" s="166" t="s">
        <v>1445</v>
      </c>
      <c r="C125" s="166" t="s">
        <v>1144</v>
      </c>
      <c r="D125" s="166" t="s">
        <v>126</v>
      </c>
      <c r="E125" s="167">
        <v>-1600</v>
      </c>
      <c r="F125" s="166"/>
      <c r="G125" s="166"/>
      <c r="H125" s="166"/>
    </row>
    <row r="126" spans="1:8" customFormat="1" ht="14.4" x14ac:dyDescent="0.3">
      <c r="A126" s="166"/>
      <c r="B126" s="166" t="s">
        <v>1446</v>
      </c>
      <c r="C126" s="166" t="s">
        <v>144</v>
      </c>
      <c r="D126" s="166" t="s">
        <v>145</v>
      </c>
      <c r="E126" s="167">
        <v>1600</v>
      </c>
      <c r="F126" s="166"/>
      <c r="G126" s="166"/>
      <c r="H126" s="166"/>
    </row>
    <row r="127" spans="1:8" customFormat="1" ht="14.4" x14ac:dyDescent="0.3">
      <c r="B127" t="s">
        <v>1446</v>
      </c>
      <c r="C127" t="s">
        <v>1439</v>
      </c>
      <c r="D127" t="s">
        <v>101</v>
      </c>
      <c r="E127" s="45">
        <v>-698</v>
      </c>
      <c r="F127" t="s">
        <v>46</v>
      </c>
      <c r="G127" t="s">
        <v>580</v>
      </c>
      <c r="H127" t="s">
        <v>593</v>
      </c>
    </row>
    <row r="128" spans="1:8" customFormat="1" ht="14.4" x14ac:dyDescent="0.3">
      <c r="B128" t="s">
        <v>1447</v>
      </c>
      <c r="C128" t="s">
        <v>144</v>
      </c>
      <c r="D128" t="s">
        <v>145</v>
      </c>
      <c r="E128" s="45">
        <v>600</v>
      </c>
      <c r="F128" t="s">
        <v>22</v>
      </c>
      <c r="G128" t="s">
        <v>580</v>
      </c>
      <c r="H128" t="s">
        <v>582</v>
      </c>
    </row>
    <row r="129" spans="1:8" customFormat="1" ht="14.4" x14ac:dyDescent="0.3">
      <c r="B129" t="s">
        <v>1448</v>
      </c>
      <c r="C129" t="s">
        <v>1148</v>
      </c>
      <c r="D129" t="s">
        <v>284</v>
      </c>
      <c r="E129" s="45">
        <v>300</v>
      </c>
      <c r="F129" t="s">
        <v>1441</v>
      </c>
      <c r="G129" t="s">
        <v>107</v>
      </c>
    </row>
    <row r="130" spans="1:8" customFormat="1" ht="14.4" x14ac:dyDescent="0.3">
      <c r="B130" t="s">
        <v>1448</v>
      </c>
      <c r="C130" t="s">
        <v>1449</v>
      </c>
      <c r="D130" t="s">
        <v>126</v>
      </c>
      <c r="E130" s="45">
        <v>-19125</v>
      </c>
      <c r="F130" t="s">
        <v>1481</v>
      </c>
    </row>
    <row r="131" spans="1:8" customFormat="1" ht="14.4" x14ac:dyDescent="0.3">
      <c r="B131" t="s">
        <v>1450</v>
      </c>
      <c r="C131" t="s">
        <v>1104</v>
      </c>
      <c r="D131" t="s">
        <v>101</v>
      </c>
      <c r="E131" s="45">
        <v>-398</v>
      </c>
      <c r="F131" t="s">
        <v>46</v>
      </c>
      <c r="G131" t="s">
        <v>580</v>
      </c>
      <c r="H131" t="s">
        <v>858</v>
      </c>
    </row>
    <row r="132" spans="1:8" customFormat="1" ht="14.4" x14ac:dyDescent="0.3">
      <c r="B132" t="s">
        <v>1450</v>
      </c>
      <c r="C132" t="s">
        <v>975</v>
      </c>
      <c r="D132" t="s">
        <v>101</v>
      </c>
      <c r="E132" s="45">
        <v>-720</v>
      </c>
      <c r="F132" t="s">
        <v>46</v>
      </c>
      <c r="G132" t="s">
        <v>107</v>
      </c>
    </row>
    <row r="133" spans="1:8" customFormat="1" ht="14.4" x14ac:dyDescent="0.3">
      <c r="B133" t="s">
        <v>1450</v>
      </c>
      <c r="C133" t="s">
        <v>759</v>
      </c>
      <c r="D133" t="s">
        <v>101</v>
      </c>
      <c r="E133" s="45">
        <v>-1130</v>
      </c>
      <c r="F133" t="s">
        <v>759</v>
      </c>
      <c r="G133" t="s">
        <v>580</v>
      </c>
    </row>
    <row r="134" spans="1:8" customFormat="1" ht="14.4" x14ac:dyDescent="0.3">
      <c r="B134" t="s">
        <v>1450</v>
      </c>
      <c r="C134" t="s">
        <v>759</v>
      </c>
      <c r="D134" t="s">
        <v>101</v>
      </c>
      <c r="E134" s="45">
        <v>-34400</v>
      </c>
      <c r="F134" t="s">
        <v>759</v>
      </c>
      <c r="G134" t="s">
        <v>580</v>
      </c>
    </row>
    <row r="135" spans="1:8" customFormat="1" ht="14.4" x14ac:dyDescent="0.3">
      <c r="B135" t="s">
        <v>1451</v>
      </c>
      <c r="C135" t="s">
        <v>35</v>
      </c>
      <c r="D135" t="s">
        <v>101</v>
      </c>
      <c r="E135" s="45">
        <v>-682</v>
      </c>
      <c r="F135" t="s">
        <v>35</v>
      </c>
      <c r="G135" t="s">
        <v>580</v>
      </c>
    </row>
    <row r="136" spans="1:8" customFormat="1" ht="14.4" x14ac:dyDescent="0.3">
      <c r="B136" t="s">
        <v>1451</v>
      </c>
      <c r="C136" t="s">
        <v>1452</v>
      </c>
      <c r="D136" t="s">
        <v>101</v>
      </c>
      <c r="E136" s="45">
        <v>-1200</v>
      </c>
      <c r="F136" t="s">
        <v>36</v>
      </c>
      <c r="G136" t="s">
        <v>580</v>
      </c>
      <c r="H136" t="s">
        <v>1158</v>
      </c>
    </row>
    <row r="137" spans="1:8" customFormat="1" ht="14.4" x14ac:dyDescent="0.3">
      <c r="B137" t="s">
        <v>1451</v>
      </c>
      <c r="C137" t="s">
        <v>759</v>
      </c>
      <c r="D137" t="s">
        <v>126</v>
      </c>
      <c r="E137" s="45">
        <v>-800</v>
      </c>
      <c r="F137" t="s">
        <v>759</v>
      </c>
      <c r="G137" t="s">
        <v>580</v>
      </c>
    </row>
    <row r="138" spans="1:8" customFormat="1" ht="14.4" x14ac:dyDescent="0.3">
      <c r="A138" s="166"/>
      <c r="B138" s="166" t="s">
        <v>1451</v>
      </c>
      <c r="C138" s="166" t="s">
        <v>1144</v>
      </c>
      <c r="D138" s="166" t="s">
        <v>126</v>
      </c>
      <c r="E138" s="167">
        <v>-1200</v>
      </c>
      <c r="F138" s="166"/>
      <c r="G138" s="166"/>
      <c r="H138" s="166"/>
    </row>
    <row r="139" spans="1:8" customFormat="1" ht="14.4" x14ac:dyDescent="0.3">
      <c r="B139" t="s">
        <v>1451</v>
      </c>
      <c r="C139" t="s">
        <v>1453</v>
      </c>
      <c r="D139" t="s">
        <v>284</v>
      </c>
      <c r="E139" s="45">
        <v>99500</v>
      </c>
      <c r="F139" t="s">
        <v>759</v>
      </c>
      <c r="G139" t="s">
        <v>580</v>
      </c>
    </row>
    <row r="140" spans="1:8" customFormat="1" ht="14.4" x14ac:dyDescent="0.3">
      <c r="B140" t="s">
        <v>1454</v>
      </c>
      <c r="C140" t="s">
        <v>1455</v>
      </c>
      <c r="D140" t="s">
        <v>284</v>
      </c>
      <c r="E140" s="45">
        <v>770</v>
      </c>
      <c r="F140" t="s">
        <v>46</v>
      </c>
      <c r="G140" t="s">
        <v>580</v>
      </c>
      <c r="H140" t="s">
        <v>592</v>
      </c>
    </row>
    <row r="141" spans="1:8" customFormat="1" ht="14.4" x14ac:dyDescent="0.3">
      <c r="A141" s="166"/>
      <c r="B141" s="166" t="s">
        <v>1456</v>
      </c>
      <c r="C141" s="166" t="s">
        <v>144</v>
      </c>
      <c r="D141" s="166" t="s">
        <v>145</v>
      </c>
      <c r="E141" s="167">
        <v>1200</v>
      </c>
      <c r="F141" s="166"/>
      <c r="G141" s="166"/>
      <c r="H141" s="166"/>
    </row>
    <row r="142" spans="1:8" customFormat="1" ht="14.4" x14ac:dyDescent="0.3">
      <c r="B142" t="s">
        <v>1456</v>
      </c>
      <c r="C142" t="s">
        <v>986</v>
      </c>
      <c r="D142" t="s">
        <v>101</v>
      </c>
      <c r="E142" s="45">
        <v>-599</v>
      </c>
      <c r="F142" t="s">
        <v>46</v>
      </c>
      <c r="G142" t="s">
        <v>580</v>
      </c>
      <c r="H142" t="s">
        <v>590</v>
      </c>
    </row>
    <row r="143" spans="1:8" customFormat="1" ht="14.4" x14ac:dyDescent="0.3">
      <c r="B143" t="s">
        <v>1456</v>
      </c>
      <c r="C143" t="s">
        <v>975</v>
      </c>
      <c r="D143" t="s">
        <v>101</v>
      </c>
      <c r="E143" s="45">
        <v>-116</v>
      </c>
      <c r="F143" t="s">
        <v>46</v>
      </c>
      <c r="G143" t="s">
        <v>107</v>
      </c>
    </row>
    <row r="144" spans="1:8" customFormat="1" ht="14.4" x14ac:dyDescent="0.3">
      <c r="B144" t="s">
        <v>1456</v>
      </c>
      <c r="C144" t="s">
        <v>1439</v>
      </c>
      <c r="D144" t="s">
        <v>101</v>
      </c>
      <c r="E144" s="45">
        <v>-319</v>
      </c>
      <c r="F144" t="s">
        <v>46</v>
      </c>
      <c r="G144" t="s">
        <v>580</v>
      </c>
      <c r="H144" t="s">
        <v>593</v>
      </c>
    </row>
    <row r="145" spans="2:8" customFormat="1" ht="14.4" x14ac:dyDescent="0.3">
      <c r="B145" t="s">
        <v>1456</v>
      </c>
      <c r="C145" t="s">
        <v>1457</v>
      </c>
      <c r="D145" t="s">
        <v>101</v>
      </c>
      <c r="E145" s="45">
        <v>-359</v>
      </c>
      <c r="F145" t="s">
        <v>46</v>
      </c>
      <c r="G145" t="s">
        <v>580</v>
      </c>
      <c r="H145" t="s">
        <v>1428</v>
      </c>
    </row>
    <row r="146" spans="2:8" customFormat="1" ht="14.4" x14ac:dyDescent="0.3">
      <c r="B146" t="s">
        <v>1458</v>
      </c>
      <c r="C146" t="s">
        <v>144</v>
      </c>
      <c r="D146" t="s">
        <v>145</v>
      </c>
      <c r="E146" s="45">
        <v>140</v>
      </c>
      <c r="F146" t="s">
        <v>493</v>
      </c>
      <c r="G146" t="s">
        <v>107</v>
      </c>
      <c r="H146" t="s">
        <v>1482</v>
      </c>
    </row>
    <row r="147" spans="2:8" customFormat="1" ht="14.4" x14ac:dyDescent="0.3">
      <c r="B147" t="s">
        <v>1458</v>
      </c>
      <c r="C147" t="s">
        <v>759</v>
      </c>
      <c r="D147" t="s">
        <v>126</v>
      </c>
      <c r="E147" s="45">
        <v>-800</v>
      </c>
      <c r="F147" t="s">
        <v>759</v>
      </c>
      <c r="G147" t="s">
        <v>580</v>
      </c>
    </row>
    <row r="148" spans="2:8" customFormat="1" ht="14.4" x14ac:dyDescent="0.3">
      <c r="B148" t="s">
        <v>1458</v>
      </c>
      <c r="C148" t="s">
        <v>759</v>
      </c>
      <c r="D148" t="s">
        <v>126</v>
      </c>
      <c r="E148" s="45">
        <v>-800</v>
      </c>
      <c r="F148" t="s">
        <v>759</v>
      </c>
      <c r="G148" t="s">
        <v>580</v>
      </c>
    </row>
    <row r="149" spans="2:8" customFormat="1" ht="14.4" x14ac:dyDescent="0.3">
      <c r="B149" t="s">
        <v>1458</v>
      </c>
      <c r="C149" t="s">
        <v>759</v>
      </c>
      <c r="D149" t="s">
        <v>126</v>
      </c>
      <c r="E149" s="45">
        <v>-800</v>
      </c>
      <c r="F149" t="s">
        <v>759</v>
      </c>
      <c r="G149" t="s">
        <v>580</v>
      </c>
    </row>
    <row r="150" spans="2:8" customFormat="1" ht="14.4" x14ac:dyDescent="0.3">
      <c r="B150" t="s">
        <v>1458</v>
      </c>
      <c r="C150" t="s">
        <v>759</v>
      </c>
      <c r="D150" t="s">
        <v>126</v>
      </c>
      <c r="E150" s="45">
        <v>-800</v>
      </c>
      <c r="F150" t="s">
        <v>759</v>
      </c>
      <c r="G150" t="s">
        <v>580</v>
      </c>
    </row>
    <row r="151" spans="2:8" customFormat="1" ht="14.4" x14ac:dyDescent="0.3">
      <c r="B151" t="s">
        <v>1458</v>
      </c>
      <c r="C151" t="s">
        <v>759</v>
      </c>
      <c r="D151" t="s">
        <v>126</v>
      </c>
      <c r="E151" s="45">
        <v>-800</v>
      </c>
      <c r="F151" t="s">
        <v>759</v>
      </c>
      <c r="G151" t="s">
        <v>580</v>
      </c>
    </row>
    <row r="152" spans="2:8" customFormat="1" ht="14.4" x14ac:dyDescent="0.3">
      <c r="B152" t="s">
        <v>1458</v>
      </c>
      <c r="C152" t="s">
        <v>759</v>
      </c>
      <c r="D152" t="s">
        <v>126</v>
      </c>
      <c r="E152" s="45">
        <v>-800</v>
      </c>
      <c r="F152" t="s">
        <v>759</v>
      </c>
      <c r="G152" t="s">
        <v>580</v>
      </c>
    </row>
    <row r="153" spans="2:8" customFormat="1" ht="14.4" x14ac:dyDescent="0.3">
      <c r="B153" t="s">
        <v>1458</v>
      </c>
      <c r="C153" t="s">
        <v>759</v>
      </c>
      <c r="D153" t="s">
        <v>126</v>
      </c>
      <c r="E153" s="45">
        <v>-800</v>
      </c>
      <c r="F153" t="s">
        <v>759</v>
      </c>
      <c r="G153" t="s">
        <v>580</v>
      </c>
    </row>
    <row r="154" spans="2:8" customFormat="1" ht="14.4" x14ac:dyDescent="0.3">
      <c r="B154" t="s">
        <v>1458</v>
      </c>
      <c r="C154" t="s">
        <v>759</v>
      </c>
      <c r="D154" t="s">
        <v>126</v>
      </c>
      <c r="E154" s="45">
        <v>-800</v>
      </c>
      <c r="F154" t="s">
        <v>759</v>
      </c>
      <c r="G154" t="s">
        <v>580</v>
      </c>
    </row>
    <row r="155" spans="2:8" customFormat="1" ht="14.4" x14ac:dyDescent="0.3">
      <c r="B155" t="s">
        <v>1458</v>
      </c>
      <c r="C155" t="s">
        <v>759</v>
      </c>
      <c r="D155" t="s">
        <v>126</v>
      </c>
      <c r="E155" s="45">
        <v>-800</v>
      </c>
      <c r="F155" t="s">
        <v>759</v>
      </c>
      <c r="G155" t="s">
        <v>580</v>
      </c>
    </row>
    <row r="156" spans="2:8" customFormat="1" ht="14.4" x14ac:dyDescent="0.3">
      <c r="B156" t="s">
        <v>1458</v>
      </c>
      <c r="C156" t="s">
        <v>759</v>
      </c>
      <c r="D156" t="s">
        <v>126</v>
      </c>
      <c r="E156" s="45">
        <v>-800</v>
      </c>
      <c r="F156" t="s">
        <v>759</v>
      </c>
      <c r="G156" t="s">
        <v>580</v>
      </c>
    </row>
    <row r="157" spans="2:8" customFormat="1" ht="14.4" x14ac:dyDescent="0.3">
      <c r="B157" t="s">
        <v>1458</v>
      </c>
      <c r="C157" t="s">
        <v>759</v>
      </c>
      <c r="D157" t="s">
        <v>126</v>
      </c>
      <c r="E157" s="45">
        <v>-800</v>
      </c>
      <c r="F157" t="s">
        <v>759</v>
      </c>
      <c r="G157" t="s">
        <v>580</v>
      </c>
    </row>
    <row r="158" spans="2:8" customFormat="1" ht="14.4" x14ac:dyDescent="0.3">
      <c r="B158" t="s">
        <v>1458</v>
      </c>
      <c r="C158" t="s">
        <v>759</v>
      </c>
      <c r="D158" t="s">
        <v>126</v>
      </c>
      <c r="E158" s="45">
        <v>-800</v>
      </c>
      <c r="F158" t="s">
        <v>759</v>
      </c>
      <c r="G158" t="s">
        <v>580</v>
      </c>
    </row>
    <row r="159" spans="2:8" customFormat="1" ht="14.4" x14ac:dyDescent="0.3">
      <c r="B159" t="s">
        <v>1458</v>
      </c>
      <c r="C159" t="s">
        <v>759</v>
      </c>
      <c r="D159" t="s">
        <v>126</v>
      </c>
      <c r="E159" s="45">
        <v>-800</v>
      </c>
      <c r="F159" t="s">
        <v>759</v>
      </c>
      <c r="G159" t="s">
        <v>580</v>
      </c>
    </row>
    <row r="160" spans="2:8" customFormat="1" ht="14.4" x14ac:dyDescent="0.3">
      <c r="B160" t="s">
        <v>1458</v>
      </c>
      <c r="C160" t="s">
        <v>759</v>
      </c>
      <c r="D160" t="s">
        <v>126</v>
      </c>
      <c r="E160" s="45">
        <v>-800</v>
      </c>
      <c r="F160" t="s">
        <v>759</v>
      </c>
      <c r="G160" t="s">
        <v>580</v>
      </c>
    </row>
    <row r="161" spans="2:8" customFormat="1" ht="14.4" x14ac:dyDescent="0.3">
      <c r="B161" t="s">
        <v>1458</v>
      </c>
      <c r="C161" t="s">
        <v>759</v>
      </c>
      <c r="D161" t="s">
        <v>126</v>
      </c>
      <c r="E161" s="45">
        <v>-800</v>
      </c>
      <c r="F161" t="s">
        <v>759</v>
      </c>
      <c r="G161" t="s">
        <v>580</v>
      </c>
    </row>
    <row r="162" spans="2:8" customFormat="1" ht="14.4" x14ac:dyDescent="0.3">
      <c r="B162" t="s">
        <v>1458</v>
      </c>
      <c r="C162" t="s">
        <v>759</v>
      </c>
      <c r="D162" t="s">
        <v>126</v>
      </c>
      <c r="E162" s="45">
        <v>-800</v>
      </c>
      <c r="F162" t="s">
        <v>759</v>
      </c>
      <c r="G162" t="s">
        <v>580</v>
      </c>
    </row>
    <row r="163" spans="2:8" customFormat="1" ht="14.4" x14ac:dyDescent="0.3">
      <c r="B163" t="s">
        <v>1458</v>
      </c>
      <c r="C163" t="s">
        <v>759</v>
      </c>
      <c r="D163" t="s">
        <v>126</v>
      </c>
      <c r="E163" s="45">
        <v>-800</v>
      </c>
      <c r="F163" t="s">
        <v>759</v>
      </c>
      <c r="G163" t="s">
        <v>580</v>
      </c>
    </row>
    <row r="164" spans="2:8" customFormat="1" ht="14.4" x14ac:dyDescent="0.3">
      <c r="B164" t="s">
        <v>1458</v>
      </c>
      <c r="C164" t="s">
        <v>759</v>
      </c>
      <c r="D164" t="s">
        <v>126</v>
      </c>
      <c r="E164" s="45">
        <v>-800</v>
      </c>
      <c r="F164" t="s">
        <v>759</v>
      </c>
      <c r="G164" t="s">
        <v>580</v>
      </c>
    </row>
    <row r="165" spans="2:8" customFormat="1" ht="14.4" x14ac:dyDescent="0.3">
      <c r="B165" t="s">
        <v>1458</v>
      </c>
      <c r="C165" t="s">
        <v>759</v>
      </c>
      <c r="D165" t="s">
        <v>126</v>
      </c>
      <c r="E165" s="45">
        <v>-800</v>
      </c>
      <c r="F165" t="s">
        <v>759</v>
      </c>
      <c r="G165" t="s">
        <v>580</v>
      </c>
    </row>
    <row r="166" spans="2:8" customFormat="1" ht="14.4" x14ac:dyDescent="0.3">
      <c r="B166" t="s">
        <v>1458</v>
      </c>
      <c r="C166" t="s">
        <v>759</v>
      </c>
      <c r="D166" t="s">
        <v>126</v>
      </c>
      <c r="E166" s="45">
        <v>-800</v>
      </c>
      <c r="F166" t="s">
        <v>759</v>
      </c>
      <c r="G166" t="s">
        <v>580</v>
      </c>
    </row>
    <row r="167" spans="2:8" customFormat="1" ht="14.4" x14ac:dyDescent="0.3">
      <c r="B167" t="s">
        <v>1458</v>
      </c>
      <c r="C167" t="s">
        <v>759</v>
      </c>
      <c r="D167" t="s">
        <v>126</v>
      </c>
      <c r="E167" s="45">
        <v>-800</v>
      </c>
      <c r="F167" t="s">
        <v>759</v>
      </c>
      <c r="G167" t="s">
        <v>580</v>
      </c>
    </row>
    <row r="168" spans="2:8" customFormat="1" ht="14.4" x14ac:dyDescent="0.3">
      <c r="B168" t="s">
        <v>1458</v>
      </c>
      <c r="C168" t="s">
        <v>759</v>
      </c>
      <c r="D168" t="s">
        <v>126</v>
      </c>
      <c r="E168" s="45">
        <v>-800</v>
      </c>
      <c r="F168" t="s">
        <v>759</v>
      </c>
      <c r="G168" t="s">
        <v>580</v>
      </c>
    </row>
    <row r="169" spans="2:8" customFormat="1" ht="14.4" x14ac:dyDescent="0.3">
      <c r="B169" t="s">
        <v>1458</v>
      </c>
      <c r="C169" t="s">
        <v>513</v>
      </c>
      <c r="D169" t="s">
        <v>101</v>
      </c>
      <c r="E169" s="45">
        <v>-195</v>
      </c>
      <c r="F169" t="s">
        <v>46</v>
      </c>
      <c r="G169" t="s">
        <v>586</v>
      </c>
      <c r="H169" t="s">
        <v>586</v>
      </c>
    </row>
    <row r="170" spans="2:8" customFormat="1" ht="14.4" x14ac:dyDescent="0.3">
      <c r="B170" t="s">
        <v>1458</v>
      </c>
      <c r="C170" t="s">
        <v>154</v>
      </c>
      <c r="D170" t="s">
        <v>101</v>
      </c>
      <c r="E170" s="45">
        <v>-500</v>
      </c>
      <c r="F170" t="s">
        <v>154</v>
      </c>
      <c r="G170" t="s">
        <v>580</v>
      </c>
    </row>
    <row r="171" spans="2:8" customFormat="1" ht="14.4" x14ac:dyDescent="0.3">
      <c r="B171" t="s">
        <v>1458</v>
      </c>
      <c r="C171" t="s">
        <v>508</v>
      </c>
      <c r="D171" t="s">
        <v>101</v>
      </c>
      <c r="E171" s="45">
        <v>-867</v>
      </c>
      <c r="F171" t="s">
        <v>508</v>
      </c>
      <c r="G171" t="s">
        <v>107</v>
      </c>
    </row>
    <row r="172" spans="2:8" customFormat="1" ht="14.4" x14ac:dyDescent="0.3">
      <c r="B172" t="s">
        <v>1458</v>
      </c>
      <c r="C172" t="s">
        <v>508</v>
      </c>
      <c r="D172" t="s">
        <v>101</v>
      </c>
      <c r="E172" s="45">
        <v>-114</v>
      </c>
      <c r="F172" t="s">
        <v>508</v>
      </c>
      <c r="G172" t="s">
        <v>107</v>
      </c>
    </row>
    <row r="173" spans="2:8" customFormat="1" ht="14.4" x14ac:dyDescent="0.3">
      <c r="B173" t="s">
        <v>1459</v>
      </c>
      <c r="C173" t="s">
        <v>144</v>
      </c>
      <c r="D173" t="s">
        <v>145</v>
      </c>
      <c r="E173" s="45">
        <v>28269</v>
      </c>
      <c r="F173" t="s">
        <v>1481</v>
      </c>
      <c r="G173" t="s">
        <v>107</v>
      </c>
    </row>
    <row r="174" spans="2:8" customFormat="1" ht="14.4" x14ac:dyDescent="0.3">
      <c r="B174" t="s">
        <v>1459</v>
      </c>
      <c r="C174" t="s">
        <v>759</v>
      </c>
      <c r="D174" t="s">
        <v>101</v>
      </c>
      <c r="E174" s="45">
        <v>-1824</v>
      </c>
      <c r="F174" t="s">
        <v>759</v>
      </c>
      <c r="G174" t="s">
        <v>580</v>
      </c>
    </row>
    <row r="175" spans="2:8" customFormat="1" ht="14.4" x14ac:dyDescent="0.3">
      <c r="B175" t="s">
        <v>1459</v>
      </c>
      <c r="C175" t="s">
        <v>942</v>
      </c>
      <c r="D175" t="s">
        <v>126</v>
      </c>
      <c r="E175" s="45">
        <v>-390</v>
      </c>
      <c r="F175" t="s">
        <v>39</v>
      </c>
      <c r="G175" t="s">
        <v>580</v>
      </c>
      <c r="H175" t="s">
        <v>592</v>
      </c>
    </row>
    <row r="176" spans="2:8" customFormat="1" ht="14.4" x14ac:dyDescent="0.3">
      <c r="B176" t="s">
        <v>1459</v>
      </c>
      <c r="C176" t="s">
        <v>942</v>
      </c>
      <c r="D176" t="s">
        <v>126</v>
      </c>
      <c r="E176" s="45">
        <v>-390</v>
      </c>
      <c r="F176" t="s">
        <v>39</v>
      </c>
      <c r="G176" t="s">
        <v>580</v>
      </c>
      <c r="H176" t="s">
        <v>592</v>
      </c>
    </row>
    <row r="177" spans="1:9" customFormat="1" ht="14.4" x14ac:dyDescent="0.3">
      <c r="B177" t="s">
        <v>1459</v>
      </c>
      <c r="C177" t="s">
        <v>942</v>
      </c>
      <c r="D177" t="s">
        <v>126</v>
      </c>
      <c r="E177" s="45">
        <v>-390</v>
      </c>
      <c r="F177" t="s">
        <v>39</v>
      </c>
      <c r="G177" t="s">
        <v>580</v>
      </c>
      <c r="H177" t="s">
        <v>592</v>
      </c>
    </row>
    <row r="178" spans="1:9" customFormat="1" ht="14.4" x14ac:dyDescent="0.3">
      <c r="A178" s="166"/>
      <c r="B178" s="166" t="s">
        <v>1459</v>
      </c>
      <c r="C178" s="166" t="s">
        <v>794</v>
      </c>
      <c r="D178" s="166" t="s">
        <v>126</v>
      </c>
      <c r="E178" s="167">
        <v>20000</v>
      </c>
      <c r="F178" s="166"/>
      <c r="G178" s="166"/>
      <c r="H178" s="166"/>
    </row>
    <row r="179" spans="1:9" customFormat="1" ht="14.4" x14ac:dyDescent="0.3">
      <c r="B179" t="s">
        <v>1459</v>
      </c>
      <c r="C179" t="s">
        <v>927</v>
      </c>
      <c r="D179" t="s">
        <v>126</v>
      </c>
      <c r="E179" s="45">
        <v>-525</v>
      </c>
      <c r="F179" t="s">
        <v>39</v>
      </c>
      <c r="G179" t="s">
        <v>580</v>
      </c>
      <c r="H179" t="s">
        <v>590</v>
      </c>
    </row>
    <row r="180" spans="1:9" customFormat="1" ht="14.4" x14ac:dyDescent="0.3">
      <c r="B180" t="s">
        <v>1459</v>
      </c>
      <c r="C180" t="s">
        <v>942</v>
      </c>
      <c r="D180" t="s">
        <v>126</v>
      </c>
      <c r="E180" s="45">
        <v>-250</v>
      </c>
      <c r="F180" t="s">
        <v>39</v>
      </c>
      <c r="G180" t="s">
        <v>580</v>
      </c>
      <c r="H180" t="s">
        <v>592</v>
      </c>
    </row>
    <row r="181" spans="1:9" customFormat="1" ht="14.4" x14ac:dyDescent="0.3">
      <c r="B181" t="s">
        <v>1459</v>
      </c>
      <c r="C181" t="s">
        <v>998</v>
      </c>
      <c r="D181" t="s">
        <v>126</v>
      </c>
      <c r="E181" s="45">
        <v>-390</v>
      </c>
      <c r="F181" t="s">
        <v>39</v>
      </c>
      <c r="G181" t="s">
        <v>580</v>
      </c>
      <c r="H181" t="s">
        <v>438</v>
      </c>
    </row>
    <row r="182" spans="1:9" customFormat="1" ht="14.4" x14ac:dyDescent="0.3">
      <c r="B182" t="s">
        <v>1460</v>
      </c>
      <c r="C182" t="s">
        <v>144</v>
      </c>
      <c r="D182" t="s">
        <v>145</v>
      </c>
      <c r="E182" s="45">
        <v>400</v>
      </c>
      <c r="F182" t="s">
        <v>22</v>
      </c>
      <c r="G182" t="s">
        <v>580</v>
      </c>
      <c r="H182" t="s">
        <v>1158</v>
      </c>
    </row>
    <row r="183" spans="1:9" customFormat="1" ht="14.4" x14ac:dyDescent="0.3">
      <c r="B183" t="s">
        <v>1460</v>
      </c>
      <c r="C183" t="s">
        <v>513</v>
      </c>
      <c r="D183" t="s">
        <v>101</v>
      </c>
      <c r="E183" s="45">
        <v>-419</v>
      </c>
      <c r="F183" t="s">
        <v>46</v>
      </c>
      <c r="G183" t="s">
        <v>586</v>
      </c>
      <c r="H183" t="s">
        <v>586</v>
      </c>
    </row>
    <row r="184" spans="1:9" customFormat="1" ht="14.4" x14ac:dyDescent="0.3">
      <c r="B184" t="s">
        <v>1460</v>
      </c>
      <c r="C184" t="s">
        <v>975</v>
      </c>
      <c r="D184" t="s">
        <v>101</v>
      </c>
      <c r="E184" s="45">
        <v>-5000</v>
      </c>
      <c r="F184" t="s">
        <v>46</v>
      </c>
      <c r="G184" t="s">
        <v>107</v>
      </c>
    </row>
    <row r="185" spans="1:9" customFormat="1" ht="14.4" x14ac:dyDescent="0.3">
      <c r="B185" t="s">
        <v>1460</v>
      </c>
      <c r="C185" t="s">
        <v>975</v>
      </c>
      <c r="D185" t="s">
        <v>101</v>
      </c>
      <c r="E185" s="45">
        <v>-1343</v>
      </c>
      <c r="F185" t="s">
        <v>46</v>
      </c>
      <c r="G185" t="s">
        <v>107</v>
      </c>
    </row>
    <row r="186" spans="1:9" customFormat="1" ht="27.6" x14ac:dyDescent="0.3">
      <c r="B186" t="s">
        <v>1461</v>
      </c>
      <c r="C186" t="s">
        <v>144</v>
      </c>
      <c r="D186" t="s">
        <v>145</v>
      </c>
      <c r="E186" s="45">
        <v>2298</v>
      </c>
      <c r="I186" s="221" t="s">
        <v>1487</v>
      </c>
    </row>
    <row r="187" spans="1:9" customFormat="1" ht="14.4" x14ac:dyDescent="0.3">
      <c r="B187" t="s">
        <v>1461</v>
      </c>
      <c r="C187" t="s">
        <v>998</v>
      </c>
      <c r="D187" t="s">
        <v>126</v>
      </c>
      <c r="E187" s="45">
        <v>-300</v>
      </c>
      <c r="F187" t="s">
        <v>39</v>
      </c>
      <c r="G187" t="s">
        <v>580</v>
      </c>
      <c r="H187" t="s">
        <v>438</v>
      </c>
    </row>
    <row r="188" spans="1:9" customFormat="1" ht="14.4" x14ac:dyDescent="0.3">
      <c r="B188" t="s">
        <v>1462</v>
      </c>
      <c r="C188" t="s">
        <v>1468</v>
      </c>
      <c r="D188" t="s">
        <v>101</v>
      </c>
      <c r="E188" s="45">
        <v>-9120</v>
      </c>
      <c r="F188" t="s">
        <v>508</v>
      </c>
      <c r="G188" t="s">
        <v>107</v>
      </c>
    </row>
    <row r="189" spans="1:9" customFormat="1" ht="14.4" x14ac:dyDescent="0.3">
      <c r="B189" t="s">
        <v>1463</v>
      </c>
      <c r="C189" t="s">
        <v>1439</v>
      </c>
      <c r="D189" t="s">
        <v>101</v>
      </c>
      <c r="E189" s="45">
        <v>-9768</v>
      </c>
      <c r="F189" t="s">
        <v>46</v>
      </c>
      <c r="G189" t="s">
        <v>580</v>
      </c>
      <c r="H189" t="s">
        <v>593</v>
      </c>
    </row>
    <row r="190" spans="1:9" customFormat="1" ht="14.4" x14ac:dyDescent="0.3">
      <c r="B190" t="s">
        <v>1463</v>
      </c>
      <c r="C190" t="s">
        <v>982</v>
      </c>
      <c r="D190" t="s">
        <v>101</v>
      </c>
      <c r="E190" s="45">
        <v>-7568</v>
      </c>
      <c r="F190" t="s">
        <v>46</v>
      </c>
      <c r="G190" t="s">
        <v>580</v>
      </c>
      <c r="H190" t="s">
        <v>594</v>
      </c>
    </row>
    <row r="191" spans="1:9" customFormat="1" ht="14.4" x14ac:dyDescent="0.3">
      <c r="B191" t="s">
        <v>1463</v>
      </c>
      <c r="C191" t="s">
        <v>950</v>
      </c>
      <c r="D191" t="s">
        <v>101</v>
      </c>
      <c r="E191" s="45">
        <v>-31150</v>
      </c>
      <c r="F191" t="s">
        <v>950</v>
      </c>
      <c r="G191" t="s">
        <v>107</v>
      </c>
    </row>
    <row r="192" spans="1:9" customFormat="1" ht="14.4" x14ac:dyDescent="0.3">
      <c r="B192" t="s">
        <v>1463</v>
      </c>
      <c r="C192" t="s">
        <v>40</v>
      </c>
      <c r="D192" t="s">
        <v>101</v>
      </c>
      <c r="E192" s="45">
        <v>-3950</v>
      </c>
      <c r="F192" t="s">
        <v>40</v>
      </c>
      <c r="G192" t="s">
        <v>580</v>
      </c>
    </row>
    <row r="193" spans="1:9" customFormat="1" ht="14.4" x14ac:dyDescent="0.3">
      <c r="B193" t="s">
        <v>1463</v>
      </c>
      <c r="C193" t="s">
        <v>1438</v>
      </c>
      <c r="D193" t="s">
        <v>101</v>
      </c>
      <c r="E193" s="45">
        <v>-9020</v>
      </c>
      <c r="F193" t="s">
        <v>46</v>
      </c>
      <c r="G193" t="s">
        <v>580</v>
      </c>
      <c r="H193" t="s">
        <v>1385</v>
      </c>
    </row>
    <row r="194" spans="1:9" customFormat="1" ht="14.4" x14ac:dyDescent="0.3">
      <c r="B194" t="s">
        <v>1463</v>
      </c>
      <c r="C194" t="s">
        <v>928</v>
      </c>
      <c r="D194" t="s">
        <v>126</v>
      </c>
      <c r="E194" s="45">
        <v>-390</v>
      </c>
      <c r="F194" t="s">
        <v>39</v>
      </c>
      <c r="G194" t="s">
        <v>580</v>
      </c>
      <c r="H194" t="s">
        <v>594</v>
      </c>
    </row>
    <row r="195" spans="1:9" customFormat="1" ht="14.4" x14ac:dyDescent="0.3">
      <c r="A195" s="166"/>
      <c r="B195" s="166" t="s">
        <v>1464</v>
      </c>
      <c r="C195" s="166" t="s">
        <v>1144</v>
      </c>
      <c r="D195" s="166" t="s">
        <v>126</v>
      </c>
      <c r="E195" s="167">
        <v>-1600</v>
      </c>
      <c r="F195" s="166"/>
      <c r="G195" s="166"/>
      <c r="H195" s="166"/>
    </row>
    <row r="196" spans="1:9" customFormat="1" ht="27.6" x14ac:dyDescent="0.3">
      <c r="B196" t="s">
        <v>1465</v>
      </c>
      <c r="C196" t="s">
        <v>144</v>
      </c>
      <c r="D196" t="s">
        <v>145</v>
      </c>
      <c r="E196" s="45">
        <v>16270</v>
      </c>
      <c r="I196" s="221" t="s">
        <v>1483</v>
      </c>
    </row>
    <row r="197" spans="1:9" customFormat="1" ht="14.4" x14ac:dyDescent="0.3">
      <c r="B197" t="s">
        <v>1465</v>
      </c>
      <c r="C197" t="s">
        <v>1468</v>
      </c>
      <c r="D197" t="s">
        <v>101</v>
      </c>
      <c r="E197" s="45">
        <v>-789</v>
      </c>
      <c r="F197" t="s">
        <v>508</v>
      </c>
      <c r="G197" t="s">
        <v>107</v>
      </c>
    </row>
    <row r="198" spans="1:9" customFormat="1" ht="14.4" x14ac:dyDescent="0.3">
      <c r="B198" t="s">
        <v>1465</v>
      </c>
      <c r="C198" t="s">
        <v>982</v>
      </c>
      <c r="D198" t="s">
        <v>101</v>
      </c>
      <c r="E198" s="45">
        <v>-1196</v>
      </c>
      <c r="F198" t="s">
        <v>46</v>
      </c>
      <c r="G198" t="s">
        <v>580</v>
      </c>
      <c r="H198" t="s">
        <v>594</v>
      </c>
    </row>
    <row r="199" spans="1:9" customFormat="1" ht="14.4" x14ac:dyDescent="0.3">
      <c r="B199" t="s">
        <v>1465</v>
      </c>
      <c r="C199" t="s">
        <v>1104</v>
      </c>
      <c r="D199" t="s">
        <v>101</v>
      </c>
      <c r="E199" s="45">
        <v>-1032</v>
      </c>
      <c r="F199" t="s">
        <v>46</v>
      </c>
      <c r="G199" t="s">
        <v>580</v>
      </c>
      <c r="H199" t="s">
        <v>858</v>
      </c>
    </row>
    <row r="200" spans="1:9" customFormat="1" ht="14.4" x14ac:dyDescent="0.3">
      <c r="B200" t="s">
        <v>1466</v>
      </c>
      <c r="C200" t="s">
        <v>144</v>
      </c>
      <c r="D200" t="s">
        <v>145</v>
      </c>
      <c r="E200" s="45">
        <v>9020</v>
      </c>
      <c r="F200" t="s">
        <v>46</v>
      </c>
      <c r="G200" t="s">
        <v>580</v>
      </c>
      <c r="H200" t="s">
        <v>1385</v>
      </c>
    </row>
    <row r="201" spans="1:9" customFormat="1" ht="14.4" x14ac:dyDescent="0.3">
      <c r="B201" t="s">
        <v>1466</v>
      </c>
      <c r="C201" t="s">
        <v>1467</v>
      </c>
      <c r="D201" t="s">
        <v>284</v>
      </c>
      <c r="E201" s="45">
        <v>1000</v>
      </c>
      <c r="F201" t="s">
        <v>1441</v>
      </c>
      <c r="G201" t="s">
        <v>107</v>
      </c>
    </row>
    <row r="202" spans="1:9" customFormat="1" ht="14.4" x14ac:dyDescent="0.3">
      <c r="B202" t="s">
        <v>1466</v>
      </c>
      <c r="C202" t="s">
        <v>1468</v>
      </c>
      <c r="D202" t="s">
        <v>101</v>
      </c>
      <c r="E202" s="45">
        <v>-3432</v>
      </c>
      <c r="F202" t="s">
        <v>508</v>
      </c>
      <c r="G202" t="s">
        <v>107</v>
      </c>
    </row>
    <row r="203" spans="1:9" customFormat="1" ht="14.4" x14ac:dyDescent="0.3">
      <c r="B203" t="s">
        <v>1469</v>
      </c>
      <c r="C203" t="s">
        <v>1397</v>
      </c>
      <c r="D203" t="s">
        <v>126</v>
      </c>
      <c r="E203" s="45">
        <v>-390</v>
      </c>
      <c r="F203" t="s">
        <v>39</v>
      </c>
      <c r="G203" t="s">
        <v>580</v>
      </c>
      <c r="H203" t="s">
        <v>593</v>
      </c>
    </row>
    <row r="204" spans="1:9" customFormat="1" ht="14.4" x14ac:dyDescent="0.3">
      <c r="B204" t="s">
        <v>1469</v>
      </c>
      <c r="C204" t="s">
        <v>942</v>
      </c>
      <c r="D204" t="s">
        <v>126</v>
      </c>
      <c r="E204" s="45">
        <v>-390</v>
      </c>
      <c r="F204" t="s">
        <v>39</v>
      </c>
      <c r="G204" t="s">
        <v>580</v>
      </c>
      <c r="H204" t="s">
        <v>592</v>
      </c>
    </row>
    <row r="205" spans="1:9" customFormat="1" ht="14.4" x14ac:dyDescent="0.3">
      <c r="B205" t="s">
        <v>1470</v>
      </c>
      <c r="C205" t="s">
        <v>144</v>
      </c>
      <c r="D205" t="s">
        <v>145</v>
      </c>
      <c r="E205" s="45">
        <v>22500</v>
      </c>
      <c r="F205" t="s">
        <v>489</v>
      </c>
      <c r="G205" t="s">
        <v>107</v>
      </c>
      <c r="I205" s="220" t="s">
        <v>1590</v>
      </c>
    </row>
    <row r="206" spans="1:9" customFormat="1" ht="14.4" x14ac:dyDescent="0.3">
      <c r="B206" t="s">
        <v>1470</v>
      </c>
      <c r="C206" t="s">
        <v>1162</v>
      </c>
      <c r="D206" t="s">
        <v>126</v>
      </c>
      <c r="E206" s="45">
        <v>-1000</v>
      </c>
      <c r="F206" t="s">
        <v>36</v>
      </c>
      <c r="G206" t="s">
        <v>580</v>
      </c>
      <c r="H206" t="s">
        <v>438</v>
      </c>
    </row>
    <row r="207" spans="1:9" customFormat="1" ht="14.4" x14ac:dyDescent="0.3">
      <c r="B207" t="s">
        <v>1470</v>
      </c>
      <c r="C207" t="s">
        <v>35</v>
      </c>
      <c r="D207" t="s">
        <v>101</v>
      </c>
      <c r="E207" s="45">
        <v>-4000</v>
      </c>
      <c r="F207" t="s">
        <v>35</v>
      </c>
      <c r="G207" t="s">
        <v>580</v>
      </c>
    </row>
    <row r="208" spans="1:9" customFormat="1" ht="27.6" x14ac:dyDescent="0.3">
      <c r="B208" t="s">
        <v>1471</v>
      </c>
      <c r="C208" t="s">
        <v>144</v>
      </c>
      <c r="D208" t="s">
        <v>145</v>
      </c>
      <c r="E208" s="45">
        <v>1850</v>
      </c>
      <c r="I208" s="221" t="s">
        <v>1484</v>
      </c>
    </row>
    <row r="209" spans="1:9" customFormat="1" ht="14.4" x14ac:dyDescent="0.3">
      <c r="B209" t="s">
        <v>1471</v>
      </c>
      <c r="C209" t="s">
        <v>1436</v>
      </c>
      <c r="D209" t="s">
        <v>1185</v>
      </c>
      <c r="E209" s="45">
        <v>10000</v>
      </c>
      <c r="F209" t="s">
        <v>1441</v>
      </c>
      <c r="G209" t="s">
        <v>107</v>
      </c>
    </row>
    <row r="210" spans="1:9" customFormat="1" ht="14.4" x14ac:dyDescent="0.3">
      <c r="B210" t="s">
        <v>1471</v>
      </c>
      <c r="C210" t="s">
        <v>976</v>
      </c>
      <c r="D210" t="s">
        <v>101</v>
      </c>
      <c r="E210" s="45">
        <v>-351</v>
      </c>
      <c r="F210" t="s">
        <v>46</v>
      </c>
      <c r="G210" t="s">
        <v>580</v>
      </c>
      <c r="H210" t="s">
        <v>1003</v>
      </c>
    </row>
    <row r="211" spans="1:9" customFormat="1" ht="14.4" x14ac:dyDescent="0.3">
      <c r="B211" t="s">
        <v>1471</v>
      </c>
      <c r="C211" t="s">
        <v>1468</v>
      </c>
      <c r="D211" t="s">
        <v>101</v>
      </c>
      <c r="E211" s="45">
        <v>-2130</v>
      </c>
      <c r="F211" t="s">
        <v>508</v>
      </c>
      <c r="G211" t="s">
        <v>107</v>
      </c>
    </row>
    <row r="212" spans="1:9" customFormat="1" ht="14.4" x14ac:dyDescent="0.3">
      <c r="B212" t="s">
        <v>1471</v>
      </c>
      <c r="C212" t="s">
        <v>1437</v>
      </c>
      <c r="D212" t="s">
        <v>101</v>
      </c>
      <c r="E212" s="45">
        <v>-3576</v>
      </c>
      <c r="F212" t="s">
        <v>45</v>
      </c>
      <c r="G212" t="s">
        <v>107</v>
      </c>
    </row>
    <row r="213" spans="1:9" customFormat="1" ht="14.4" x14ac:dyDescent="0.3">
      <c r="B213" t="s">
        <v>1472</v>
      </c>
      <c r="C213" t="s">
        <v>838</v>
      </c>
      <c r="D213" t="s">
        <v>101</v>
      </c>
      <c r="E213" s="45">
        <v>-2988</v>
      </c>
      <c r="F213" t="s">
        <v>46</v>
      </c>
      <c r="G213" t="s">
        <v>586</v>
      </c>
      <c r="H213" t="s">
        <v>586</v>
      </c>
    </row>
    <row r="214" spans="1:9" customFormat="1" ht="14.4" x14ac:dyDescent="0.3">
      <c r="B214" t="s">
        <v>1472</v>
      </c>
      <c r="C214" t="s">
        <v>951</v>
      </c>
      <c r="D214" t="s">
        <v>101</v>
      </c>
      <c r="E214" s="45">
        <v>-1057</v>
      </c>
      <c r="F214" t="s">
        <v>46</v>
      </c>
      <c r="G214" t="s">
        <v>580</v>
      </c>
      <c r="H214" t="s">
        <v>592</v>
      </c>
    </row>
    <row r="215" spans="1:9" customFormat="1" ht="14.4" x14ac:dyDescent="0.3">
      <c r="B215" t="s">
        <v>1473</v>
      </c>
      <c r="C215" t="s">
        <v>1468</v>
      </c>
      <c r="D215" t="s">
        <v>101</v>
      </c>
      <c r="E215" s="45">
        <v>-1767</v>
      </c>
      <c r="F215" t="s">
        <v>508</v>
      </c>
      <c r="G215" t="s">
        <v>107</v>
      </c>
    </row>
    <row r="216" spans="1:9" customFormat="1" ht="14.4" x14ac:dyDescent="0.3">
      <c r="B216" t="s">
        <v>1474</v>
      </c>
      <c r="C216" t="s">
        <v>998</v>
      </c>
      <c r="D216" t="s">
        <v>126</v>
      </c>
      <c r="E216" s="45">
        <v>-570</v>
      </c>
      <c r="F216" t="s">
        <v>39</v>
      </c>
      <c r="G216" t="s">
        <v>580</v>
      </c>
      <c r="H216" t="s">
        <v>438</v>
      </c>
    </row>
    <row r="217" spans="1:9" customFormat="1" ht="14.4" x14ac:dyDescent="0.3">
      <c r="B217" t="s">
        <v>1474</v>
      </c>
      <c r="C217" t="s">
        <v>942</v>
      </c>
      <c r="D217" t="s">
        <v>126</v>
      </c>
      <c r="E217" s="45">
        <v>-525</v>
      </c>
      <c r="F217" t="s">
        <v>39</v>
      </c>
      <c r="G217" t="s">
        <v>580</v>
      </c>
      <c r="H217" t="s">
        <v>592</v>
      </c>
    </row>
    <row r="218" spans="1:9" customFormat="1" ht="14.4" x14ac:dyDescent="0.3">
      <c r="B218" t="s">
        <v>1474</v>
      </c>
      <c r="C218" t="s">
        <v>928</v>
      </c>
      <c r="D218" t="s">
        <v>126</v>
      </c>
      <c r="E218" s="45">
        <v>-540</v>
      </c>
      <c r="F218" t="s">
        <v>39</v>
      </c>
      <c r="G218" t="s">
        <v>580</v>
      </c>
      <c r="H218" t="s">
        <v>594</v>
      </c>
    </row>
    <row r="219" spans="1:9" customFormat="1" ht="14.4" x14ac:dyDescent="0.3">
      <c r="B219" t="s">
        <v>1474</v>
      </c>
      <c r="C219" t="s">
        <v>928</v>
      </c>
      <c r="D219" t="s">
        <v>126</v>
      </c>
      <c r="E219" s="45">
        <v>-680</v>
      </c>
      <c r="F219" t="s">
        <v>39</v>
      </c>
      <c r="G219" t="s">
        <v>580</v>
      </c>
      <c r="H219" t="s">
        <v>594</v>
      </c>
    </row>
    <row r="220" spans="1:9" customFormat="1" ht="14.4" x14ac:dyDescent="0.3">
      <c r="A220" s="166"/>
      <c r="B220" s="166" t="s">
        <v>1474</v>
      </c>
      <c r="C220" s="166" t="s">
        <v>1144</v>
      </c>
      <c r="D220" s="166" t="s">
        <v>126</v>
      </c>
      <c r="E220" s="167">
        <v>-1800</v>
      </c>
      <c r="F220" s="166"/>
      <c r="G220" s="166"/>
      <c r="H220" s="166"/>
    </row>
    <row r="221" spans="1:9" customFormat="1" ht="14.4" x14ac:dyDescent="0.3">
      <c r="B221" t="s">
        <v>1474</v>
      </c>
      <c r="C221" t="s">
        <v>508</v>
      </c>
      <c r="D221" t="s">
        <v>126</v>
      </c>
      <c r="E221" s="45">
        <v>-874</v>
      </c>
      <c r="F221" t="s">
        <v>508</v>
      </c>
      <c r="G221" t="s">
        <v>107</v>
      </c>
    </row>
    <row r="222" spans="1:9" customFormat="1" ht="14.4" x14ac:dyDescent="0.3">
      <c r="B222" t="s">
        <v>1474</v>
      </c>
      <c r="C222" t="s">
        <v>942</v>
      </c>
      <c r="D222" t="s">
        <v>126</v>
      </c>
      <c r="E222" s="45">
        <v>-675</v>
      </c>
      <c r="F222" t="s">
        <v>39</v>
      </c>
      <c r="G222" t="s">
        <v>580</v>
      </c>
      <c r="H222" t="s">
        <v>592</v>
      </c>
    </row>
    <row r="223" spans="1:9" customFormat="1" ht="14.4" x14ac:dyDescent="0.3">
      <c r="B223" t="s">
        <v>1475</v>
      </c>
      <c r="C223" t="s">
        <v>144</v>
      </c>
      <c r="D223" t="s">
        <v>145</v>
      </c>
      <c r="E223" s="45">
        <v>5080</v>
      </c>
      <c r="F223" t="s">
        <v>24</v>
      </c>
      <c r="G223" t="s">
        <v>107</v>
      </c>
      <c r="I223" t="s">
        <v>1386</v>
      </c>
    </row>
    <row r="224" spans="1:9" customFormat="1" ht="14.4" x14ac:dyDescent="0.3">
      <c r="B224" t="s">
        <v>1476</v>
      </c>
      <c r="C224" t="s">
        <v>144</v>
      </c>
      <c r="D224" t="s">
        <v>145</v>
      </c>
      <c r="E224" s="45">
        <v>1600</v>
      </c>
      <c r="F224" t="s">
        <v>22</v>
      </c>
      <c r="G224" t="s">
        <v>580</v>
      </c>
      <c r="I224" t="s">
        <v>1485</v>
      </c>
    </row>
    <row r="225" spans="1:9" customFormat="1" ht="14.4" x14ac:dyDescent="0.3">
      <c r="B225" t="s">
        <v>1476</v>
      </c>
      <c r="C225" t="s">
        <v>1416</v>
      </c>
      <c r="D225" t="s">
        <v>101</v>
      </c>
      <c r="E225" s="45">
        <v>-1692</v>
      </c>
      <c r="F225" t="s">
        <v>46</v>
      </c>
      <c r="G225" t="s">
        <v>580</v>
      </c>
      <c r="H225" t="s">
        <v>582</v>
      </c>
    </row>
    <row r="226" spans="1:9" customFormat="1" ht="14.4" x14ac:dyDescent="0.3">
      <c r="B226" t="s">
        <v>1476</v>
      </c>
      <c r="C226" t="s">
        <v>1477</v>
      </c>
      <c r="D226" t="s">
        <v>101</v>
      </c>
      <c r="E226" s="45">
        <v>-1241</v>
      </c>
      <c r="F226" t="s">
        <v>46</v>
      </c>
      <c r="G226" t="s">
        <v>580</v>
      </c>
      <c r="H226" t="s">
        <v>1158</v>
      </c>
    </row>
    <row r="227" spans="1:9" customFormat="1" ht="14.4" x14ac:dyDescent="0.3">
      <c r="B227" t="s">
        <v>1476</v>
      </c>
      <c r="C227" t="s">
        <v>986</v>
      </c>
      <c r="D227" t="s">
        <v>101</v>
      </c>
      <c r="E227" s="45">
        <v>-68</v>
      </c>
      <c r="F227" t="s">
        <v>46</v>
      </c>
      <c r="G227" t="s">
        <v>580</v>
      </c>
      <c r="H227" t="s">
        <v>590</v>
      </c>
    </row>
    <row r="228" spans="1:9" customFormat="1" ht="14.4" x14ac:dyDescent="0.3">
      <c r="B228" t="s">
        <v>1476</v>
      </c>
      <c r="C228" t="s">
        <v>1416</v>
      </c>
      <c r="D228" t="s">
        <v>101</v>
      </c>
      <c r="E228" s="45">
        <v>-251</v>
      </c>
      <c r="F228" t="s">
        <v>46</v>
      </c>
      <c r="G228" t="s">
        <v>580</v>
      </c>
      <c r="H228" t="s">
        <v>582</v>
      </c>
    </row>
    <row r="229" spans="1:9" customFormat="1" ht="14.4" x14ac:dyDescent="0.3">
      <c r="B229" t="s">
        <v>1476</v>
      </c>
      <c r="C229" t="s">
        <v>1416</v>
      </c>
      <c r="D229" t="s">
        <v>101</v>
      </c>
      <c r="E229" s="45">
        <v>-2876</v>
      </c>
      <c r="F229" t="s">
        <v>46</v>
      </c>
      <c r="G229" t="s">
        <v>580</v>
      </c>
      <c r="H229" t="s">
        <v>582</v>
      </c>
    </row>
    <row r="230" spans="1:9" customFormat="1" ht="27.6" x14ac:dyDescent="0.3">
      <c r="B230" t="s">
        <v>1478</v>
      </c>
      <c r="C230" t="s">
        <v>144</v>
      </c>
      <c r="D230" t="s">
        <v>145</v>
      </c>
      <c r="E230" s="45">
        <v>3785</v>
      </c>
      <c r="I230" s="221" t="s">
        <v>1486</v>
      </c>
    </row>
    <row r="231" spans="1:9" customFormat="1" ht="14.4" x14ac:dyDescent="0.3">
      <c r="B231" t="s">
        <v>1479</v>
      </c>
      <c r="C231" t="s">
        <v>984</v>
      </c>
      <c r="D231" t="s">
        <v>126</v>
      </c>
      <c r="E231" s="45">
        <v>-928</v>
      </c>
      <c r="F231" t="s">
        <v>39</v>
      </c>
      <c r="G231" t="s">
        <v>1002</v>
      </c>
      <c r="H231" t="s">
        <v>1002</v>
      </c>
    </row>
    <row r="232" spans="1:9" customFormat="1" ht="14.4" x14ac:dyDescent="0.3">
      <c r="B232" t="s">
        <v>1480</v>
      </c>
      <c r="C232" t="s">
        <v>144</v>
      </c>
      <c r="D232" t="s">
        <v>145</v>
      </c>
      <c r="E232" s="45">
        <v>6600</v>
      </c>
      <c r="F232" t="s">
        <v>22</v>
      </c>
      <c r="G232" t="s">
        <v>580</v>
      </c>
      <c r="H232" t="s">
        <v>1428</v>
      </c>
    </row>
    <row r="233" spans="1:9" customFormat="1" ht="14.4" x14ac:dyDescent="0.3">
      <c r="B233" t="s">
        <v>1480</v>
      </c>
      <c r="C233" t="s">
        <v>508</v>
      </c>
      <c r="D233" t="s">
        <v>101</v>
      </c>
      <c r="E233" s="45">
        <v>-1907</v>
      </c>
      <c r="F233" t="s">
        <v>508</v>
      </c>
      <c r="G233" t="s">
        <v>107</v>
      </c>
    </row>
    <row r="234" spans="1:9" customFormat="1" ht="14.4" x14ac:dyDescent="0.3">
      <c r="B234" t="s">
        <v>1480</v>
      </c>
      <c r="C234" t="s">
        <v>1397</v>
      </c>
      <c r="D234" t="s">
        <v>126</v>
      </c>
      <c r="E234" s="45">
        <v>-310</v>
      </c>
      <c r="F234" t="s">
        <v>39</v>
      </c>
      <c r="G234" t="s">
        <v>580</v>
      </c>
      <c r="H234" t="s">
        <v>593</v>
      </c>
    </row>
    <row r="235" spans="1:9" customFormat="1" ht="14.4" x14ac:dyDescent="0.3">
      <c r="B235" t="s">
        <v>1480</v>
      </c>
      <c r="C235" t="s">
        <v>942</v>
      </c>
      <c r="D235" t="s">
        <v>126</v>
      </c>
      <c r="E235" s="45">
        <v>-390</v>
      </c>
      <c r="F235" t="s">
        <v>39</v>
      </c>
      <c r="G235" t="s">
        <v>580</v>
      </c>
      <c r="H235" t="s">
        <v>592</v>
      </c>
    </row>
    <row r="236" spans="1:9" customFormat="1" ht="14.4" x14ac:dyDescent="0.3">
      <c r="A236" s="218"/>
      <c r="B236" s="218" t="s">
        <v>1434</v>
      </c>
      <c r="C236" s="218" t="s">
        <v>144</v>
      </c>
      <c r="D236" s="218" t="s">
        <v>145</v>
      </c>
      <c r="E236" s="219">
        <v>7586</v>
      </c>
      <c r="F236" s="218" t="s">
        <v>46</v>
      </c>
      <c r="G236" s="218" t="s">
        <v>580</v>
      </c>
      <c r="H236" s="218" t="s">
        <v>594</v>
      </c>
      <c r="I236" s="218" t="s">
        <v>1442</v>
      </c>
    </row>
    <row r="237" spans="1:9" customFormat="1" ht="14.4" x14ac:dyDescent="0.3">
      <c r="B237" t="s">
        <v>1435</v>
      </c>
      <c r="C237" t="s">
        <v>144</v>
      </c>
      <c r="D237" t="s">
        <v>145</v>
      </c>
      <c r="E237" s="45">
        <v>5080</v>
      </c>
      <c r="F237" t="s">
        <v>24</v>
      </c>
      <c r="G237" t="s">
        <v>107</v>
      </c>
      <c r="I237" t="s">
        <v>1443</v>
      </c>
    </row>
    <row r="238" spans="1:9" customFormat="1" ht="14.4" x14ac:dyDescent="0.3">
      <c r="B238" t="s">
        <v>1435</v>
      </c>
      <c r="C238" t="s">
        <v>934</v>
      </c>
      <c r="D238" t="s">
        <v>126</v>
      </c>
      <c r="E238" s="45">
        <v>-1400</v>
      </c>
      <c r="F238" t="s">
        <v>36</v>
      </c>
      <c r="G238" t="s">
        <v>580</v>
      </c>
      <c r="H238" t="s">
        <v>582</v>
      </c>
    </row>
    <row r="239" spans="1:9" customFormat="1" ht="14.4" x14ac:dyDescent="0.3">
      <c r="B239" t="s">
        <v>1435</v>
      </c>
      <c r="C239" t="s">
        <v>1436</v>
      </c>
      <c r="D239" t="s">
        <v>1185</v>
      </c>
      <c r="E239" s="45">
        <v>10000</v>
      </c>
      <c r="F239" t="s">
        <v>1441</v>
      </c>
      <c r="G239" t="s">
        <v>107</v>
      </c>
    </row>
    <row r="240" spans="1:9" customFormat="1" ht="14.4" x14ac:dyDescent="0.3">
      <c r="B240" t="s">
        <v>1435</v>
      </c>
      <c r="C240" t="s">
        <v>986</v>
      </c>
      <c r="D240" t="s">
        <v>101</v>
      </c>
      <c r="E240" s="45">
        <v>-354</v>
      </c>
      <c r="F240" t="s">
        <v>46</v>
      </c>
      <c r="G240" t="s">
        <v>580</v>
      </c>
      <c r="H240" t="s">
        <v>590</v>
      </c>
    </row>
    <row r="241" spans="1:8" customFormat="1" ht="14.4" x14ac:dyDescent="0.3">
      <c r="B241" t="s">
        <v>1435</v>
      </c>
      <c r="C241" t="s">
        <v>1437</v>
      </c>
      <c r="D241" t="s">
        <v>101</v>
      </c>
      <c r="E241" s="45">
        <v>-29220</v>
      </c>
      <c r="F241" t="s">
        <v>45</v>
      </c>
    </row>
    <row r="242" spans="1:8" customFormat="1" ht="14.4" x14ac:dyDescent="0.3">
      <c r="B242" t="s">
        <v>1435</v>
      </c>
      <c r="C242" t="s">
        <v>508</v>
      </c>
      <c r="D242" t="s">
        <v>101</v>
      </c>
      <c r="E242" s="45">
        <v>-5729</v>
      </c>
      <c r="F242" t="s">
        <v>508</v>
      </c>
      <c r="G242" t="s">
        <v>107</v>
      </c>
      <c r="H242" t="s">
        <v>1568</v>
      </c>
    </row>
    <row r="243" spans="1:8" customFormat="1" ht="14.4" x14ac:dyDescent="0.3">
      <c r="B243" t="s">
        <v>1435</v>
      </c>
      <c r="C243" t="s">
        <v>1438</v>
      </c>
      <c r="D243" t="s">
        <v>101</v>
      </c>
      <c r="E243" s="45">
        <v>-611</v>
      </c>
      <c r="F243" t="s">
        <v>46</v>
      </c>
      <c r="G243" t="s">
        <v>580</v>
      </c>
      <c r="H243" t="s">
        <v>1385</v>
      </c>
    </row>
    <row r="244" spans="1:8" customFormat="1" ht="14.4" x14ac:dyDescent="0.3">
      <c r="B244" t="s">
        <v>1435</v>
      </c>
      <c r="C244" t="s">
        <v>504</v>
      </c>
      <c r="D244" t="s">
        <v>101</v>
      </c>
      <c r="E244" s="45">
        <v>-399</v>
      </c>
      <c r="F244" t="s">
        <v>46</v>
      </c>
      <c r="G244" t="s">
        <v>580</v>
      </c>
      <c r="H244" t="s">
        <v>342</v>
      </c>
    </row>
    <row r="245" spans="1:8" customFormat="1" ht="14.4" x14ac:dyDescent="0.3">
      <c r="B245" t="s">
        <v>1435</v>
      </c>
      <c r="C245" t="s">
        <v>1439</v>
      </c>
      <c r="D245" t="s">
        <v>101</v>
      </c>
      <c r="E245" s="45">
        <v>-491</v>
      </c>
      <c r="F245" t="s">
        <v>46</v>
      </c>
      <c r="G245" t="s">
        <v>580</v>
      </c>
      <c r="H245" t="s">
        <v>593</v>
      </c>
    </row>
    <row r="246" spans="1:8" customFormat="1" ht="14.4" x14ac:dyDescent="0.3">
      <c r="A246" s="215"/>
      <c r="B246" s="215" t="s">
        <v>1393</v>
      </c>
      <c r="C246" s="215" t="s">
        <v>1440</v>
      </c>
      <c r="D246" s="215" t="s">
        <v>284</v>
      </c>
      <c r="E246" s="216">
        <v>2557</v>
      </c>
      <c r="F246" s="215" t="s">
        <v>508</v>
      </c>
      <c r="G246" s="215" t="s">
        <v>107</v>
      </c>
      <c r="H246" s="215"/>
    </row>
    <row r="247" spans="1:8" customFormat="1" ht="14.4" x14ac:dyDescent="0.3">
      <c r="B247" t="s">
        <v>1393</v>
      </c>
      <c r="C247" t="s">
        <v>951</v>
      </c>
      <c r="D247" t="s">
        <v>101</v>
      </c>
      <c r="E247" s="45">
        <v>-377</v>
      </c>
      <c r="F247" t="s">
        <v>46</v>
      </c>
      <c r="G247" t="s">
        <v>580</v>
      </c>
      <c r="H247" t="s">
        <v>592</v>
      </c>
    </row>
    <row r="248" spans="1:8" customFormat="1" ht="14.4" x14ac:dyDescent="0.3">
      <c r="B248" t="s">
        <v>1393</v>
      </c>
      <c r="C248" t="s">
        <v>1394</v>
      </c>
      <c r="D248" t="s">
        <v>101</v>
      </c>
      <c r="E248" s="45">
        <v>-23111</v>
      </c>
      <c r="F248" t="s">
        <v>950</v>
      </c>
    </row>
    <row r="249" spans="1:8" customFormat="1" ht="14.4" x14ac:dyDescent="0.3">
      <c r="B249" t="s">
        <v>1395</v>
      </c>
      <c r="C249" t="s">
        <v>504</v>
      </c>
      <c r="D249" t="s">
        <v>101</v>
      </c>
      <c r="E249" s="45">
        <v>-145</v>
      </c>
      <c r="F249" t="s">
        <v>46</v>
      </c>
      <c r="G249" t="s">
        <v>580</v>
      </c>
      <c r="H249" t="s">
        <v>342</v>
      </c>
    </row>
    <row r="250" spans="1:8" customFormat="1" ht="14.4" x14ac:dyDescent="0.3">
      <c r="B250" t="s">
        <v>1396</v>
      </c>
      <c r="C250" t="s">
        <v>144</v>
      </c>
      <c r="D250" t="s">
        <v>145</v>
      </c>
      <c r="E250" s="45">
        <v>7500</v>
      </c>
      <c r="F250" t="s">
        <v>22</v>
      </c>
      <c r="G250" t="s">
        <v>580</v>
      </c>
      <c r="H250" t="s">
        <v>858</v>
      </c>
    </row>
    <row r="251" spans="1:8" customFormat="1" ht="14.4" x14ac:dyDescent="0.3">
      <c r="B251" t="s">
        <v>1396</v>
      </c>
      <c r="C251" t="s">
        <v>1397</v>
      </c>
      <c r="D251" t="s">
        <v>126</v>
      </c>
      <c r="E251" s="45">
        <v>-420</v>
      </c>
      <c r="F251" t="s">
        <v>39</v>
      </c>
      <c r="G251" t="s">
        <v>580</v>
      </c>
      <c r="H251" t="s">
        <v>593</v>
      </c>
    </row>
    <row r="252" spans="1:8" customFormat="1" ht="14.4" x14ac:dyDescent="0.3">
      <c r="B252" t="s">
        <v>1398</v>
      </c>
      <c r="C252" t="s">
        <v>1128</v>
      </c>
      <c r="D252" t="s">
        <v>101</v>
      </c>
      <c r="E252" s="45">
        <v>-11458</v>
      </c>
      <c r="F252" t="s">
        <v>46</v>
      </c>
      <c r="G252" t="s">
        <v>580</v>
      </c>
      <c r="H252" t="s">
        <v>438</v>
      </c>
    </row>
    <row r="253" spans="1:8" customFormat="1" ht="14.4" x14ac:dyDescent="0.3">
      <c r="B253" t="s">
        <v>1398</v>
      </c>
      <c r="C253" t="s">
        <v>1128</v>
      </c>
      <c r="D253" t="s">
        <v>101</v>
      </c>
      <c r="E253" s="45">
        <v>-3438</v>
      </c>
      <c r="F253" t="s">
        <v>46</v>
      </c>
      <c r="G253" t="s">
        <v>580</v>
      </c>
      <c r="H253" t="s">
        <v>438</v>
      </c>
    </row>
    <row r="254" spans="1:8" customFormat="1" ht="14.4" x14ac:dyDescent="0.3">
      <c r="B254" t="s">
        <v>1398</v>
      </c>
      <c r="C254" t="s">
        <v>934</v>
      </c>
      <c r="D254" t="s">
        <v>101</v>
      </c>
      <c r="E254" s="45">
        <v>-1200</v>
      </c>
      <c r="F254" t="s">
        <v>36</v>
      </c>
      <c r="G254" t="s">
        <v>580</v>
      </c>
      <c r="H254" t="s">
        <v>582</v>
      </c>
    </row>
    <row r="255" spans="1:8" customFormat="1" ht="14.4" x14ac:dyDescent="0.3">
      <c r="B255" t="s">
        <v>1398</v>
      </c>
      <c r="C255" t="s">
        <v>975</v>
      </c>
      <c r="D255" t="s">
        <v>101</v>
      </c>
      <c r="E255" s="45">
        <v>-5139</v>
      </c>
      <c r="F255" t="s">
        <v>46</v>
      </c>
      <c r="G255" t="s">
        <v>107</v>
      </c>
    </row>
    <row r="256" spans="1:8" customFormat="1" ht="14.4" x14ac:dyDescent="0.3">
      <c r="A256" s="166"/>
      <c r="B256" s="166" t="s">
        <v>1399</v>
      </c>
      <c r="C256" s="166" t="s">
        <v>144</v>
      </c>
      <c r="D256" s="166" t="s">
        <v>145</v>
      </c>
      <c r="E256" s="167">
        <v>1600</v>
      </c>
      <c r="F256" s="166"/>
      <c r="G256" s="166"/>
      <c r="H256" s="166"/>
    </row>
    <row r="257" spans="1:9" customFormat="1" ht="14.4" x14ac:dyDescent="0.3">
      <c r="A257" s="166"/>
      <c r="B257" s="166" t="s">
        <v>1399</v>
      </c>
      <c r="C257" s="166" t="s">
        <v>1144</v>
      </c>
      <c r="D257" s="166" t="s">
        <v>126</v>
      </c>
      <c r="E257" s="167">
        <v>-1600</v>
      </c>
      <c r="F257" s="166"/>
      <c r="G257" s="166"/>
      <c r="H257" s="166"/>
    </row>
    <row r="258" spans="1:9" customFormat="1" ht="14.4" x14ac:dyDescent="0.3">
      <c r="B258" t="s">
        <v>1399</v>
      </c>
      <c r="C258" t="s">
        <v>942</v>
      </c>
      <c r="D258" t="s">
        <v>126</v>
      </c>
      <c r="E258" s="45">
        <v>-390</v>
      </c>
      <c r="F258" t="s">
        <v>39</v>
      </c>
      <c r="G258" t="s">
        <v>580</v>
      </c>
      <c r="H258" t="s">
        <v>592</v>
      </c>
    </row>
    <row r="259" spans="1:9" customFormat="1" ht="14.4" x14ac:dyDescent="0.3">
      <c r="B259" t="s">
        <v>1399</v>
      </c>
      <c r="C259" t="s">
        <v>1400</v>
      </c>
      <c r="D259" t="s">
        <v>101</v>
      </c>
      <c r="E259" s="45">
        <v>-1500</v>
      </c>
      <c r="F259" t="s">
        <v>36</v>
      </c>
      <c r="G259" t="s">
        <v>580</v>
      </c>
      <c r="H259" t="s">
        <v>1428</v>
      </c>
    </row>
    <row r="260" spans="1:9" customFormat="1" ht="14.4" x14ac:dyDescent="0.3">
      <c r="B260" t="s">
        <v>1401</v>
      </c>
      <c r="C260" t="s">
        <v>144</v>
      </c>
      <c r="D260" t="s">
        <v>145</v>
      </c>
      <c r="E260" s="45">
        <v>140</v>
      </c>
      <c r="F260" t="s">
        <v>493</v>
      </c>
    </row>
    <row r="261" spans="1:9" customFormat="1" ht="14.4" x14ac:dyDescent="0.3">
      <c r="B261" t="s">
        <v>1401</v>
      </c>
      <c r="C261" t="s">
        <v>838</v>
      </c>
      <c r="D261" t="s">
        <v>101</v>
      </c>
      <c r="E261" s="45">
        <v>-734</v>
      </c>
      <c r="F261" t="s">
        <v>46</v>
      </c>
      <c r="G261" t="s">
        <v>586</v>
      </c>
      <c r="H261" t="s">
        <v>586</v>
      </c>
    </row>
    <row r="262" spans="1:9" customFormat="1" ht="14.4" x14ac:dyDescent="0.3">
      <c r="B262" t="s">
        <v>1401</v>
      </c>
      <c r="C262" t="s">
        <v>504</v>
      </c>
      <c r="D262" t="s">
        <v>101</v>
      </c>
      <c r="E262" s="45">
        <v>-718</v>
      </c>
      <c r="F262" t="s">
        <v>46</v>
      </c>
      <c r="G262" t="s">
        <v>580</v>
      </c>
      <c r="H262" t="s">
        <v>342</v>
      </c>
    </row>
    <row r="263" spans="1:9" customFormat="1" ht="14.4" x14ac:dyDescent="0.3">
      <c r="B263" t="s">
        <v>1401</v>
      </c>
      <c r="C263" t="s">
        <v>504</v>
      </c>
      <c r="D263" t="s">
        <v>101</v>
      </c>
      <c r="E263" s="45">
        <v>-314</v>
      </c>
      <c r="F263" t="s">
        <v>46</v>
      </c>
      <c r="G263" t="s">
        <v>580</v>
      </c>
      <c r="H263" t="s">
        <v>342</v>
      </c>
    </row>
    <row r="264" spans="1:9" customFormat="1" ht="14.4" x14ac:dyDescent="0.3">
      <c r="B264" t="s">
        <v>1401</v>
      </c>
      <c r="C264" t="s">
        <v>1128</v>
      </c>
      <c r="D264" t="s">
        <v>101</v>
      </c>
      <c r="E264" s="45">
        <v>-61</v>
      </c>
      <c r="F264" t="s">
        <v>46</v>
      </c>
      <c r="G264" t="s">
        <v>580</v>
      </c>
      <c r="H264" t="s">
        <v>438</v>
      </c>
    </row>
    <row r="265" spans="1:9" customFormat="1" ht="14.4" x14ac:dyDescent="0.3">
      <c r="B265" t="s">
        <v>1401</v>
      </c>
      <c r="C265" t="s">
        <v>1176</v>
      </c>
      <c r="D265" t="s">
        <v>101</v>
      </c>
      <c r="E265" s="45">
        <v>-9443</v>
      </c>
      <c r="F265" t="s">
        <v>46</v>
      </c>
      <c r="G265" t="s">
        <v>1002</v>
      </c>
      <c r="H265" t="s">
        <v>1002</v>
      </c>
    </row>
    <row r="266" spans="1:9" customFormat="1" ht="14.4" x14ac:dyDescent="0.3">
      <c r="B266" t="s">
        <v>1402</v>
      </c>
      <c r="C266" t="s">
        <v>508</v>
      </c>
      <c r="D266" t="s">
        <v>101</v>
      </c>
      <c r="E266" s="45">
        <v>-5440</v>
      </c>
      <c r="F266" t="s">
        <v>508</v>
      </c>
      <c r="G266" t="s">
        <v>107</v>
      </c>
      <c r="H266" t="s">
        <v>1568</v>
      </c>
    </row>
    <row r="267" spans="1:9" customFormat="1" ht="14.4" x14ac:dyDescent="0.3">
      <c r="B267" t="s">
        <v>1403</v>
      </c>
      <c r="C267" t="s">
        <v>1404</v>
      </c>
      <c r="D267" t="s">
        <v>101</v>
      </c>
      <c r="E267" s="45">
        <v>-3208</v>
      </c>
      <c r="F267" t="s">
        <v>508</v>
      </c>
      <c r="G267" t="s">
        <v>107</v>
      </c>
    </row>
    <row r="268" spans="1:9" customFormat="1" ht="14.4" x14ac:dyDescent="0.3">
      <c r="B268" t="s">
        <v>1405</v>
      </c>
      <c r="C268" t="s">
        <v>928</v>
      </c>
      <c r="D268" t="s">
        <v>101</v>
      </c>
      <c r="E268" s="45">
        <v>-150</v>
      </c>
      <c r="F268" t="s">
        <v>39</v>
      </c>
      <c r="G268" t="s">
        <v>580</v>
      </c>
      <c r="H268" t="s">
        <v>594</v>
      </c>
    </row>
    <row r="269" spans="1:9" customFormat="1" ht="14.4" x14ac:dyDescent="0.3">
      <c r="B269" t="s">
        <v>1406</v>
      </c>
      <c r="C269" t="s">
        <v>144</v>
      </c>
      <c r="D269" t="s">
        <v>145</v>
      </c>
      <c r="E269" s="45">
        <v>400</v>
      </c>
      <c r="F269" t="s">
        <v>22</v>
      </c>
      <c r="G269" t="s">
        <v>580</v>
      </c>
      <c r="H269" t="s">
        <v>1158</v>
      </c>
    </row>
    <row r="270" spans="1:9" customFormat="1" ht="14.4" x14ac:dyDescent="0.3">
      <c r="B270" t="s">
        <v>1407</v>
      </c>
      <c r="C270" t="s">
        <v>144</v>
      </c>
      <c r="D270" t="s">
        <v>145</v>
      </c>
      <c r="E270" s="45">
        <v>29200</v>
      </c>
      <c r="F270" t="s">
        <v>46</v>
      </c>
      <c r="G270" t="s">
        <v>580</v>
      </c>
      <c r="H270" t="s">
        <v>438</v>
      </c>
      <c r="I270" t="s">
        <v>1433</v>
      </c>
    </row>
    <row r="271" spans="1:9" customFormat="1" ht="14.4" x14ac:dyDescent="0.3">
      <c r="B271" t="s">
        <v>1407</v>
      </c>
      <c r="C271" t="s">
        <v>928</v>
      </c>
      <c r="D271" t="s">
        <v>126</v>
      </c>
      <c r="E271" s="45">
        <v>-390</v>
      </c>
      <c r="F271" t="s">
        <v>39</v>
      </c>
      <c r="G271" t="s">
        <v>580</v>
      </c>
      <c r="H271" t="s">
        <v>594</v>
      </c>
    </row>
    <row r="272" spans="1:9" customFormat="1" ht="14.4" x14ac:dyDescent="0.3">
      <c r="B272" t="s">
        <v>1407</v>
      </c>
      <c r="C272" t="s">
        <v>998</v>
      </c>
      <c r="D272" t="s">
        <v>126</v>
      </c>
      <c r="E272" s="45">
        <v>-390</v>
      </c>
      <c r="F272" t="s">
        <v>39</v>
      </c>
      <c r="G272" t="s">
        <v>580</v>
      </c>
      <c r="H272" t="s">
        <v>438</v>
      </c>
    </row>
    <row r="273" spans="2:9" customFormat="1" ht="14.4" x14ac:dyDescent="0.3">
      <c r="B273" t="s">
        <v>1407</v>
      </c>
      <c r="C273" t="s">
        <v>942</v>
      </c>
      <c r="D273" t="s">
        <v>126</v>
      </c>
      <c r="E273" s="45">
        <v>-390</v>
      </c>
      <c r="F273" t="s">
        <v>39</v>
      </c>
      <c r="G273" t="s">
        <v>580</v>
      </c>
      <c r="H273" t="s">
        <v>592</v>
      </c>
    </row>
    <row r="274" spans="2:9" customFormat="1" ht="14.4" x14ac:dyDescent="0.3">
      <c r="B274" t="s">
        <v>1408</v>
      </c>
      <c r="C274" t="s">
        <v>144</v>
      </c>
      <c r="D274" t="s">
        <v>145</v>
      </c>
      <c r="E274" s="45">
        <v>400</v>
      </c>
      <c r="F274" t="s">
        <v>22</v>
      </c>
      <c r="G274" t="s">
        <v>580</v>
      </c>
      <c r="H274" t="s">
        <v>1158</v>
      </c>
    </row>
    <row r="275" spans="2:9" customFormat="1" ht="14.4" x14ac:dyDescent="0.3">
      <c r="B275" t="s">
        <v>1409</v>
      </c>
      <c r="C275" t="s">
        <v>513</v>
      </c>
      <c r="D275" t="s">
        <v>101</v>
      </c>
      <c r="E275" s="45">
        <v>-341</v>
      </c>
      <c r="F275" t="s">
        <v>46</v>
      </c>
      <c r="G275" t="s">
        <v>586</v>
      </c>
      <c r="H275" t="s">
        <v>586</v>
      </c>
    </row>
    <row r="276" spans="2:9" customFormat="1" ht="14.4" x14ac:dyDescent="0.3">
      <c r="B276" t="s">
        <v>1409</v>
      </c>
      <c r="C276" t="s">
        <v>1404</v>
      </c>
      <c r="D276" t="s">
        <v>101</v>
      </c>
      <c r="E276" s="45">
        <v>-32461</v>
      </c>
      <c r="F276" t="s">
        <v>46</v>
      </c>
      <c r="G276" t="s">
        <v>586</v>
      </c>
      <c r="H276" t="s">
        <v>586</v>
      </c>
      <c r="I276" t="s">
        <v>1432</v>
      </c>
    </row>
    <row r="277" spans="2:9" customFormat="1" ht="14.4" x14ac:dyDescent="0.3">
      <c r="B277" t="s">
        <v>1410</v>
      </c>
      <c r="C277" t="s">
        <v>144</v>
      </c>
      <c r="D277" t="s">
        <v>145</v>
      </c>
      <c r="E277" s="45">
        <v>11200</v>
      </c>
      <c r="F277" t="s">
        <v>22</v>
      </c>
      <c r="G277" t="s">
        <v>580</v>
      </c>
      <c r="H277" t="s">
        <v>1431</v>
      </c>
    </row>
    <row r="278" spans="2:9" customFormat="1" ht="14.4" x14ac:dyDescent="0.3">
      <c r="B278" t="s">
        <v>1410</v>
      </c>
      <c r="C278" t="s">
        <v>1372</v>
      </c>
      <c r="D278" t="s">
        <v>101</v>
      </c>
      <c r="E278" s="45">
        <v>-740</v>
      </c>
      <c r="F278" t="s">
        <v>493</v>
      </c>
      <c r="G278" t="s">
        <v>107</v>
      </c>
    </row>
    <row r="279" spans="2:9" customFormat="1" ht="14.4" x14ac:dyDescent="0.3">
      <c r="B279" t="s">
        <v>1411</v>
      </c>
      <c r="C279" t="s">
        <v>984</v>
      </c>
      <c r="D279" t="s">
        <v>126</v>
      </c>
      <c r="E279" s="45">
        <v>-760</v>
      </c>
      <c r="F279" t="s">
        <v>39</v>
      </c>
      <c r="G279" t="s">
        <v>1002</v>
      </c>
      <c r="H279" t="s">
        <v>1002</v>
      </c>
    </row>
    <row r="280" spans="2:9" customFormat="1" ht="14.4" x14ac:dyDescent="0.3">
      <c r="B280" t="s">
        <v>1412</v>
      </c>
      <c r="C280" t="s">
        <v>144</v>
      </c>
      <c r="D280" t="s">
        <v>145</v>
      </c>
      <c r="E280" s="45">
        <v>4900</v>
      </c>
      <c r="F280" t="s">
        <v>22</v>
      </c>
      <c r="G280" t="s">
        <v>580</v>
      </c>
      <c r="H280" t="s">
        <v>1430</v>
      </c>
    </row>
    <row r="281" spans="2:9" customFormat="1" ht="14.4" x14ac:dyDescent="0.3">
      <c r="B281" t="s">
        <v>1412</v>
      </c>
      <c r="C281" t="s">
        <v>1397</v>
      </c>
      <c r="D281" t="s">
        <v>126</v>
      </c>
      <c r="E281" s="45">
        <v>-540</v>
      </c>
      <c r="F281" t="s">
        <v>39</v>
      </c>
      <c r="G281" t="s">
        <v>580</v>
      </c>
      <c r="H281" t="s">
        <v>593</v>
      </c>
    </row>
    <row r="282" spans="2:9" customFormat="1" ht="14.4" x14ac:dyDescent="0.3">
      <c r="B282" t="s">
        <v>1412</v>
      </c>
      <c r="C282" t="s">
        <v>992</v>
      </c>
      <c r="D282" t="s">
        <v>284</v>
      </c>
      <c r="E282" s="45">
        <v>12000</v>
      </c>
      <c r="F282" t="s">
        <v>22</v>
      </c>
      <c r="G282" t="s">
        <v>580</v>
      </c>
      <c r="H282" t="s">
        <v>342</v>
      </c>
    </row>
    <row r="283" spans="2:9" customFormat="1" ht="14.4" x14ac:dyDescent="0.3">
      <c r="B283" t="s">
        <v>1413</v>
      </c>
      <c r="C283" t="s">
        <v>144</v>
      </c>
      <c r="D283" t="s">
        <v>145</v>
      </c>
      <c r="E283" s="45">
        <v>33600</v>
      </c>
      <c r="F283" t="s">
        <v>22</v>
      </c>
      <c r="G283" t="s">
        <v>580</v>
      </c>
      <c r="H283" t="s">
        <v>1429</v>
      </c>
    </row>
    <row r="284" spans="2:9" customFormat="1" ht="14.4" x14ac:dyDescent="0.3">
      <c r="B284" t="s">
        <v>1414</v>
      </c>
      <c r="C284" t="s">
        <v>144</v>
      </c>
      <c r="D284" t="s">
        <v>145</v>
      </c>
      <c r="E284" s="45">
        <v>5600</v>
      </c>
      <c r="F284" t="s">
        <v>22</v>
      </c>
      <c r="G284" t="s">
        <v>580</v>
      </c>
      <c r="H284" t="s">
        <v>1158</v>
      </c>
    </row>
    <row r="285" spans="2:9" customFormat="1" ht="14.4" x14ac:dyDescent="0.3">
      <c r="B285" t="s">
        <v>1414</v>
      </c>
      <c r="C285" t="s">
        <v>975</v>
      </c>
      <c r="D285" t="s">
        <v>101</v>
      </c>
      <c r="E285" s="45">
        <v>-764</v>
      </c>
      <c r="F285" t="s">
        <v>46</v>
      </c>
      <c r="G285" t="s">
        <v>107</v>
      </c>
    </row>
    <row r="286" spans="2:9" customFormat="1" ht="14.4" x14ac:dyDescent="0.3">
      <c r="B286" t="s">
        <v>1414</v>
      </c>
      <c r="C286" t="s">
        <v>1415</v>
      </c>
      <c r="D286" t="s">
        <v>101</v>
      </c>
      <c r="E286" s="45">
        <v>-498</v>
      </c>
      <c r="F286" t="s">
        <v>45</v>
      </c>
      <c r="G286" t="s">
        <v>586</v>
      </c>
      <c r="H286" t="s">
        <v>586</v>
      </c>
    </row>
    <row r="287" spans="2:9" customFormat="1" ht="14.4" x14ac:dyDescent="0.3">
      <c r="B287" t="s">
        <v>1414</v>
      </c>
      <c r="C287" t="s">
        <v>975</v>
      </c>
      <c r="D287" t="s">
        <v>101</v>
      </c>
      <c r="E287" s="45">
        <v>-6000</v>
      </c>
      <c r="F287" t="s">
        <v>46</v>
      </c>
      <c r="G287" t="s">
        <v>107</v>
      </c>
    </row>
    <row r="288" spans="2:9" customFormat="1" ht="14.4" x14ac:dyDescent="0.3">
      <c r="B288" t="s">
        <v>1414</v>
      </c>
      <c r="C288" t="s">
        <v>1128</v>
      </c>
      <c r="D288" t="s">
        <v>101</v>
      </c>
      <c r="E288" s="45">
        <v>-11201</v>
      </c>
      <c r="F288" t="s">
        <v>46</v>
      </c>
      <c r="G288" t="s">
        <v>580</v>
      </c>
      <c r="H288" t="s">
        <v>438</v>
      </c>
    </row>
    <row r="289" spans="1:8" customFormat="1" ht="14.4" x14ac:dyDescent="0.3">
      <c r="B289" t="s">
        <v>1414</v>
      </c>
      <c r="C289" t="s">
        <v>1372</v>
      </c>
      <c r="D289" t="s">
        <v>101</v>
      </c>
      <c r="E289" s="45">
        <v>-469</v>
      </c>
      <c r="F289" t="s">
        <v>493</v>
      </c>
      <c r="G289" t="s">
        <v>107</v>
      </c>
    </row>
    <row r="290" spans="1:8" customFormat="1" ht="14.4" x14ac:dyDescent="0.3">
      <c r="B290" t="s">
        <v>1414</v>
      </c>
      <c r="C290" t="s">
        <v>513</v>
      </c>
      <c r="D290" t="s">
        <v>101</v>
      </c>
      <c r="E290" s="45">
        <v>-56</v>
      </c>
      <c r="F290" t="s">
        <v>46</v>
      </c>
      <c r="G290" t="s">
        <v>586</v>
      </c>
      <c r="H290" t="s">
        <v>586</v>
      </c>
    </row>
    <row r="291" spans="1:8" customFormat="1" ht="14.4" x14ac:dyDescent="0.3">
      <c r="B291" t="s">
        <v>1414</v>
      </c>
      <c r="C291" t="s">
        <v>982</v>
      </c>
      <c r="D291" t="s">
        <v>101</v>
      </c>
      <c r="E291" s="45">
        <v>-977</v>
      </c>
      <c r="F291" t="s">
        <v>46</v>
      </c>
      <c r="G291" t="s">
        <v>580</v>
      </c>
      <c r="H291" t="s">
        <v>594</v>
      </c>
    </row>
    <row r="292" spans="1:8" customFormat="1" ht="14.4" x14ac:dyDescent="0.3">
      <c r="B292" t="s">
        <v>1414</v>
      </c>
      <c r="C292" t="s">
        <v>1416</v>
      </c>
      <c r="D292" t="s">
        <v>101</v>
      </c>
      <c r="E292" s="45">
        <v>-7043</v>
      </c>
      <c r="F292" t="s">
        <v>46</v>
      </c>
      <c r="G292" t="s">
        <v>580</v>
      </c>
      <c r="H292" t="s">
        <v>582</v>
      </c>
    </row>
    <row r="293" spans="1:8" customFormat="1" ht="14.4" x14ac:dyDescent="0.3">
      <c r="B293" t="s">
        <v>1414</v>
      </c>
      <c r="C293" t="s">
        <v>838</v>
      </c>
      <c r="D293" t="s">
        <v>101</v>
      </c>
      <c r="E293" s="45">
        <v>-629</v>
      </c>
      <c r="F293" t="s">
        <v>46</v>
      </c>
      <c r="G293" t="s">
        <v>586</v>
      </c>
      <c r="H293" t="s">
        <v>586</v>
      </c>
    </row>
    <row r="294" spans="1:8" customFormat="1" ht="14.4" x14ac:dyDescent="0.3">
      <c r="B294" t="s">
        <v>1417</v>
      </c>
      <c r="C294" t="s">
        <v>998</v>
      </c>
      <c r="D294" t="s">
        <v>126</v>
      </c>
      <c r="E294" s="45">
        <v>-540</v>
      </c>
      <c r="F294" t="s">
        <v>39</v>
      </c>
      <c r="G294" t="s">
        <v>580</v>
      </c>
      <c r="H294" t="s">
        <v>438</v>
      </c>
    </row>
    <row r="295" spans="1:8" customFormat="1" ht="14.4" x14ac:dyDescent="0.3">
      <c r="B295" t="s">
        <v>1417</v>
      </c>
      <c r="C295" t="s">
        <v>928</v>
      </c>
      <c r="D295" t="s">
        <v>126</v>
      </c>
      <c r="E295" s="45">
        <v>-680</v>
      </c>
      <c r="F295" t="s">
        <v>39</v>
      </c>
      <c r="G295" t="s">
        <v>580</v>
      </c>
      <c r="H295" t="s">
        <v>594</v>
      </c>
    </row>
    <row r="296" spans="1:8" customFormat="1" ht="14.4" x14ac:dyDescent="0.3">
      <c r="B296" t="s">
        <v>1418</v>
      </c>
      <c r="C296" t="s">
        <v>144</v>
      </c>
      <c r="D296" t="s">
        <v>145</v>
      </c>
      <c r="E296" s="45">
        <v>23111</v>
      </c>
      <c r="F296" t="s">
        <v>950</v>
      </c>
      <c r="G296" t="s">
        <v>107</v>
      </c>
    </row>
    <row r="297" spans="1:8" customFormat="1" ht="14.4" x14ac:dyDescent="0.3">
      <c r="B297" t="s">
        <v>1419</v>
      </c>
      <c r="C297" t="s">
        <v>35</v>
      </c>
      <c r="D297" t="s">
        <v>101</v>
      </c>
      <c r="E297" s="45">
        <v>-4500</v>
      </c>
      <c r="F297" t="s">
        <v>35</v>
      </c>
      <c r="G297" t="s">
        <v>580</v>
      </c>
    </row>
    <row r="298" spans="1:8" customFormat="1" ht="14.4" x14ac:dyDescent="0.3">
      <c r="B298" t="s">
        <v>1419</v>
      </c>
      <c r="C298" t="s">
        <v>154</v>
      </c>
      <c r="D298" t="s">
        <v>101</v>
      </c>
      <c r="E298" s="45">
        <v>-8900</v>
      </c>
      <c r="F298" t="s">
        <v>43</v>
      </c>
      <c r="G298" t="s">
        <v>107</v>
      </c>
    </row>
    <row r="299" spans="1:8" customFormat="1" ht="14.4" x14ac:dyDescent="0.3">
      <c r="B299" t="s">
        <v>1419</v>
      </c>
      <c r="C299" t="s">
        <v>154</v>
      </c>
      <c r="D299" t="s">
        <v>101</v>
      </c>
      <c r="E299" s="45">
        <v>-15200</v>
      </c>
      <c r="F299" t="s">
        <v>154</v>
      </c>
      <c r="G299" t="s">
        <v>107</v>
      </c>
    </row>
    <row r="300" spans="1:8" customFormat="1" ht="14.4" x14ac:dyDescent="0.3">
      <c r="A300" s="166"/>
      <c r="B300" s="166" t="s">
        <v>1420</v>
      </c>
      <c r="C300" s="166" t="s">
        <v>144</v>
      </c>
      <c r="D300" s="166" t="s">
        <v>145</v>
      </c>
      <c r="E300" s="167">
        <v>1400</v>
      </c>
      <c r="F300" s="166"/>
      <c r="G300" s="166"/>
      <c r="H300" s="166"/>
    </row>
    <row r="301" spans="1:8" customFormat="1" ht="14.4" x14ac:dyDescent="0.3">
      <c r="A301" s="166"/>
      <c r="B301" s="166" t="s">
        <v>1420</v>
      </c>
      <c r="C301" s="166" t="s">
        <v>1144</v>
      </c>
      <c r="D301" s="166" t="s">
        <v>126</v>
      </c>
      <c r="E301" s="167">
        <v>-1400</v>
      </c>
      <c r="F301" s="166"/>
      <c r="G301" s="166"/>
      <c r="H301" s="166"/>
    </row>
    <row r="302" spans="1:8" customFormat="1" ht="14.4" x14ac:dyDescent="0.3">
      <c r="B302" t="s">
        <v>1420</v>
      </c>
      <c r="C302" t="s">
        <v>942</v>
      </c>
      <c r="D302" t="s">
        <v>126</v>
      </c>
      <c r="E302" s="45">
        <v>-390</v>
      </c>
      <c r="F302" t="s">
        <v>39</v>
      </c>
      <c r="G302" t="s">
        <v>580</v>
      </c>
      <c r="H302" t="s">
        <v>592</v>
      </c>
    </row>
    <row r="303" spans="1:8" customFormat="1" ht="14.4" x14ac:dyDescent="0.3">
      <c r="B303" t="s">
        <v>1420</v>
      </c>
      <c r="C303" t="s">
        <v>951</v>
      </c>
      <c r="D303" t="s">
        <v>101</v>
      </c>
      <c r="E303" s="45">
        <v>-857</v>
      </c>
      <c r="F303" t="s">
        <v>46</v>
      </c>
      <c r="G303" t="s">
        <v>580</v>
      </c>
      <c r="H303" t="s">
        <v>592</v>
      </c>
    </row>
    <row r="304" spans="1:8" customFormat="1" ht="14.4" x14ac:dyDescent="0.3">
      <c r="A304" s="166"/>
      <c r="B304" s="166" t="s">
        <v>1421</v>
      </c>
      <c r="C304" s="166" t="s">
        <v>794</v>
      </c>
      <c r="D304" s="166" t="s">
        <v>126</v>
      </c>
      <c r="E304" s="167">
        <v>40000</v>
      </c>
      <c r="F304" s="166"/>
      <c r="G304" s="166"/>
      <c r="H304" s="166"/>
    </row>
    <row r="305" spans="1:8" customFormat="1" ht="14.4" x14ac:dyDescent="0.3">
      <c r="B305" t="s">
        <v>1421</v>
      </c>
      <c r="C305" t="s">
        <v>942</v>
      </c>
      <c r="D305" t="s">
        <v>126</v>
      </c>
      <c r="E305" s="45">
        <v>-330</v>
      </c>
      <c r="F305" t="s">
        <v>39</v>
      </c>
      <c r="G305" t="s">
        <v>580</v>
      </c>
      <c r="H305" t="s">
        <v>592</v>
      </c>
    </row>
    <row r="306" spans="1:8" customFormat="1" ht="14.4" x14ac:dyDescent="0.3">
      <c r="B306" t="s">
        <v>1422</v>
      </c>
      <c r="C306" t="s">
        <v>1416</v>
      </c>
      <c r="D306" t="s">
        <v>101</v>
      </c>
      <c r="E306" s="45">
        <v>-3256</v>
      </c>
      <c r="F306" t="s">
        <v>46</v>
      </c>
      <c r="G306" t="s">
        <v>580</v>
      </c>
      <c r="H306" t="s">
        <v>582</v>
      </c>
    </row>
    <row r="307" spans="1:8" customFormat="1" ht="14.4" x14ac:dyDescent="0.3">
      <c r="B307" t="s">
        <v>1423</v>
      </c>
      <c r="C307" t="s">
        <v>950</v>
      </c>
      <c r="D307" t="s">
        <v>101</v>
      </c>
      <c r="E307" s="45">
        <v>-1185</v>
      </c>
      <c r="F307" t="s">
        <v>950</v>
      </c>
      <c r="G307" t="s">
        <v>107</v>
      </c>
    </row>
    <row r="308" spans="1:8" customFormat="1" ht="14.4" x14ac:dyDescent="0.3">
      <c r="B308" t="s">
        <v>1424</v>
      </c>
      <c r="C308" t="s">
        <v>513</v>
      </c>
      <c r="D308" t="s">
        <v>101</v>
      </c>
      <c r="E308" s="45">
        <v>-354</v>
      </c>
      <c r="F308" t="s">
        <v>46</v>
      </c>
      <c r="G308" t="s">
        <v>586</v>
      </c>
      <c r="H308" t="s">
        <v>586</v>
      </c>
    </row>
    <row r="309" spans="1:8" customFormat="1" ht="14.4" x14ac:dyDescent="0.3">
      <c r="B309" t="s">
        <v>1425</v>
      </c>
      <c r="C309" t="s">
        <v>998</v>
      </c>
      <c r="D309" t="s">
        <v>126</v>
      </c>
      <c r="E309" s="45">
        <v>-330</v>
      </c>
      <c r="F309" t="s">
        <v>39</v>
      </c>
      <c r="G309" t="s">
        <v>580</v>
      </c>
      <c r="H309" t="s">
        <v>438</v>
      </c>
    </row>
    <row r="310" spans="1:8" customFormat="1" ht="14.4" x14ac:dyDescent="0.3">
      <c r="B310" t="s">
        <v>1425</v>
      </c>
      <c r="C310" t="s">
        <v>978</v>
      </c>
      <c r="D310" t="s">
        <v>101</v>
      </c>
      <c r="E310" s="45">
        <v>-300</v>
      </c>
      <c r="F310" t="s">
        <v>43</v>
      </c>
      <c r="G310" t="s">
        <v>107</v>
      </c>
    </row>
    <row r="311" spans="1:8" customFormat="1" ht="14.4" x14ac:dyDescent="0.3">
      <c r="B311" t="s">
        <v>1425</v>
      </c>
      <c r="C311" t="s">
        <v>950</v>
      </c>
      <c r="D311" t="s">
        <v>101</v>
      </c>
      <c r="E311" s="45">
        <v>-2800</v>
      </c>
      <c r="F311" t="s">
        <v>950</v>
      </c>
      <c r="G311" t="s">
        <v>107</v>
      </c>
    </row>
    <row r="312" spans="1:8" customFormat="1" ht="14.4" x14ac:dyDescent="0.3">
      <c r="B312" t="s">
        <v>1426</v>
      </c>
      <c r="C312" t="s">
        <v>998</v>
      </c>
      <c r="D312" t="s">
        <v>126</v>
      </c>
      <c r="E312" s="45">
        <v>-780</v>
      </c>
      <c r="F312" t="s">
        <v>39</v>
      </c>
      <c r="G312" t="s">
        <v>580</v>
      </c>
      <c r="H312" t="s">
        <v>438</v>
      </c>
    </row>
    <row r="313" spans="1:8" customFormat="1" ht="15" thickBot="1" x14ac:dyDescent="0.35">
      <c r="A313" s="54"/>
      <c r="B313" s="54" t="s">
        <v>1427</v>
      </c>
      <c r="C313" s="54" t="s">
        <v>950</v>
      </c>
      <c r="D313" s="54" t="s">
        <v>101</v>
      </c>
      <c r="E313" s="153">
        <v>-2500</v>
      </c>
      <c r="F313" s="54" t="s">
        <v>950</v>
      </c>
      <c r="G313" s="54" t="s">
        <v>107</v>
      </c>
      <c r="H313" s="54"/>
    </row>
    <row r="314" spans="1:8" customFormat="1" ht="14.4" x14ac:dyDescent="0.3">
      <c r="B314" t="s">
        <v>1354</v>
      </c>
      <c r="C314" t="s">
        <v>1355</v>
      </c>
      <c r="D314" t="s">
        <v>285</v>
      </c>
      <c r="E314" s="45">
        <v>-3576</v>
      </c>
      <c r="F314" t="s">
        <v>45</v>
      </c>
      <c r="G314" t="s">
        <v>107</v>
      </c>
    </row>
    <row r="315" spans="1:8" customFormat="1" ht="14.4" x14ac:dyDescent="0.3">
      <c r="B315" t="s">
        <v>1356</v>
      </c>
      <c r="C315" t="s">
        <v>998</v>
      </c>
      <c r="D315" t="s">
        <v>126</v>
      </c>
      <c r="E315" s="45">
        <v>-490</v>
      </c>
      <c r="F315" t="s">
        <v>39</v>
      </c>
      <c r="G315" t="s">
        <v>580</v>
      </c>
      <c r="H315" t="s">
        <v>438</v>
      </c>
    </row>
    <row r="316" spans="1:8" customFormat="1" ht="14.4" x14ac:dyDescent="0.3">
      <c r="B316" t="s">
        <v>1356</v>
      </c>
      <c r="C316" t="s">
        <v>998</v>
      </c>
      <c r="D316" t="s">
        <v>126</v>
      </c>
      <c r="E316" s="45">
        <v>-330</v>
      </c>
      <c r="F316" t="s">
        <v>39</v>
      </c>
      <c r="G316" t="s">
        <v>580</v>
      </c>
      <c r="H316" t="s">
        <v>438</v>
      </c>
    </row>
    <row r="317" spans="1:8" customFormat="1" ht="14.4" x14ac:dyDescent="0.3">
      <c r="B317" t="s">
        <v>1356</v>
      </c>
      <c r="C317" t="s">
        <v>513</v>
      </c>
      <c r="D317" t="s">
        <v>101</v>
      </c>
      <c r="E317" s="45">
        <v>-40</v>
      </c>
      <c r="F317" t="s">
        <v>46</v>
      </c>
      <c r="G317" t="s">
        <v>586</v>
      </c>
      <c r="H317" t="s">
        <v>586</v>
      </c>
    </row>
    <row r="318" spans="1:8" customFormat="1" ht="14.4" x14ac:dyDescent="0.3">
      <c r="B318" t="s">
        <v>1357</v>
      </c>
      <c r="C318" t="s">
        <v>144</v>
      </c>
      <c r="D318" t="s">
        <v>145</v>
      </c>
      <c r="E318" s="45">
        <v>76912</v>
      </c>
      <c r="F318" t="s">
        <v>20</v>
      </c>
      <c r="G318" t="s">
        <v>107</v>
      </c>
    </row>
    <row r="319" spans="1:8" customFormat="1" ht="14.4" x14ac:dyDescent="0.3">
      <c r="B319" t="s">
        <v>1358</v>
      </c>
      <c r="C319" t="s">
        <v>950</v>
      </c>
      <c r="D319" t="s">
        <v>101</v>
      </c>
      <c r="E319" s="45">
        <v>-7000</v>
      </c>
      <c r="F319" t="s">
        <v>950</v>
      </c>
      <c r="G319" t="s">
        <v>107</v>
      </c>
    </row>
    <row r="320" spans="1:8" customFormat="1" ht="14.4" x14ac:dyDescent="0.3">
      <c r="A320" s="166"/>
      <c r="B320" s="166" t="s">
        <v>1358</v>
      </c>
      <c r="C320" s="166" t="s">
        <v>144</v>
      </c>
      <c r="D320" s="166" t="s">
        <v>145</v>
      </c>
      <c r="E320" s="167">
        <v>1200</v>
      </c>
      <c r="F320" s="166"/>
      <c r="G320" s="166"/>
      <c r="H320" s="166"/>
    </row>
    <row r="321" spans="1:8" customFormat="1" ht="14.4" x14ac:dyDescent="0.3">
      <c r="A321" s="166"/>
      <c r="B321" s="166" t="s">
        <v>1358</v>
      </c>
      <c r="C321" s="166" t="s">
        <v>1144</v>
      </c>
      <c r="D321" s="166" t="s">
        <v>126</v>
      </c>
      <c r="E321" s="167">
        <v>-1200</v>
      </c>
      <c r="F321" s="166"/>
      <c r="G321" s="166"/>
      <c r="H321" s="166"/>
    </row>
    <row r="322" spans="1:8" customFormat="1" ht="14.4" x14ac:dyDescent="0.3">
      <c r="B322" t="s">
        <v>1358</v>
      </c>
      <c r="C322" t="s">
        <v>942</v>
      </c>
      <c r="D322" t="s">
        <v>126</v>
      </c>
      <c r="E322" s="45">
        <v>-1005</v>
      </c>
      <c r="F322" t="s">
        <v>39</v>
      </c>
      <c r="G322" t="s">
        <v>580</v>
      </c>
      <c r="H322" t="s">
        <v>592</v>
      </c>
    </row>
    <row r="323" spans="1:8" customFormat="1" ht="14.4" x14ac:dyDescent="0.3">
      <c r="B323" t="s">
        <v>1358</v>
      </c>
      <c r="C323" t="s">
        <v>1162</v>
      </c>
      <c r="D323" t="s">
        <v>126</v>
      </c>
      <c r="E323" s="45">
        <v>-3000</v>
      </c>
      <c r="F323" t="s">
        <v>36</v>
      </c>
      <c r="G323" t="s">
        <v>580</v>
      </c>
      <c r="H323" t="s">
        <v>438</v>
      </c>
    </row>
    <row r="324" spans="1:8" customFormat="1" ht="14.4" x14ac:dyDescent="0.3">
      <c r="B324" t="s">
        <v>1359</v>
      </c>
      <c r="C324" t="s">
        <v>1197</v>
      </c>
      <c r="D324" t="s">
        <v>122</v>
      </c>
      <c r="E324" s="45">
        <v>-600</v>
      </c>
      <c r="F324" t="s">
        <v>39</v>
      </c>
      <c r="G324" t="s">
        <v>107</v>
      </c>
    </row>
    <row r="325" spans="1:8" customFormat="1" ht="14.4" x14ac:dyDescent="0.3">
      <c r="B325" t="s">
        <v>1360</v>
      </c>
      <c r="C325" t="s">
        <v>950</v>
      </c>
      <c r="D325" t="s">
        <v>101</v>
      </c>
      <c r="E325" s="45">
        <v>-2940</v>
      </c>
      <c r="F325" t="s">
        <v>950</v>
      </c>
      <c r="G325" t="s">
        <v>107</v>
      </c>
    </row>
    <row r="326" spans="1:8" customFormat="1" ht="14.4" x14ac:dyDescent="0.3">
      <c r="B326" t="s">
        <v>1360</v>
      </c>
      <c r="C326" t="s">
        <v>948</v>
      </c>
      <c r="D326" t="s">
        <v>122</v>
      </c>
      <c r="E326" s="45">
        <v>-500</v>
      </c>
      <c r="F326" t="s">
        <v>154</v>
      </c>
      <c r="G326" t="s">
        <v>580</v>
      </c>
      <c r="H326" t="s">
        <v>1391</v>
      </c>
    </row>
    <row r="327" spans="1:8" customFormat="1" ht="14.4" x14ac:dyDescent="0.3">
      <c r="B327" t="s">
        <v>1360</v>
      </c>
      <c r="C327" t="s">
        <v>948</v>
      </c>
      <c r="D327" t="s">
        <v>122</v>
      </c>
      <c r="E327" s="45">
        <v>-3900</v>
      </c>
      <c r="F327" t="s">
        <v>154</v>
      </c>
      <c r="G327" t="s">
        <v>580</v>
      </c>
      <c r="H327" t="s">
        <v>1390</v>
      </c>
    </row>
    <row r="328" spans="1:8" customFormat="1" ht="14.4" x14ac:dyDescent="0.3">
      <c r="A328" s="166"/>
      <c r="B328" s="166" t="s">
        <v>1361</v>
      </c>
      <c r="C328" s="166" t="s">
        <v>1144</v>
      </c>
      <c r="D328" s="166" t="s">
        <v>126</v>
      </c>
      <c r="E328" s="167">
        <v>-1000</v>
      </c>
      <c r="F328" s="166"/>
      <c r="G328" s="166"/>
      <c r="H328" s="166"/>
    </row>
    <row r="329" spans="1:8" customFormat="1" ht="14.4" x14ac:dyDescent="0.3">
      <c r="A329" s="166"/>
      <c r="B329" s="166" t="s">
        <v>1362</v>
      </c>
      <c r="C329" s="166" t="s">
        <v>144</v>
      </c>
      <c r="D329" s="166" t="s">
        <v>145</v>
      </c>
      <c r="E329" s="167">
        <v>1000</v>
      </c>
      <c r="F329" s="166"/>
      <c r="G329" s="166"/>
      <c r="H329" s="166"/>
    </row>
    <row r="330" spans="1:8" customFormat="1" ht="14.4" x14ac:dyDescent="0.3">
      <c r="B330" t="s">
        <v>1363</v>
      </c>
      <c r="C330" t="s">
        <v>838</v>
      </c>
      <c r="D330" t="s">
        <v>101</v>
      </c>
      <c r="E330" s="45">
        <v>-394</v>
      </c>
      <c r="F330" t="s">
        <v>46</v>
      </c>
      <c r="G330" t="s">
        <v>586</v>
      </c>
      <c r="H330" t="s">
        <v>586</v>
      </c>
    </row>
    <row r="331" spans="1:8" customFormat="1" ht="14.4" x14ac:dyDescent="0.3">
      <c r="B331" t="s">
        <v>1364</v>
      </c>
      <c r="C331" t="s">
        <v>1365</v>
      </c>
      <c r="D331" t="s">
        <v>1366</v>
      </c>
      <c r="E331" s="45">
        <v>-2700</v>
      </c>
      <c r="F331" t="s">
        <v>36</v>
      </c>
      <c r="G331" t="s">
        <v>580</v>
      </c>
      <c r="H331" t="s">
        <v>592</v>
      </c>
    </row>
    <row r="332" spans="1:8" customFormat="1" ht="14.4" x14ac:dyDescent="0.3">
      <c r="A332" s="166"/>
      <c r="B332" s="166" t="s">
        <v>1367</v>
      </c>
      <c r="C332" s="166" t="s">
        <v>1144</v>
      </c>
      <c r="D332" s="166" t="s">
        <v>126</v>
      </c>
      <c r="E332" s="167">
        <v>-1200</v>
      </c>
      <c r="F332" s="166"/>
      <c r="G332" s="166"/>
      <c r="H332" s="166"/>
    </row>
    <row r="333" spans="1:8" customFormat="1" ht="14.4" x14ac:dyDescent="0.3">
      <c r="A333" s="166"/>
      <c r="B333" s="166" t="s">
        <v>1368</v>
      </c>
      <c r="C333" s="166" t="s">
        <v>144</v>
      </c>
      <c r="D333" s="166" t="s">
        <v>145</v>
      </c>
      <c r="E333" s="167">
        <v>1200</v>
      </c>
      <c r="F333" s="166"/>
      <c r="G333" s="166"/>
      <c r="H333" s="166"/>
    </row>
    <row r="334" spans="1:8" customFormat="1" ht="14.4" x14ac:dyDescent="0.3">
      <c r="B334" t="s">
        <v>1369</v>
      </c>
      <c r="C334" t="s">
        <v>851</v>
      </c>
      <c r="D334" t="s">
        <v>101</v>
      </c>
      <c r="E334" s="45">
        <v>-1400</v>
      </c>
      <c r="F334" t="s">
        <v>36</v>
      </c>
      <c r="G334" t="s">
        <v>580</v>
      </c>
      <c r="H334" t="s">
        <v>592</v>
      </c>
    </row>
    <row r="335" spans="1:8" customFormat="1" ht="14.4" x14ac:dyDescent="0.3">
      <c r="B335" t="s">
        <v>1369</v>
      </c>
      <c r="C335" t="s">
        <v>1370</v>
      </c>
      <c r="D335" t="s">
        <v>101</v>
      </c>
      <c r="E335" s="45">
        <v>-1400</v>
      </c>
      <c r="F335" t="s">
        <v>36</v>
      </c>
      <c r="G335" t="s">
        <v>580</v>
      </c>
      <c r="H335" t="s">
        <v>1385</v>
      </c>
    </row>
    <row r="336" spans="1:8" customFormat="1" ht="14.4" x14ac:dyDescent="0.3">
      <c r="B336" t="s">
        <v>1371</v>
      </c>
      <c r="C336" t="s">
        <v>1372</v>
      </c>
      <c r="D336" t="s">
        <v>101</v>
      </c>
      <c r="E336" s="45">
        <v>-179</v>
      </c>
      <c r="F336" t="s">
        <v>46</v>
      </c>
      <c r="G336" t="s">
        <v>107</v>
      </c>
    </row>
    <row r="337" spans="1:9" customFormat="1" ht="14.4" x14ac:dyDescent="0.3">
      <c r="B337" t="s">
        <v>1371</v>
      </c>
      <c r="C337" t="s">
        <v>1373</v>
      </c>
      <c r="D337" t="s">
        <v>122</v>
      </c>
      <c r="E337" s="45">
        <v>-250</v>
      </c>
      <c r="F337" t="s">
        <v>32</v>
      </c>
      <c r="G337" t="s">
        <v>107</v>
      </c>
    </row>
    <row r="338" spans="1:9" customFormat="1" ht="14.4" x14ac:dyDescent="0.3">
      <c r="B338" t="s">
        <v>1374</v>
      </c>
      <c r="C338" t="s">
        <v>1375</v>
      </c>
      <c r="D338" t="s">
        <v>285</v>
      </c>
      <c r="E338" s="45">
        <v>20000</v>
      </c>
      <c r="F338" t="s">
        <v>24</v>
      </c>
      <c r="G338" t="s">
        <v>107</v>
      </c>
      <c r="I338" s="151" t="s">
        <v>1386</v>
      </c>
    </row>
    <row r="339" spans="1:9" customFormat="1" ht="14.4" x14ac:dyDescent="0.3">
      <c r="B339" t="s">
        <v>1376</v>
      </c>
      <c r="C339" t="s">
        <v>984</v>
      </c>
      <c r="D339" t="s">
        <v>101</v>
      </c>
      <c r="E339" s="45">
        <v>-248</v>
      </c>
      <c r="F339" t="s">
        <v>39</v>
      </c>
      <c r="G339" t="s">
        <v>1002</v>
      </c>
      <c r="H339" t="s">
        <v>1002</v>
      </c>
    </row>
    <row r="340" spans="1:9" customFormat="1" ht="14.4" x14ac:dyDescent="0.3">
      <c r="B340" t="s">
        <v>1377</v>
      </c>
      <c r="C340" t="s">
        <v>1122</v>
      </c>
      <c r="D340" t="s">
        <v>101</v>
      </c>
      <c r="E340" s="45">
        <v>-1120</v>
      </c>
      <c r="F340" t="s">
        <v>45</v>
      </c>
      <c r="G340" t="s">
        <v>107</v>
      </c>
    </row>
    <row r="341" spans="1:9" customFormat="1" ht="14.4" x14ac:dyDescent="0.3">
      <c r="A341" s="166"/>
      <c r="B341" s="166" t="s">
        <v>1378</v>
      </c>
      <c r="C341" s="166" t="s">
        <v>1144</v>
      </c>
      <c r="D341" s="166" t="s">
        <v>126</v>
      </c>
      <c r="E341" s="167">
        <v>-1200</v>
      </c>
      <c r="F341" s="166"/>
      <c r="G341" s="166"/>
      <c r="H341" s="166"/>
    </row>
    <row r="342" spans="1:9" customFormat="1" ht="14.4" x14ac:dyDescent="0.3">
      <c r="A342" s="166"/>
      <c r="B342" s="166" t="s">
        <v>1379</v>
      </c>
      <c r="C342" s="166" t="s">
        <v>144</v>
      </c>
      <c r="D342" s="166" t="s">
        <v>145</v>
      </c>
      <c r="E342" s="167">
        <v>1200</v>
      </c>
      <c r="F342" s="166"/>
      <c r="G342" s="166"/>
      <c r="H342" s="166"/>
    </row>
    <row r="343" spans="1:9" customFormat="1" ht="14.4" x14ac:dyDescent="0.3">
      <c r="B343" t="s">
        <v>1379</v>
      </c>
      <c r="C343" t="s">
        <v>1122</v>
      </c>
      <c r="D343" t="s">
        <v>101</v>
      </c>
      <c r="E343" s="45">
        <v>-23023</v>
      </c>
      <c r="F343" t="s">
        <v>45</v>
      </c>
      <c r="G343" t="s">
        <v>107</v>
      </c>
    </row>
    <row r="344" spans="1:9" customFormat="1" ht="14.4" x14ac:dyDescent="0.3">
      <c r="B344" t="s">
        <v>1380</v>
      </c>
      <c r="C344" t="s">
        <v>1122</v>
      </c>
      <c r="D344" t="s">
        <v>126</v>
      </c>
      <c r="E344" s="45">
        <v>-953</v>
      </c>
      <c r="F344" t="s">
        <v>45</v>
      </c>
      <c r="G344" t="s">
        <v>107</v>
      </c>
    </row>
    <row r="345" spans="1:9" customFormat="1" ht="14.4" x14ac:dyDescent="0.3">
      <c r="B345" t="s">
        <v>1381</v>
      </c>
      <c r="C345" t="s">
        <v>573</v>
      </c>
      <c r="D345" t="s">
        <v>574</v>
      </c>
      <c r="E345" s="45">
        <v>-774</v>
      </c>
      <c r="F345" t="s">
        <v>32</v>
      </c>
      <c r="G345" t="s">
        <v>107</v>
      </c>
    </row>
    <row r="346" spans="1:9" customFormat="1" ht="14.4" x14ac:dyDescent="0.3">
      <c r="A346" s="166"/>
      <c r="B346" s="166" t="s">
        <v>1382</v>
      </c>
      <c r="C346" s="166" t="s">
        <v>1144</v>
      </c>
      <c r="D346" s="166" t="s">
        <v>126</v>
      </c>
      <c r="E346" s="167">
        <v>-2000</v>
      </c>
      <c r="F346" s="166"/>
      <c r="G346" s="166"/>
      <c r="H346" s="166"/>
    </row>
    <row r="347" spans="1:9" customFormat="1" ht="14.4" x14ac:dyDescent="0.3">
      <c r="B347" t="s">
        <v>1383</v>
      </c>
      <c r="C347" t="s">
        <v>144</v>
      </c>
      <c r="D347" t="s">
        <v>145</v>
      </c>
      <c r="E347" s="45">
        <v>4008</v>
      </c>
      <c r="F347" t="s">
        <v>154</v>
      </c>
      <c r="G347" t="s">
        <v>586</v>
      </c>
      <c r="H347" t="s">
        <v>586</v>
      </c>
      <c r="I347" t="s">
        <v>1388</v>
      </c>
    </row>
    <row r="348" spans="1:9" customFormat="1" ht="14.4" x14ac:dyDescent="0.3">
      <c r="B348" t="s">
        <v>1384</v>
      </c>
      <c r="C348" t="s">
        <v>144</v>
      </c>
      <c r="D348" t="s">
        <v>145</v>
      </c>
      <c r="E348" s="45">
        <v>2950</v>
      </c>
      <c r="F348" t="s">
        <v>154</v>
      </c>
      <c r="G348" t="s">
        <v>580</v>
      </c>
      <c r="I348" t="s">
        <v>1387</v>
      </c>
    </row>
  </sheetData>
  <autoFilter ref="A1:J348" xr:uid="{00000000-0009-0000-0000-00001B000000}"/>
  <pageMargins left="0.7" right="0.7" top="0.75" bottom="0.75" header="0.3" footer="0.3"/>
  <pageSetup scale="52" fitToHeight="4" orientation="portrait" horizontalDpi="300" verticalDpi="300" r:id="rId1"/>
  <headerFooter alignWithMargins="0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9" tint="-0.249977111117893"/>
    <pageSetUpPr fitToPage="1"/>
  </sheetPr>
  <dimension ref="A1:L49"/>
  <sheetViews>
    <sheetView zoomScaleNormal="100" workbookViewId="0">
      <pane xSplit="1" ySplit="3" topLeftCell="E4" activePane="bottomRight" state="frozen"/>
      <selection pane="topRight" activeCell="B1" sqref="B1"/>
      <selection pane="bottomLeft" activeCell="A4" sqref="A4"/>
      <selection pane="bottomRight" activeCell="E4" sqref="E4"/>
    </sheetView>
  </sheetViews>
  <sheetFormatPr defaultColWidth="9.109375" defaultRowHeight="15.6" x14ac:dyDescent="0.3"/>
  <cols>
    <col min="1" max="1" width="30.6640625" style="4" bestFit="1" customWidth="1"/>
    <col min="2" max="4" width="14.33203125" style="4" hidden="1" customWidth="1"/>
    <col min="5" max="8" width="14.33203125" style="4" customWidth="1"/>
    <col min="9" max="9" width="16.44140625" style="1" customWidth="1"/>
    <col min="10" max="10" width="18.5546875" style="1" bestFit="1" customWidth="1"/>
    <col min="11" max="11" width="12" style="155" customWidth="1"/>
    <col min="12" max="16384" width="9.109375" style="1"/>
  </cols>
  <sheetData>
    <row r="1" spans="1:11" ht="31.8" thickBot="1" x14ac:dyDescent="0.65">
      <c r="A1" s="211" t="s">
        <v>486</v>
      </c>
      <c r="C1" s="224"/>
      <c r="D1" s="224"/>
      <c r="E1" s="295" t="s">
        <v>487</v>
      </c>
      <c r="F1" s="295"/>
      <c r="G1" s="295"/>
    </row>
    <row r="2" spans="1:11" ht="16.2" thickBot="1" x14ac:dyDescent="0.35"/>
    <row r="3" spans="1:11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43" t="s">
        <v>1351</v>
      </c>
      <c r="J3" s="44" t="s">
        <v>1345</v>
      </c>
      <c r="K3" s="156"/>
    </row>
    <row r="4" spans="1:11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110"/>
      <c r="J4" s="209"/>
      <c r="K4" s="156"/>
    </row>
    <row r="5" spans="1:11" ht="16.2" thickBot="1" x14ac:dyDescent="0.35">
      <c r="A5" s="32" t="s">
        <v>19</v>
      </c>
      <c r="B5" s="10"/>
      <c r="C5" s="7"/>
      <c r="D5" s="7"/>
      <c r="I5" s="111"/>
      <c r="J5" s="8"/>
    </row>
    <row r="6" spans="1:11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9">
        <f>76912+88164+36549+7702</f>
        <v>209327</v>
      </c>
      <c r="J6" s="190">
        <v>115000</v>
      </c>
    </row>
    <row r="7" spans="1:1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9">
        <f>5600+33600+12000+4900+11200+400+400+7500+6600+1600+5600+1600+400+600+2700+200+100+12900</f>
        <v>107900</v>
      </c>
      <c r="J7" s="190">
        <v>110000</v>
      </c>
    </row>
    <row r="8" spans="1:11" x14ac:dyDescent="0.3">
      <c r="A8" s="4" t="s">
        <v>1488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9">
        <f>10000+10000+1000+300+10000+1500+10000+1660+2000+6200+725+8200+180+492+35+55+9190+485+982+7560+1621+500+610+16073</f>
        <v>99368</v>
      </c>
      <c r="J8" s="190">
        <v>70000</v>
      </c>
    </row>
    <row r="9" spans="1:1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9">
        <f>20000+5080+5080+3000</f>
        <v>33160</v>
      </c>
      <c r="J9" s="190">
        <v>40000</v>
      </c>
    </row>
    <row r="10" spans="1:1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9">
        <f>14300+22500+19478+2500</f>
        <v>58778</v>
      </c>
      <c r="J10" s="190">
        <v>30000</v>
      </c>
    </row>
    <row r="11" spans="1:11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9">
        <f>99500</f>
        <v>99500</v>
      </c>
      <c r="J11" s="190">
        <v>90000</v>
      </c>
    </row>
    <row r="12" spans="1:11" x14ac:dyDescent="0.3">
      <c r="A12" s="4" t="s">
        <v>27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1824.88</v>
      </c>
      <c r="G12" s="38">
        <v>514</v>
      </c>
      <c r="H12" s="38">
        <v>101</v>
      </c>
      <c r="I12" s="9">
        <v>13</v>
      </c>
      <c r="J12" s="190">
        <v>100</v>
      </c>
    </row>
    <row r="13" spans="1:11" x14ac:dyDescent="0.3">
      <c r="A13" s="4" t="s">
        <v>490</v>
      </c>
      <c r="B13" s="38">
        <f>3455+2000</f>
        <v>5455</v>
      </c>
      <c r="C13" s="38">
        <f>400+10000+12000</f>
        <v>22400</v>
      </c>
      <c r="D13" s="38">
        <v>4112</v>
      </c>
      <c r="E13" s="38">
        <f>4135+5600</f>
        <v>9735</v>
      </c>
      <c r="F13" s="38">
        <f>1987+4050</f>
        <v>6037</v>
      </c>
      <c r="G13" s="38">
        <v>1630</v>
      </c>
      <c r="H13" s="38">
        <v>16554</v>
      </c>
      <c r="I13" s="9">
        <f>28269-19125+4390+6756</f>
        <v>20290</v>
      </c>
      <c r="J13" s="190">
        <v>15000</v>
      </c>
    </row>
    <row r="14" spans="1:11" x14ac:dyDescent="0.3">
      <c r="A14" s="7" t="s">
        <v>29</v>
      </c>
      <c r="B14" s="39">
        <f t="shared" ref="B14:J14" si="0">SUM(B6:B13)</f>
        <v>191729</v>
      </c>
      <c r="C14" s="39">
        <f t="shared" si="0"/>
        <v>345486</v>
      </c>
      <c r="D14" s="39">
        <f t="shared" si="0"/>
        <v>220107</v>
      </c>
      <c r="E14" s="39">
        <f t="shared" si="0"/>
        <v>239608.28999999998</v>
      </c>
      <c r="F14" s="39">
        <f t="shared" si="0"/>
        <v>299613.28000000003</v>
      </c>
      <c r="G14" s="39">
        <f t="shared" si="0"/>
        <v>289920</v>
      </c>
      <c r="H14" s="39">
        <f t="shared" si="0"/>
        <v>480751</v>
      </c>
      <c r="I14" s="11">
        <f t="shared" si="0"/>
        <v>628336</v>
      </c>
      <c r="J14" s="191">
        <f t="shared" si="0"/>
        <v>470100</v>
      </c>
    </row>
    <row r="15" spans="1:11" ht="16.2" thickBot="1" x14ac:dyDescent="0.35">
      <c r="B15" s="38"/>
      <c r="C15" s="40"/>
      <c r="D15" s="40"/>
      <c r="E15" s="38"/>
      <c r="F15" s="40"/>
      <c r="G15" s="40"/>
      <c r="H15" s="40"/>
      <c r="I15" s="111"/>
      <c r="J15" s="190"/>
    </row>
    <row r="16" spans="1:11" s="13" customFormat="1" ht="16.2" thickBot="1" x14ac:dyDescent="0.35">
      <c r="A16" s="32" t="s">
        <v>30</v>
      </c>
      <c r="B16" s="38"/>
      <c r="C16" s="41"/>
      <c r="D16" s="41"/>
      <c r="E16" s="38"/>
      <c r="F16" s="41"/>
      <c r="G16" s="41"/>
      <c r="H16" s="41"/>
      <c r="I16" s="112"/>
      <c r="J16" s="190"/>
      <c r="K16" s="159"/>
    </row>
    <row r="17" spans="1:12" x14ac:dyDescent="0.3">
      <c r="A17" s="4" t="s">
        <v>45</v>
      </c>
      <c r="B17" s="38">
        <v>-32646</v>
      </c>
      <c r="C17" s="38">
        <v>-42437</v>
      </c>
      <c r="D17" s="38">
        <v>-26923</v>
      </c>
      <c r="E17" s="38">
        <v>-32572</v>
      </c>
      <c r="F17" s="38">
        <v>-50743</v>
      </c>
      <c r="G17" s="38">
        <v>-52811</v>
      </c>
      <c r="H17" s="38">
        <v>-126816</v>
      </c>
      <c r="I17" s="9">
        <f>-953-23023-1120-3576-498-29220-3576-3576-48894</f>
        <v>-114436</v>
      </c>
      <c r="J17" s="190">
        <v>-90000</v>
      </c>
      <c r="K17" s="197"/>
      <c r="L17" s="55"/>
    </row>
    <row r="18" spans="1:12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9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190">
        <v>-100000</v>
      </c>
      <c r="K18" s="197"/>
    </row>
    <row r="19" spans="1:12" x14ac:dyDescent="0.3">
      <c r="A19" s="4" t="s">
        <v>508</v>
      </c>
      <c r="B19" s="38">
        <v>-11755</v>
      </c>
      <c r="C19" s="38">
        <v>-20024</v>
      </c>
      <c r="D19" s="38">
        <v>-13297</v>
      </c>
      <c r="E19" s="38">
        <v>-14853.42</v>
      </c>
      <c r="F19" s="38">
        <v>-18717</v>
      </c>
      <c r="G19" s="38">
        <v>-4027</v>
      </c>
      <c r="H19" s="38">
        <v>-20624</v>
      </c>
      <c r="I19" s="9">
        <f>-3208-5440+2557-5729-1907+1985-874-1767-2130-3432-789-9120-114-867-1407-1435-38-5807-8282</f>
        <v>-47804</v>
      </c>
      <c r="J19" s="190">
        <v>-15000</v>
      </c>
      <c r="K19" s="197"/>
    </row>
    <row r="20" spans="1:12" x14ac:dyDescent="0.3">
      <c r="A20" s="4" t="s">
        <v>38</v>
      </c>
      <c r="B20" s="38">
        <v>-4800</v>
      </c>
      <c r="C20" s="38">
        <v>-3398</v>
      </c>
      <c r="D20" s="38">
        <v>0</v>
      </c>
      <c r="E20" s="38">
        <v>-7138</v>
      </c>
      <c r="F20" s="38">
        <v>-3450</v>
      </c>
      <c r="G20" s="38">
        <v>-8100</v>
      </c>
      <c r="H20" s="38">
        <v>-6790</v>
      </c>
      <c r="I20" s="9">
        <f>-2940-7000-2500-2800-185+23111-23111-31150-1700-495-1000</f>
        <v>-49770</v>
      </c>
      <c r="J20" s="190">
        <v>-30000</v>
      </c>
      <c r="K20" s="197"/>
    </row>
    <row r="21" spans="1:12" x14ac:dyDescent="0.3">
      <c r="A21" s="4" t="s">
        <v>35</v>
      </c>
      <c r="B21" s="38">
        <v>0</v>
      </c>
      <c r="C21" s="38">
        <v>-1700</v>
      </c>
      <c r="D21" s="38">
        <v>0</v>
      </c>
      <c r="E21" s="38">
        <v>-3400</v>
      </c>
      <c r="F21" s="38">
        <v>-3900</v>
      </c>
      <c r="G21" s="38">
        <v>-4550</v>
      </c>
      <c r="H21" s="38">
        <v>-7520</v>
      </c>
      <c r="I21" s="9">
        <f>-4500-4000-682-4000-1110</f>
        <v>-14292</v>
      </c>
      <c r="J21" s="190">
        <v>-10000</v>
      </c>
      <c r="K21" s="197"/>
    </row>
    <row r="22" spans="1:12" x14ac:dyDescent="0.3">
      <c r="A22" s="4" t="s">
        <v>39</v>
      </c>
      <c r="B22" s="38">
        <v>-18016</v>
      </c>
      <c r="C22" s="38">
        <v>-18105</v>
      </c>
      <c r="D22" s="38">
        <v>-14387</v>
      </c>
      <c r="E22" s="38">
        <v>-7915</v>
      </c>
      <c r="F22" s="38">
        <v>-13828</v>
      </c>
      <c r="G22" s="38">
        <v>-24118</v>
      </c>
      <c r="H22" s="38">
        <v>-30770</v>
      </c>
      <c r="I22" s="9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2" s="190">
        <v>-35000</v>
      </c>
      <c r="K22" s="197"/>
    </row>
    <row r="23" spans="1:12" x14ac:dyDescent="0.3">
      <c r="A23" s="4" t="s">
        <v>40</v>
      </c>
      <c r="B23" s="38">
        <v>0</v>
      </c>
      <c r="C23" s="38">
        <v>-850</v>
      </c>
      <c r="D23" s="38">
        <v>-625</v>
      </c>
      <c r="E23" s="38">
        <v>-8200</v>
      </c>
      <c r="F23" s="38">
        <v>0</v>
      </c>
      <c r="G23" s="38">
        <v>0</v>
      </c>
      <c r="H23" s="38">
        <v>-2100</v>
      </c>
      <c r="I23" s="9">
        <f>-3950</f>
        <v>-3950</v>
      </c>
      <c r="J23" s="190">
        <v>-2000</v>
      </c>
      <c r="K23" s="197"/>
    </row>
    <row r="24" spans="1:12" x14ac:dyDescent="0.3">
      <c r="A24" s="4" t="s">
        <v>36</v>
      </c>
      <c r="B24" s="38">
        <v>-5000</v>
      </c>
      <c r="C24" s="38">
        <v>-350</v>
      </c>
      <c r="D24" s="38">
        <v>0</v>
      </c>
      <c r="E24" s="38">
        <v>-3550</v>
      </c>
      <c r="F24" s="38">
        <v>-10190</v>
      </c>
      <c r="G24" s="38">
        <v>-27295</v>
      </c>
      <c r="H24" s="38">
        <v>-13550</v>
      </c>
      <c r="I24" s="9">
        <f>-1400-1400-2700-3000-1500-1200-1400-1000-1200-1300-1500-800-1200-1400-1400-1190</f>
        <v>-23590</v>
      </c>
      <c r="J24" s="190">
        <v>-25000</v>
      </c>
      <c r="K24" s="197"/>
    </row>
    <row r="25" spans="1:12" x14ac:dyDescent="0.3">
      <c r="A25" s="4" t="s">
        <v>154</v>
      </c>
      <c r="B25" s="38">
        <v>-19050</v>
      </c>
      <c r="C25" s="38">
        <f>-13250-1750</f>
        <v>-15000</v>
      </c>
      <c r="D25" s="38">
        <v>-19650</v>
      </c>
      <c r="E25" s="38">
        <v>-15750</v>
      </c>
      <c r="F25" s="38">
        <v>-21750</v>
      </c>
      <c r="G25" s="38">
        <v>-30300</v>
      </c>
      <c r="H25" s="38">
        <v>-23520</v>
      </c>
      <c r="I25" s="9">
        <f>950+4008-3900-500-15200+1000-500-1000-2000+1000-250-7000-600-7500</f>
        <v>-31492</v>
      </c>
      <c r="J25" s="190">
        <v>-25000</v>
      </c>
      <c r="K25" s="197"/>
    </row>
    <row r="26" spans="1:12" x14ac:dyDescent="0.3">
      <c r="A26" s="4" t="s">
        <v>43</v>
      </c>
      <c r="B26" s="38">
        <v>-14470</v>
      </c>
      <c r="C26" s="38">
        <v>-10300</v>
      </c>
      <c r="D26" s="38">
        <v>-4860</v>
      </c>
      <c r="E26" s="38">
        <v>0</v>
      </c>
      <c r="F26" s="38">
        <v>-18405</v>
      </c>
      <c r="G26" s="38">
        <v>-10950</v>
      </c>
      <c r="H26" s="38">
        <v>-9515</v>
      </c>
      <c r="I26" s="9">
        <f>-300-8900+850-1250-3500</f>
        <v>-13100</v>
      </c>
      <c r="J26" s="190">
        <v>-10000</v>
      </c>
      <c r="K26" s="197"/>
    </row>
    <row r="27" spans="1:12" x14ac:dyDescent="0.3">
      <c r="A27" s="4" t="s">
        <v>44</v>
      </c>
      <c r="B27" s="38">
        <v>-25000</v>
      </c>
      <c r="C27" s="38">
        <v>-15000</v>
      </c>
      <c r="D27" s="38">
        <v>-17500</v>
      </c>
      <c r="E27" s="38">
        <v>-30416</v>
      </c>
      <c r="F27" s="38">
        <v>-16000</v>
      </c>
      <c r="G27" s="38">
        <v>-34000</v>
      </c>
      <c r="H27" s="38">
        <v>-27000</v>
      </c>
      <c r="I27" s="9">
        <f>-12500-1000-2000-5000-3000</f>
        <v>-23500</v>
      </c>
      <c r="J27" s="190">
        <v>-30000</v>
      </c>
      <c r="K27" s="197"/>
    </row>
    <row r="28" spans="1:12" x14ac:dyDescent="0.3">
      <c r="A28" s="4" t="s">
        <v>56</v>
      </c>
      <c r="B28" s="38">
        <v>-4459</v>
      </c>
      <c r="C28" s="38">
        <v>-12173</v>
      </c>
      <c r="D28" s="38">
        <v>0</v>
      </c>
      <c r="E28" s="38">
        <v>-180</v>
      </c>
      <c r="F28" s="38">
        <v>-1887</v>
      </c>
      <c r="G28" s="38">
        <v>0</v>
      </c>
      <c r="H28" s="38">
        <v>0</v>
      </c>
      <c r="I28" s="9">
        <v>0</v>
      </c>
      <c r="J28" s="190">
        <v>0</v>
      </c>
    </row>
    <row r="29" spans="1:12" x14ac:dyDescent="0.3">
      <c r="A29" s="4" t="s">
        <v>32</v>
      </c>
      <c r="B29" s="38">
        <f>-2650-3100-1600</f>
        <v>-7350</v>
      </c>
      <c r="C29" s="38">
        <f>-250-2500-1842</f>
        <v>-4592</v>
      </c>
      <c r="D29" s="38">
        <f>-250-4500-1899</f>
        <v>-6649</v>
      </c>
      <c r="E29" s="38">
        <v>-6338</v>
      </c>
      <c r="F29" s="38">
        <v>-6643</v>
      </c>
      <c r="G29" s="38">
        <v>-3530</v>
      </c>
      <c r="H29" s="38">
        <v>-1024</v>
      </c>
      <c r="I29" s="9">
        <f>-774-250</f>
        <v>-1024</v>
      </c>
      <c r="J29" s="190">
        <v>-2000</v>
      </c>
    </row>
    <row r="30" spans="1:12" x14ac:dyDescent="0.3">
      <c r="A30" s="4" t="s">
        <v>491</v>
      </c>
      <c r="B30" s="38">
        <v>0</v>
      </c>
      <c r="C30" s="38">
        <f>-75994-6425</f>
        <v>-82419</v>
      </c>
      <c r="D30" s="38">
        <f>-29362-12800</f>
        <v>-42162</v>
      </c>
      <c r="E30" s="38">
        <v>0</v>
      </c>
      <c r="F30" s="38">
        <v>0</v>
      </c>
      <c r="G30" s="38">
        <v>-102305</v>
      </c>
      <c r="H30" s="38">
        <v>-94393</v>
      </c>
      <c r="I30" s="9">
        <f>-1824-(23*800)-34400-1130-45448</f>
        <v>-101202</v>
      </c>
      <c r="J30" s="190">
        <v>-90000</v>
      </c>
      <c r="K30" s="197"/>
    </row>
    <row r="31" spans="1:12" x14ac:dyDescent="0.3">
      <c r="A31" s="4" t="s">
        <v>33</v>
      </c>
      <c r="B31" s="38">
        <v>0</v>
      </c>
      <c r="C31" s="38">
        <v>0</v>
      </c>
      <c r="D31" s="38">
        <v>0</v>
      </c>
      <c r="E31" s="38">
        <v>-741</v>
      </c>
      <c r="F31" s="38">
        <v>-547</v>
      </c>
      <c r="G31" s="38">
        <v>-154</v>
      </c>
      <c r="H31" s="38">
        <v>-510</v>
      </c>
      <c r="I31" s="9">
        <v>0</v>
      </c>
      <c r="J31" s="190">
        <v>-100</v>
      </c>
      <c r="K31" s="197"/>
    </row>
    <row r="32" spans="1:12" x14ac:dyDescent="0.3">
      <c r="A32" s="4" t="s">
        <v>493</v>
      </c>
      <c r="B32" s="38">
        <f>-635-7900</f>
        <v>-8535</v>
      </c>
      <c r="C32" s="38">
        <f>-1500-935-3800-2859-81</f>
        <v>-9175</v>
      </c>
      <c r="D32" s="38">
        <f>-755-1100</f>
        <v>-1855</v>
      </c>
      <c r="E32" s="38">
        <f>-2424-5850</f>
        <v>-8274</v>
      </c>
      <c r="F32" s="38">
        <v>-4637.7700000000004</v>
      </c>
      <c r="G32" s="38">
        <f>-2261-14329</f>
        <v>-16590</v>
      </c>
      <c r="H32" s="38">
        <v>-8129</v>
      </c>
      <c r="I32" s="9">
        <f>-469-740+140+140-4815-234</f>
        <v>-5978</v>
      </c>
      <c r="J32" s="190">
        <v>-5000</v>
      </c>
      <c r="K32" s="197"/>
    </row>
    <row r="33" spans="1:12" x14ac:dyDescent="0.3">
      <c r="A33" s="7" t="s">
        <v>47</v>
      </c>
      <c r="B33" s="39">
        <f>SUM(B17:B32)</f>
        <v>-218877</v>
      </c>
      <c r="C33" s="39">
        <f t="shared" ref="C33:H33" si="1">SUM(C17:C32)</f>
        <v>-258934</v>
      </c>
      <c r="D33" s="39">
        <f t="shared" si="1"/>
        <v>-187844</v>
      </c>
      <c r="E33" s="39">
        <f t="shared" si="1"/>
        <v>-247088.42</v>
      </c>
      <c r="F33" s="39">
        <f t="shared" si="1"/>
        <v>-325572.77</v>
      </c>
      <c r="G33" s="39">
        <f t="shared" si="1"/>
        <v>-457445</v>
      </c>
      <c r="H33" s="39">
        <f t="shared" si="1"/>
        <v>-467066</v>
      </c>
      <c r="I33" s="11">
        <f>SUM(I17:I32)</f>
        <v>-618159</v>
      </c>
      <c r="J33" s="191">
        <f>SUM(J17:J32)</f>
        <v>-469100</v>
      </c>
      <c r="K33" s="206"/>
    </row>
    <row r="34" spans="1:12" x14ac:dyDescent="0.3">
      <c r="A34" s="7"/>
      <c r="B34" s="41"/>
      <c r="C34" s="41"/>
      <c r="D34" s="41"/>
      <c r="E34" s="39"/>
      <c r="F34" s="39"/>
      <c r="G34" s="39"/>
      <c r="H34" s="39"/>
      <c r="I34" s="113"/>
      <c r="J34" s="191"/>
      <c r="K34" s="207"/>
    </row>
    <row r="35" spans="1:12" s="13" customFormat="1" ht="38.25" customHeight="1" x14ac:dyDescent="0.3">
      <c r="A35" s="7" t="s">
        <v>48</v>
      </c>
      <c r="B35" s="39">
        <f t="shared" ref="B35:I35" si="2">+B33+B14</f>
        <v>-27148</v>
      </c>
      <c r="C35" s="39">
        <f t="shared" si="2"/>
        <v>86552</v>
      </c>
      <c r="D35" s="39">
        <f t="shared" si="2"/>
        <v>32263</v>
      </c>
      <c r="E35" s="39">
        <f t="shared" si="2"/>
        <v>-7480.1300000000338</v>
      </c>
      <c r="F35" s="39">
        <f t="shared" si="2"/>
        <v>-25959.489999999991</v>
      </c>
      <c r="G35" s="39">
        <f t="shared" si="2"/>
        <v>-167525</v>
      </c>
      <c r="H35" s="39">
        <f t="shared" si="2"/>
        <v>13685</v>
      </c>
      <c r="I35" s="11">
        <f t="shared" si="2"/>
        <v>10177</v>
      </c>
      <c r="J35" s="191">
        <f>J14+J33</f>
        <v>1000</v>
      </c>
      <c r="K35" s="207"/>
    </row>
    <row r="36" spans="1:12" s="13" customFormat="1" x14ac:dyDescent="0.3">
      <c r="A36" s="7"/>
      <c r="B36" s="41"/>
      <c r="C36" s="41"/>
      <c r="D36" s="41"/>
      <c r="E36" s="39"/>
      <c r="F36" s="39"/>
      <c r="G36" s="39"/>
      <c r="H36" s="39"/>
      <c r="I36" s="11"/>
      <c r="J36" s="191"/>
      <c r="K36" s="207"/>
    </row>
    <row r="37" spans="1:12" s="13" customFormat="1" x14ac:dyDescent="0.3">
      <c r="A37" s="7" t="s">
        <v>1530</v>
      </c>
      <c r="B37" s="39">
        <v>-10000</v>
      </c>
      <c r="C37" s="39">
        <v>-10000</v>
      </c>
      <c r="D37" s="39">
        <v>-10000</v>
      </c>
      <c r="E37" s="39">
        <v>-10000</v>
      </c>
      <c r="F37" s="39">
        <v>-10000</v>
      </c>
      <c r="G37" s="39">
        <v>-14449</v>
      </c>
      <c r="H37" s="39">
        <v>0</v>
      </c>
      <c r="I37" s="11">
        <v>0</v>
      </c>
      <c r="J37" s="191">
        <v>0</v>
      </c>
      <c r="K37" s="206"/>
    </row>
    <row r="38" spans="1:12" s="13" customFormat="1" ht="16.2" thickBot="1" x14ac:dyDescent="0.35">
      <c r="A38" s="7"/>
      <c r="B38" s="41"/>
      <c r="C38" s="41"/>
      <c r="D38" s="41"/>
      <c r="E38" s="39"/>
      <c r="F38" s="39"/>
      <c r="G38" s="39"/>
      <c r="H38" s="39"/>
      <c r="I38" s="11"/>
      <c r="J38" s="210"/>
      <c r="K38" s="206"/>
    </row>
    <row r="39" spans="1:12" s="13" customFormat="1" ht="16.2" thickBot="1" x14ac:dyDescent="0.35">
      <c r="A39" s="7" t="s">
        <v>88</v>
      </c>
      <c r="B39" s="39">
        <f t="shared" ref="B39:I39" si="3">+B37+B35</f>
        <v>-37148</v>
      </c>
      <c r="C39" s="39">
        <f t="shared" si="3"/>
        <v>76552</v>
      </c>
      <c r="D39" s="39">
        <f t="shared" si="3"/>
        <v>22263</v>
      </c>
      <c r="E39" s="39">
        <f t="shared" si="3"/>
        <v>-17480.130000000034</v>
      </c>
      <c r="F39" s="39">
        <f t="shared" si="3"/>
        <v>-35959.489999999991</v>
      </c>
      <c r="G39" s="39">
        <f t="shared" si="3"/>
        <v>-181974</v>
      </c>
      <c r="H39" s="39">
        <f t="shared" si="3"/>
        <v>13685</v>
      </c>
      <c r="I39" s="154">
        <f t="shared" si="3"/>
        <v>10177</v>
      </c>
      <c r="J39" s="192">
        <f>+J37+J35</f>
        <v>1000</v>
      </c>
      <c r="K39" s="208"/>
    </row>
    <row r="40" spans="1:12" s="13" customFormat="1" x14ac:dyDescent="0.3">
      <c r="A40" s="4"/>
      <c r="B40" s="4"/>
      <c r="C40" s="4"/>
      <c r="D40" s="4"/>
      <c r="E40" s="4"/>
      <c r="F40" s="4"/>
      <c r="G40" s="4"/>
      <c r="H40" s="4"/>
      <c r="J40" s="58"/>
      <c r="K40" s="155"/>
    </row>
    <row r="46" spans="1:12" s="4" customFormat="1" x14ac:dyDescent="0.3">
      <c r="K46" s="155"/>
      <c r="L46" s="1"/>
    </row>
    <row r="47" spans="1:12" s="4" customFormat="1" x14ac:dyDescent="0.3">
      <c r="K47" s="155"/>
      <c r="L47" s="1"/>
    </row>
    <row r="48" spans="1:12" s="4" customFormat="1" x14ac:dyDescent="0.3">
      <c r="K48" s="155"/>
      <c r="L48" s="1"/>
    </row>
    <row r="49" spans="11:12" s="4" customFormat="1" x14ac:dyDescent="0.3">
      <c r="K49" s="155"/>
      <c r="L49" s="1"/>
    </row>
  </sheetData>
  <mergeCells count="1">
    <mergeCell ref="E1:G1"/>
  </mergeCells>
  <pageMargins left="0.7" right="0.7" top="0.75" bottom="0.75" header="0.3" footer="0.3"/>
  <pageSetup paperSize="9" scale="72" orientation="landscape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9" tint="-0.249977111117893"/>
    <pageSetUpPr fitToPage="1"/>
  </sheetPr>
  <dimension ref="A1:N51"/>
  <sheetViews>
    <sheetView zoomScaleNormal="100" workbookViewId="0">
      <pane xSplit="1" ySplit="3" topLeftCell="E5" activePane="bottomRight" state="frozen"/>
      <selection pane="topRight" activeCell="B1" sqref="B1"/>
      <selection pane="bottomLeft" activeCell="A4" sqref="A4"/>
      <selection pane="bottomRight" activeCell="L17" sqref="L17"/>
    </sheetView>
  </sheetViews>
  <sheetFormatPr defaultColWidth="9.109375" defaultRowHeight="15.6" x14ac:dyDescent="0.3"/>
  <cols>
    <col min="1" max="1" width="30.6640625" style="4" bestFit="1" customWidth="1"/>
    <col min="2" max="4" width="14.33203125" style="4" hidden="1" customWidth="1"/>
    <col min="5" max="8" width="14.33203125" style="4" customWidth="1"/>
    <col min="9" max="9" width="16.44140625" style="1" customWidth="1"/>
    <col min="10" max="11" width="18.5546875" style="1" bestFit="1" customWidth="1"/>
    <col min="12" max="12" width="27" style="196" customWidth="1"/>
    <col min="13" max="13" width="12" style="155" customWidth="1"/>
    <col min="14" max="16384" width="9.109375" style="1"/>
  </cols>
  <sheetData>
    <row r="1" spans="1:13" ht="31.8" thickBot="1" x14ac:dyDescent="0.65">
      <c r="A1" s="211" t="s">
        <v>486</v>
      </c>
      <c r="C1" s="224"/>
      <c r="D1" s="224"/>
      <c r="E1" s="295" t="s">
        <v>487</v>
      </c>
      <c r="F1" s="295"/>
      <c r="G1" s="295"/>
    </row>
    <row r="2" spans="1:13" ht="16.2" thickBot="1" x14ac:dyDescent="0.35"/>
    <row r="3" spans="1:13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43" t="s">
        <v>1351</v>
      </c>
      <c r="J3" s="57" t="s">
        <v>809</v>
      </c>
      <c r="K3" s="44" t="s">
        <v>1345</v>
      </c>
      <c r="L3" s="156"/>
      <c r="M3" s="156"/>
    </row>
    <row r="4" spans="1:13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110">
        <v>42369</v>
      </c>
      <c r="J4" s="110">
        <v>42369</v>
      </c>
      <c r="K4" s="209"/>
      <c r="L4" s="156"/>
      <c r="M4" s="156"/>
    </row>
    <row r="5" spans="1:13" ht="16.2" thickBot="1" x14ac:dyDescent="0.35">
      <c r="A5" s="32" t="s">
        <v>19</v>
      </c>
      <c r="B5" s="10"/>
      <c r="C5" s="7"/>
      <c r="D5" s="7"/>
      <c r="I5" s="111"/>
      <c r="J5" s="111"/>
      <c r="K5" s="8"/>
      <c r="L5" s="155"/>
    </row>
    <row r="6" spans="1:13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9">
        <f>76912+88164+36549+7702</f>
        <v>209327</v>
      </c>
      <c r="J6" s="115">
        <v>209327</v>
      </c>
      <c r="K6" s="190">
        <v>115000</v>
      </c>
      <c r="L6" s="217" t="s">
        <v>1525</v>
      </c>
    </row>
    <row r="7" spans="1:13" ht="31.8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9">
        <f>5600+33600+12000+4900+11200+400+400+7500+6600+1600+5600+1600+400+600+2700+200+100+12900</f>
        <v>107900</v>
      </c>
      <c r="J7" s="115">
        <v>107900</v>
      </c>
      <c r="K7" s="190">
        <v>110000</v>
      </c>
      <c r="L7" s="217" t="s">
        <v>1595</v>
      </c>
    </row>
    <row r="8" spans="1:13" x14ac:dyDescent="0.3">
      <c r="A8" s="4" t="s">
        <v>1488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9">
        <f>10000+10000+1000+300+10000+1500+10000+1660+2000+6200+725+8200+180+492+35+55+9190+485+982+7560+1621+500+610+16073</f>
        <v>99368</v>
      </c>
      <c r="J8" s="115">
        <v>99368</v>
      </c>
      <c r="K8" s="190">
        <v>70000</v>
      </c>
      <c r="L8" s="155"/>
    </row>
    <row r="9" spans="1:13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9">
        <f>20000+5080+5080+3000</f>
        <v>33160</v>
      </c>
      <c r="J9" s="115">
        <v>33160</v>
      </c>
      <c r="K9" s="190">
        <v>40000</v>
      </c>
      <c r="L9" s="217" t="s">
        <v>1546</v>
      </c>
    </row>
    <row r="10" spans="1:13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9">
        <f>14300+22500+19478+2500</f>
        <v>58778</v>
      </c>
      <c r="J10" s="115">
        <v>58778</v>
      </c>
      <c r="K10" s="190">
        <v>30000</v>
      </c>
      <c r="L10" s="155"/>
    </row>
    <row r="11" spans="1:13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9">
        <f>99500</f>
        <v>99500</v>
      </c>
      <c r="J11" s="115">
        <v>99500</v>
      </c>
      <c r="K11" s="190">
        <v>90000</v>
      </c>
      <c r="L11" s="155"/>
    </row>
    <row r="12" spans="1:13" x14ac:dyDescent="0.3">
      <c r="A12" s="4" t="s">
        <v>27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1824.88</v>
      </c>
      <c r="G12" s="38">
        <v>514</v>
      </c>
      <c r="H12" s="38">
        <v>101</v>
      </c>
      <c r="I12" s="9">
        <v>13</v>
      </c>
      <c r="J12" s="115">
        <v>13</v>
      </c>
      <c r="K12" s="190">
        <v>100</v>
      </c>
      <c r="L12" s="155"/>
    </row>
    <row r="13" spans="1:13" x14ac:dyDescent="0.3">
      <c r="A13" s="4" t="s">
        <v>490</v>
      </c>
      <c r="B13" s="38">
        <f>3455+2000</f>
        <v>5455</v>
      </c>
      <c r="C13" s="38">
        <f>400+10000+12000</f>
        <v>22400</v>
      </c>
      <c r="D13" s="38">
        <v>4112</v>
      </c>
      <c r="E13" s="38">
        <f>4135+5600</f>
        <v>9735</v>
      </c>
      <c r="F13" s="38">
        <f>1987+4050</f>
        <v>6037</v>
      </c>
      <c r="G13" s="38">
        <v>1630</v>
      </c>
      <c r="H13" s="38">
        <v>16554</v>
      </c>
      <c r="I13" s="9">
        <f>28269-19125+4390+6756</f>
        <v>20290</v>
      </c>
      <c r="J13" s="115">
        <v>20290</v>
      </c>
      <c r="K13" s="190">
        <v>15000</v>
      </c>
      <c r="L13" s="155"/>
    </row>
    <row r="14" spans="1:13" x14ac:dyDescent="0.3">
      <c r="A14" s="7" t="s">
        <v>29</v>
      </c>
      <c r="B14" s="39">
        <f t="shared" ref="B14:K14" si="0">SUM(B6:B13)</f>
        <v>191729</v>
      </c>
      <c r="C14" s="39">
        <f t="shared" si="0"/>
        <v>345486</v>
      </c>
      <c r="D14" s="39">
        <f t="shared" si="0"/>
        <v>220107</v>
      </c>
      <c r="E14" s="39">
        <f t="shared" si="0"/>
        <v>239608.28999999998</v>
      </c>
      <c r="F14" s="39">
        <f t="shared" si="0"/>
        <v>299613.28000000003</v>
      </c>
      <c r="G14" s="39">
        <f t="shared" si="0"/>
        <v>289920</v>
      </c>
      <c r="H14" s="39">
        <f t="shared" si="0"/>
        <v>480751</v>
      </c>
      <c r="I14" s="11">
        <f t="shared" si="0"/>
        <v>628336</v>
      </c>
      <c r="J14" s="116">
        <f t="shared" si="0"/>
        <v>628336</v>
      </c>
      <c r="K14" s="191">
        <f t="shared" si="0"/>
        <v>470100</v>
      </c>
      <c r="L14" s="155"/>
    </row>
    <row r="15" spans="1:13" ht="16.2" thickBot="1" x14ac:dyDescent="0.35">
      <c r="B15" s="38"/>
      <c r="C15" s="40"/>
      <c r="D15" s="40"/>
      <c r="E15" s="38"/>
      <c r="F15" s="40"/>
      <c r="G15" s="40"/>
      <c r="H15" s="40"/>
      <c r="I15" s="111"/>
      <c r="J15" s="117"/>
      <c r="K15" s="190"/>
      <c r="L15" s="155"/>
    </row>
    <row r="16" spans="1:13" s="13" customFormat="1" ht="16.2" thickBot="1" x14ac:dyDescent="0.35">
      <c r="A16" s="32" t="s">
        <v>30</v>
      </c>
      <c r="B16" s="38"/>
      <c r="C16" s="41"/>
      <c r="D16" s="41"/>
      <c r="E16" s="38"/>
      <c r="F16" s="41"/>
      <c r="G16" s="41"/>
      <c r="H16" s="41"/>
      <c r="I16" s="112"/>
      <c r="J16" s="118"/>
      <c r="K16" s="190"/>
      <c r="L16" s="159"/>
      <c r="M16" s="159"/>
    </row>
    <row r="17" spans="1:14" x14ac:dyDescent="0.3">
      <c r="A17" s="4" t="s">
        <v>45</v>
      </c>
      <c r="B17" s="38">
        <v>-32646</v>
      </c>
      <c r="C17" s="38">
        <v>-42437</v>
      </c>
      <c r="D17" s="38">
        <v>-26923</v>
      </c>
      <c r="E17" s="38">
        <v>-32572</v>
      </c>
      <c r="F17" s="38">
        <v>-50743</v>
      </c>
      <c r="G17" s="38">
        <v>-52811</v>
      </c>
      <c r="H17" s="38">
        <v>-126816</v>
      </c>
      <c r="I17" s="9">
        <f>-953-23023-1120-3576-498-29220-3576-3576-48894</f>
        <v>-114436</v>
      </c>
      <c r="J17" s="115">
        <v>-114436</v>
      </c>
      <c r="K17" s="190">
        <v>-90000</v>
      </c>
      <c r="L17" s="217" t="s">
        <v>1651</v>
      </c>
      <c r="M17" s="197"/>
      <c r="N17" s="55"/>
    </row>
    <row r="18" spans="1:14" ht="24.6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9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115">
        <v>-129765</v>
      </c>
      <c r="K18" s="190">
        <v>-100000</v>
      </c>
      <c r="L18" s="157" t="s">
        <v>1592</v>
      </c>
      <c r="M18" s="197"/>
    </row>
    <row r="19" spans="1:14" ht="24.6" x14ac:dyDescent="0.3">
      <c r="A19" s="4" t="s">
        <v>508</v>
      </c>
      <c r="B19" s="38">
        <v>-11755</v>
      </c>
      <c r="C19" s="38">
        <v>-20024</v>
      </c>
      <c r="D19" s="38">
        <v>-13297</v>
      </c>
      <c r="E19" s="38">
        <v>-14853.42</v>
      </c>
      <c r="F19" s="38">
        <v>-18717</v>
      </c>
      <c r="G19" s="38">
        <v>-4027</v>
      </c>
      <c r="H19" s="38">
        <v>-20624</v>
      </c>
      <c r="I19" s="9">
        <f>-3208-5440+2557-5729-1907+1985-874-1767-2130-3432-789-9120-114-867-1407-1435-38-5807-8282</f>
        <v>-47804</v>
      </c>
      <c r="J19" s="115">
        <v>-47804</v>
      </c>
      <c r="K19" s="190">
        <v>-15000</v>
      </c>
      <c r="L19" s="157" t="s">
        <v>1569</v>
      </c>
      <c r="M19" s="197"/>
    </row>
    <row r="20" spans="1:14" x14ac:dyDescent="0.3">
      <c r="A20" s="4" t="s">
        <v>38</v>
      </c>
      <c r="B20" s="38">
        <v>-4800</v>
      </c>
      <c r="C20" s="38">
        <v>-3398</v>
      </c>
      <c r="D20" s="38">
        <v>0</v>
      </c>
      <c r="E20" s="38">
        <v>-7138</v>
      </c>
      <c r="F20" s="38">
        <v>-3450</v>
      </c>
      <c r="G20" s="38">
        <v>-8100</v>
      </c>
      <c r="H20" s="38">
        <v>-6790</v>
      </c>
      <c r="I20" s="9">
        <f>-2940-7000-2500-2800-185+23111-23111-31150-1700-495-1000</f>
        <v>-49770</v>
      </c>
      <c r="J20" s="115">
        <v>-49770</v>
      </c>
      <c r="K20" s="190">
        <v>-30000</v>
      </c>
      <c r="L20" s="155"/>
      <c r="M20" s="197"/>
    </row>
    <row r="21" spans="1:14" x14ac:dyDescent="0.3">
      <c r="A21" s="4" t="s">
        <v>35</v>
      </c>
      <c r="B21" s="38">
        <v>0</v>
      </c>
      <c r="C21" s="38">
        <v>-1700</v>
      </c>
      <c r="D21" s="38">
        <v>0</v>
      </c>
      <c r="E21" s="38">
        <v>-3400</v>
      </c>
      <c r="F21" s="38">
        <v>-3900</v>
      </c>
      <c r="G21" s="38">
        <v>-4550</v>
      </c>
      <c r="H21" s="38">
        <v>-7520</v>
      </c>
      <c r="I21" s="9">
        <f>-4500-4000-682-4000-1110</f>
        <v>-14292</v>
      </c>
      <c r="J21" s="115">
        <v>-14292</v>
      </c>
      <c r="K21" s="190">
        <v>-10000</v>
      </c>
      <c r="L21" s="155"/>
      <c r="M21" s="197"/>
    </row>
    <row r="22" spans="1:14" ht="24.6" x14ac:dyDescent="0.3">
      <c r="A22" s="4" t="s">
        <v>39</v>
      </c>
      <c r="B22" s="38">
        <v>-18016</v>
      </c>
      <c r="C22" s="38">
        <v>-18105</v>
      </c>
      <c r="D22" s="38">
        <v>-14387</v>
      </c>
      <c r="E22" s="38">
        <v>-7915</v>
      </c>
      <c r="F22" s="38">
        <v>-13828</v>
      </c>
      <c r="G22" s="38">
        <v>-24118</v>
      </c>
      <c r="H22" s="38">
        <v>-30770</v>
      </c>
      <c r="I22" s="9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2" s="115">
        <v>-58256</v>
      </c>
      <c r="K22" s="190">
        <v>-35000</v>
      </c>
      <c r="L22" s="157" t="s">
        <v>1593</v>
      </c>
      <c r="M22" s="197"/>
    </row>
    <row r="23" spans="1:14" x14ac:dyDescent="0.3">
      <c r="A23" s="4" t="s">
        <v>40</v>
      </c>
      <c r="B23" s="38">
        <v>0</v>
      </c>
      <c r="C23" s="38">
        <v>-850</v>
      </c>
      <c r="D23" s="38">
        <v>-625</v>
      </c>
      <c r="E23" s="38">
        <v>-8200</v>
      </c>
      <c r="F23" s="38">
        <v>0</v>
      </c>
      <c r="G23" s="38">
        <v>0</v>
      </c>
      <c r="H23" s="38">
        <v>-2100</v>
      </c>
      <c r="I23" s="9">
        <f>-3950</f>
        <v>-3950</v>
      </c>
      <c r="J23" s="115">
        <v>-3950</v>
      </c>
      <c r="K23" s="190">
        <v>-2000</v>
      </c>
      <c r="L23" s="155"/>
      <c r="M23" s="197"/>
    </row>
    <row r="24" spans="1:14" x14ac:dyDescent="0.3">
      <c r="A24" s="4" t="s">
        <v>36</v>
      </c>
      <c r="B24" s="38">
        <v>-5000</v>
      </c>
      <c r="C24" s="38">
        <v>-350</v>
      </c>
      <c r="D24" s="38">
        <v>0</v>
      </c>
      <c r="E24" s="38">
        <v>-3550</v>
      </c>
      <c r="F24" s="38">
        <v>-10190</v>
      </c>
      <c r="G24" s="38">
        <v>-27295</v>
      </c>
      <c r="H24" s="38">
        <v>-13550</v>
      </c>
      <c r="I24" s="9">
        <f>-1400-1400-2700-3000-1500-1200-1400-1000-1200-1300-1500-800-1200-1400-1400-1190</f>
        <v>-23590</v>
      </c>
      <c r="J24" s="115">
        <v>-23590</v>
      </c>
      <c r="K24" s="190">
        <v>-25000</v>
      </c>
      <c r="L24" s="157"/>
      <c r="M24" s="197"/>
    </row>
    <row r="25" spans="1:14" ht="36.6" x14ac:dyDescent="0.3">
      <c r="A25" s="4" t="s">
        <v>154</v>
      </c>
      <c r="B25" s="38">
        <v>-19050</v>
      </c>
      <c r="C25" s="38">
        <f>-13250-1750</f>
        <v>-15000</v>
      </c>
      <c r="D25" s="38">
        <v>-19650</v>
      </c>
      <c r="E25" s="38">
        <v>-15750</v>
      </c>
      <c r="F25" s="38">
        <v>-21750</v>
      </c>
      <c r="G25" s="38">
        <v>-30300</v>
      </c>
      <c r="H25" s="38">
        <v>-23520</v>
      </c>
      <c r="I25" s="9">
        <f>950+4008-3900-500-15200+1000-500-1000-2000+1000-250-7000-600-7500</f>
        <v>-31492</v>
      </c>
      <c r="J25" s="115">
        <v>-31492</v>
      </c>
      <c r="K25" s="190">
        <v>-25000</v>
      </c>
      <c r="L25" s="157" t="s">
        <v>1589</v>
      </c>
      <c r="M25" s="197"/>
    </row>
    <row r="26" spans="1:14" x14ac:dyDescent="0.3">
      <c r="A26" s="4" t="s">
        <v>43</v>
      </c>
      <c r="B26" s="38">
        <v>-14470</v>
      </c>
      <c r="C26" s="38">
        <v>-10300</v>
      </c>
      <c r="D26" s="38">
        <v>-4860</v>
      </c>
      <c r="E26" s="38">
        <v>0</v>
      </c>
      <c r="F26" s="38">
        <v>-18405</v>
      </c>
      <c r="G26" s="38">
        <v>-10950</v>
      </c>
      <c r="H26" s="38">
        <v>-9515</v>
      </c>
      <c r="I26" s="9">
        <f>-300-8900+850-1250-3500</f>
        <v>-13100</v>
      </c>
      <c r="J26" s="115">
        <v>-13100</v>
      </c>
      <c r="K26" s="190">
        <v>-10000</v>
      </c>
      <c r="L26" s="155"/>
      <c r="M26" s="197"/>
    </row>
    <row r="27" spans="1:14" x14ac:dyDescent="0.3">
      <c r="A27" s="4" t="s">
        <v>44</v>
      </c>
      <c r="B27" s="38">
        <v>-25000</v>
      </c>
      <c r="C27" s="38">
        <v>-15000</v>
      </c>
      <c r="D27" s="38">
        <v>-17500</v>
      </c>
      <c r="E27" s="38">
        <v>-30416</v>
      </c>
      <c r="F27" s="38">
        <v>-16000</v>
      </c>
      <c r="G27" s="38">
        <v>-34000</v>
      </c>
      <c r="H27" s="38">
        <v>-27000</v>
      </c>
      <c r="I27" s="9">
        <f>-12500-1000-2000-5000-3000</f>
        <v>-23500</v>
      </c>
      <c r="J27" s="115">
        <v>-23500</v>
      </c>
      <c r="K27" s="190">
        <v>-30000</v>
      </c>
      <c r="L27" s="157" t="s">
        <v>1594</v>
      </c>
      <c r="M27" s="197"/>
    </row>
    <row r="28" spans="1:14" x14ac:dyDescent="0.3">
      <c r="A28" s="4" t="s">
        <v>56</v>
      </c>
      <c r="B28" s="38">
        <v>-4459</v>
      </c>
      <c r="C28" s="38">
        <v>-12173</v>
      </c>
      <c r="D28" s="38">
        <v>0</v>
      </c>
      <c r="E28" s="38">
        <v>-180</v>
      </c>
      <c r="F28" s="38">
        <v>-1887</v>
      </c>
      <c r="G28" s="38">
        <v>0</v>
      </c>
      <c r="H28" s="38">
        <v>0</v>
      </c>
      <c r="I28" s="9">
        <v>0</v>
      </c>
      <c r="J28" s="115">
        <v>0</v>
      </c>
      <c r="K28" s="190">
        <v>0</v>
      </c>
      <c r="L28" s="155"/>
    </row>
    <row r="29" spans="1:14" x14ac:dyDescent="0.3">
      <c r="A29" s="4" t="s">
        <v>32</v>
      </c>
      <c r="B29" s="38">
        <f>-2650-3100-1600</f>
        <v>-7350</v>
      </c>
      <c r="C29" s="38">
        <f>-250-2500-1842</f>
        <v>-4592</v>
      </c>
      <c r="D29" s="38">
        <f>-250-4500-1899</f>
        <v>-6649</v>
      </c>
      <c r="E29" s="38">
        <v>-6338</v>
      </c>
      <c r="F29" s="38">
        <v>-6643</v>
      </c>
      <c r="G29" s="38">
        <v>-3530</v>
      </c>
      <c r="H29" s="38">
        <v>-1024</v>
      </c>
      <c r="I29" s="9">
        <f>-774-250</f>
        <v>-1024</v>
      </c>
      <c r="J29" s="115">
        <v>-1024</v>
      </c>
      <c r="K29" s="190">
        <v>-2000</v>
      </c>
      <c r="L29" s="155"/>
    </row>
    <row r="30" spans="1:14" x14ac:dyDescent="0.3">
      <c r="A30" s="4" t="s">
        <v>491</v>
      </c>
      <c r="B30" s="38">
        <v>0</v>
      </c>
      <c r="C30" s="38">
        <f>-75994-6425</f>
        <v>-82419</v>
      </c>
      <c r="D30" s="38">
        <f>-29362-12800</f>
        <v>-42162</v>
      </c>
      <c r="E30" s="38">
        <v>0</v>
      </c>
      <c r="F30" s="38">
        <v>0</v>
      </c>
      <c r="G30" s="38">
        <v>-102305</v>
      </c>
      <c r="H30" s="38">
        <v>-94393</v>
      </c>
      <c r="I30" s="9">
        <f>-1824-(23*800)-34400-1130-45448</f>
        <v>-101202</v>
      </c>
      <c r="J30" s="115">
        <v>-101202</v>
      </c>
      <c r="K30" s="190">
        <v>-90000</v>
      </c>
      <c r="L30" s="155"/>
      <c r="M30" s="197"/>
    </row>
    <row r="31" spans="1:14" x14ac:dyDescent="0.3">
      <c r="A31" s="4" t="s">
        <v>33</v>
      </c>
      <c r="B31" s="38">
        <v>0</v>
      </c>
      <c r="C31" s="38">
        <v>0</v>
      </c>
      <c r="D31" s="38">
        <v>0</v>
      </c>
      <c r="E31" s="38">
        <v>-741</v>
      </c>
      <c r="F31" s="38">
        <v>-547</v>
      </c>
      <c r="G31" s="38">
        <v>-154</v>
      </c>
      <c r="H31" s="38">
        <v>-510</v>
      </c>
      <c r="I31" s="9">
        <v>0</v>
      </c>
      <c r="J31" s="115">
        <v>0</v>
      </c>
      <c r="K31" s="190">
        <v>-100</v>
      </c>
      <c r="L31" s="155"/>
      <c r="M31" s="197"/>
    </row>
    <row r="32" spans="1:14" x14ac:dyDescent="0.3">
      <c r="A32" s="4" t="s">
        <v>493</v>
      </c>
      <c r="B32" s="38">
        <f>-635-7900</f>
        <v>-8535</v>
      </c>
      <c r="C32" s="38">
        <f>-1500-935-3800-2859-81</f>
        <v>-9175</v>
      </c>
      <c r="D32" s="38">
        <f>-755-1100</f>
        <v>-1855</v>
      </c>
      <c r="E32" s="38">
        <f>-2424-5850</f>
        <v>-8274</v>
      </c>
      <c r="F32" s="38">
        <v>-4637.7700000000004</v>
      </c>
      <c r="G32" s="38">
        <f>-2261-14329</f>
        <v>-16590</v>
      </c>
      <c r="H32" s="38">
        <v>-8129</v>
      </c>
      <c r="I32" s="9">
        <f>-469-740+140+140-4815-234</f>
        <v>-5978</v>
      </c>
      <c r="J32" s="115">
        <f>-5978</f>
        <v>-5978</v>
      </c>
      <c r="K32" s="190">
        <v>-5000</v>
      </c>
      <c r="L32" s="155"/>
      <c r="M32" s="197"/>
    </row>
    <row r="33" spans="1:14" x14ac:dyDescent="0.3">
      <c r="A33" s="7" t="s">
        <v>47</v>
      </c>
      <c r="B33" s="39">
        <f>SUM(B17:B32)</f>
        <v>-218877</v>
      </c>
      <c r="C33" s="39">
        <f t="shared" ref="C33:H33" si="1">SUM(C17:C32)</f>
        <v>-258934</v>
      </c>
      <c r="D33" s="39">
        <f t="shared" si="1"/>
        <v>-187844</v>
      </c>
      <c r="E33" s="39">
        <f t="shared" si="1"/>
        <v>-247088.42</v>
      </c>
      <c r="F33" s="39">
        <f t="shared" si="1"/>
        <v>-325572.77</v>
      </c>
      <c r="G33" s="39">
        <f t="shared" si="1"/>
        <v>-457445</v>
      </c>
      <c r="H33" s="39">
        <f t="shared" si="1"/>
        <v>-467066</v>
      </c>
      <c r="I33" s="11">
        <f>SUM(I17:I32)</f>
        <v>-618159</v>
      </c>
      <c r="J33" s="116">
        <f>SUM(J17:J32)</f>
        <v>-618159</v>
      </c>
      <c r="K33" s="191">
        <f>SUM(K17:K32)</f>
        <v>-469100</v>
      </c>
      <c r="L33" s="205"/>
      <c r="M33" s="206"/>
    </row>
    <row r="34" spans="1:14" x14ac:dyDescent="0.3">
      <c r="A34" s="7"/>
      <c r="B34" s="41"/>
      <c r="C34" s="41"/>
      <c r="D34" s="41"/>
      <c r="E34" s="39"/>
      <c r="F34" s="39"/>
      <c r="G34" s="39"/>
      <c r="H34" s="39"/>
      <c r="I34" s="113"/>
      <c r="J34" s="117"/>
      <c r="K34" s="191"/>
      <c r="L34" s="158"/>
      <c r="M34" s="207"/>
    </row>
    <row r="35" spans="1:14" s="13" customFormat="1" ht="38.25" customHeight="1" x14ac:dyDescent="0.3">
      <c r="A35" s="7" t="s">
        <v>48</v>
      </c>
      <c r="B35" s="39">
        <f t="shared" ref="B35:J35" si="2">+B33+B14</f>
        <v>-27148</v>
      </c>
      <c r="C35" s="39">
        <f t="shared" si="2"/>
        <v>86552</v>
      </c>
      <c r="D35" s="39">
        <f t="shared" si="2"/>
        <v>32263</v>
      </c>
      <c r="E35" s="39">
        <f t="shared" si="2"/>
        <v>-7480.1300000000338</v>
      </c>
      <c r="F35" s="39">
        <f t="shared" si="2"/>
        <v>-25959.489999999991</v>
      </c>
      <c r="G35" s="39">
        <f t="shared" si="2"/>
        <v>-167525</v>
      </c>
      <c r="H35" s="39">
        <f t="shared" si="2"/>
        <v>13685</v>
      </c>
      <c r="I35" s="11">
        <f t="shared" si="2"/>
        <v>10177</v>
      </c>
      <c r="J35" s="116">
        <f t="shared" si="2"/>
        <v>10177</v>
      </c>
      <c r="K35" s="191">
        <f>K14+K33</f>
        <v>1000</v>
      </c>
      <c r="L35" s="158"/>
      <c r="M35" s="207"/>
    </row>
    <row r="36" spans="1:14" s="13" customFormat="1" x14ac:dyDescent="0.3">
      <c r="A36" s="7"/>
      <c r="B36" s="41"/>
      <c r="C36" s="41"/>
      <c r="D36" s="41"/>
      <c r="E36" s="39"/>
      <c r="F36" s="39"/>
      <c r="G36" s="39"/>
      <c r="H36" s="39"/>
      <c r="I36" s="11"/>
      <c r="J36" s="116"/>
      <c r="K36" s="191"/>
      <c r="L36" s="158"/>
      <c r="M36" s="207"/>
    </row>
    <row r="37" spans="1:14" s="13" customFormat="1" x14ac:dyDescent="0.3">
      <c r="A37" s="7" t="s">
        <v>1530</v>
      </c>
      <c r="B37" s="39">
        <v>-10000</v>
      </c>
      <c r="C37" s="39">
        <v>-10000</v>
      </c>
      <c r="D37" s="39">
        <v>-10000</v>
      </c>
      <c r="E37" s="39">
        <v>-10000</v>
      </c>
      <c r="F37" s="39">
        <v>-10000</v>
      </c>
      <c r="G37" s="39">
        <v>-14449</v>
      </c>
      <c r="H37" s="39">
        <v>0</v>
      </c>
      <c r="I37" s="11">
        <v>0</v>
      </c>
      <c r="J37" s="116">
        <v>0</v>
      </c>
      <c r="K37" s="191">
        <v>0</v>
      </c>
      <c r="L37" s="155"/>
      <c r="M37" s="206"/>
    </row>
    <row r="38" spans="1:14" s="13" customFormat="1" ht="16.2" thickBot="1" x14ac:dyDescent="0.35">
      <c r="A38" s="7"/>
      <c r="B38" s="41"/>
      <c r="C38" s="41"/>
      <c r="D38" s="41"/>
      <c r="E38" s="39"/>
      <c r="F38" s="39"/>
      <c r="G38" s="39"/>
      <c r="H38" s="39"/>
      <c r="I38" s="11"/>
      <c r="J38" s="116"/>
      <c r="K38" s="210"/>
      <c r="L38" s="205"/>
      <c r="M38" s="206"/>
    </row>
    <row r="39" spans="1:14" s="13" customFormat="1" ht="16.2" thickBot="1" x14ac:dyDescent="0.35">
      <c r="A39" s="7" t="s">
        <v>88</v>
      </c>
      <c r="B39" s="39">
        <f t="shared" ref="B39:J39" si="3">+B37+B35</f>
        <v>-37148</v>
      </c>
      <c r="C39" s="39">
        <f t="shared" si="3"/>
        <v>76552</v>
      </c>
      <c r="D39" s="39">
        <f t="shared" si="3"/>
        <v>22263</v>
      </c>
      <c r="E39" s="39">
        <f t="shared" si="3"/>
        <v>-17480.130000000034</v>
      </c>
      <c r="F39" s="39">
        <f t="shared" si="3"/>
        <v>-35959.489999999991</v>
      </c>
      <c r="G39" s="39">
        <f t="shared" si="3"/>
        <v>-181974</v>
      </c>
      <c r="H39" s="39">
        <f t="shared" si="3"/>
        <v>13685</v>
      </c>
      <c r="I39" s="154">
        <f t="shared" si="3"/>
        <v>10177</v>
      </c>
      <c r="J39" s="33">
        <f t="shared" si="3"/>
        <v>10177</v>
      </c>
      <c r="K39" s="192">
        <f>+K37+K35</f>
        <v>1000</v>
      </c>
      <c r="L39" s="155"/>
      <c r="M39" s="208"/>
    </row>
    <row r="40" spans="1:14" s="13" customFormat="1" x14ac:dyDescent="0.3">
      <c r="A40" s="4"/>
      <c r="B40" s="4"/>
      <c r="C40" s="4"/>
      <c r="D40" s="4"/>
      <c r="E40" s="4"/>
      <c r="F40" s="4"/>
      <c r="G40" s="4"/>
      <c r="H40" s="4"/>
      <c r="J40" s="58"/>
      <c r="K40" s="58"/>
      <c r="L40" s="196"/>
      <c r="M40" s="155"/>
    </row>
    <row r="42" spans="1:14" x14ac:dyDescent="0.3">
      <c r="J42" s="99"/>
    </row>
    <row r="43" spans="1:14" x14ac:dyDescent="0.3">
      <c r="J43" s="222"/>
    </row>
    <row r="44" spans="1:14" x14ac:dyDescent="0.3">
      <c r="J44" s="207"/>
    </row>
    <row r="45" spans="1:14" x14ac:dyDescent="0.3">
      <c r="J45" s="222"/>
    </row>
    <row r="46" spans="1:14" s="4" customFormat="1" x14ac:dyDescent="0.3">
      <c r="J46" s="99"/>
      <c r="L46" s="196"/>
      <c r="M46" s="155"/>
      <c r="N46" s="1"/>
    </row>
    <row r="47" spans="1:14" s="4" customFormat="1" x14ac:dyDescent="0.3">
      <c r="J47" s="99"/>
      <c r="L47" s="196"/>
      <c r="M47" s="155"/>
      <c r="N47" s="1"/>
    </row>
    <row r="48" spans="1:14" s="4" customFormat="1" x14ac:dyDescent="0.3">
      <c r="J48" s="99"/>
      <c r="L48" s="196"/>
      <c r="M48" s="155"/>
      <c r="N48" s="1"/>
    </row>
    <row r="49" spans="10:14" s="4" customFormat="1" x14ac:dyDescent="0.3">
      <c r="J49" s="99"/>
      <c r="L49" s="196"/>
      <c r="M49" s="155"/>
      <c r="N49" s="1"/>
    </row>
    <row r="50" spans="10:14" x14ac:dyDescent="0.3">
      <c r="J50" s="99"/>
    </row>
    <row r="51" spans="10:14" x14ac:dyDescent="0.3">
      <c r="J51" s="223"/>
    </row>
  </sheetData>
  <mergeCells count="1">
    <mergeCell ref="E1:G1"/>
  </mergeCells>
  <pageMargins left="0.7" right="0.7" top="0.75" bottom="0.75" header="0.3" footer="0.3"/>
  <pageSetup paperSize="9" scale="66" orientation="landscape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9" tint="-0.249977111117893"/>
    <pageSetUpPr fitToPage="1"/>
  </sheetPr>
  <dimension ref="A1:N51"/>
  <sheetViews>
    <sheetView zoomScaleNormal="100" workbookViewId="0">
      <pane xSplit="1" ySplit="3" topLeftCell="E4" activePane="bottomRight" state="frozen"/>
      <selection pane="topRight" activeCell="B1" sqref="B1"/>
      <selection pane="bottomLeft" activeCell="A4" sqref="A4"/>
      <selection pane="bottomRight" activeCell="I4" sqref="I4"/>
    </sheetView>
  </sheetViews>
  <sheetFormatPr defaultColWidth="9.109375" defaultRowHeight="15.6" x14ac:dyDescent="0.3"/>
  <cols>
    <col min="1" max="1" width="30.6640625" style="4" bestFit="1" customWidth="1"/>
    <col min="2" max="4" width="14.33203125" style="4" hidden="1" customWidth="1"/>
    <col min="5" max="8" width="14.33203125" style="4" customWidth="1"/>
    <col min="9" max="9" width="16.44140625" style="1" customWidth="1"/>
    <col min="10" max="11" width="18.5546875" style="1" bestFit="1" customWidth="1"/>
    <col min="12" max="12" width="27" style="196" customWidth="1"/>
    <col min="13" max="13" width="12" style="155" customWidth="1"/>
    <col min="14" max="16384" width="9.109375" style="1"/>
  </cols>
  <sheetData>
    <row r="1" spans="1:13" ht="31.8" thickBot="1" x14ac:dyDescent="0.65">
      <c r="A1" s="211" t="s">
        <v>486</v>
      </c>
      <c r="C1" s="224"/>
      <c r="D1" s="224"/>
      <c r="E1" s="295" t="s">
        <v>487</v>
      </c>
      <c r="F1" s="295"/>
      <c r="G1" s="295"/>
    </row>
    <row r="2" spans="1:13" ht="16.2" thickBot="1" x14ac:dyDescent="0.35"/>
    <row r="3" spans="1:13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43" t="s">
        <v>1351</v>
      </c>
      <c r="J3" s="57" t="s">
        <v>809</v>
      </c>
      <c r="K3" s="44" t="s">
        <v>1345</v>
      </c>
      <c r="L3" s="156"/>
      <c r="M3" s="156"/>
    </row>
    <row r="4" spans="1:13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110">
        <v>42329</v>
      </c>
      <c r="J4" s="110">
        <v>42369</v>
      </c>
      <c r="K4" s="209"/>
      <c r="L4" s="156"/>
      <c r="M4" s="156"/>
    </row>
    <row r="5" spans="1:13" ht="16.2" thickBot="1" x14ac:dyDescent="0.35">
      <c r="A5" s="32" t="s">
        <v>19</v>
      </c>
      <c r="B5" s="10"/>
      <c r="C5" s="7"/>
      <c r="D5" s="7"/>
      <c r="I5" s="111"/>
      <c r="J5" s="111"/>
      <c r="K5" s="8"/>
      <c r="L5" s="155"/>
    </row>
    <row r="6" spans="1:13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9">
        <f>76912+88164+36549+7702</f>
        <v>209327</v>
      </c>
      <c r="J6" s="115">
        <v>209327</v>
      </c>
      <c r="K6" s="190">
        <v>115000</v>
      </c>
      <c r="L6" s="217" t="s">
        <v>1525</v>
      </c>
    </row>
    <row r="7" spans="1:13" ht="41.4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9">
        <f>5600+33600+12000+4900+11200+400+400+7500+6600+1600+5600+1600+400+600+2700+200+100</f>
        <v>95000</v>
      </c>
      <c r="J7" s="115">
        <v>110000</v>
      </c>
      <c r="K7" s="190">
        <v>110000</v>
      </c>
      <c r="L7" s="189" t="s">
        <v>1566</v>
      </c>
    </row>
    <row r="8" spans="1:13" x14ac:dyDescent="0.3">
      <c r="A8" s="4" t="s">
        <v>1488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9">
        <f>10000+10000+1000+300+10000+1500+10000+1660+2000+6200+725+8200+180+492+35+55+9190+485+982+7560+1621+500+610+16073</f>
        <v>99368</v>
      </c>
      <c r="J8" s="115">
        <v>83295</v>
      </c>
      <c r="K8" s="190">
        <v>70000</v>
      </c>
      <c r="L8" s="155"/>
    </row>
    <row r="9" spans="1:13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9">
        <f>20000+5080+5080+3000</f>
        <v>33160</v>
      </c>
      <c r="J9" s="115">
        <v>33160</v>
      </c>
      <c r="K9" s="190">
        <v>40000</v>
      </c>
      <c r="L9" s="217" t="s">
        <v>1546</v>
      </c>
    </row>
    <row r="10" spans="1:13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9">
        <f>14300+22500+19478</f>
        <v>56278</v>
      </c>
      <c r="J10" s="115">
        <v>56278</v>
      </c>
      <c r="K10" s="190">
        <v>30000</v>
      </c>
      <c r="L10" s="155"/>
    </row>
    <row r="11" spans="1:13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9">
        <f>99500</f>
        <v>99500</v>
      </c>
      <c r="J11" s="115">
        <v>99500</v>
      </c>
      <c r="K11" s="190">
        <v>90000</v>
      </c>
      <c r="L11" s="155"/>
    </row>
    <row r="12" spans="1:13" x14ac:dyDescent="0.3">
      <c r="A12" s="4" t="s">
        <v>27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1824.88</v>
      </c>
      <c r="G12" s="38">
        <v>514</v>
      </c>
      <c r="H12" s="38">
        <v>101</v>
      </c>
      <c r="I12" s="9">
        <v>0</v>
      </c>
      <c r="J12" s="115">
        <v>100</v>
      </c>
      <c r="K12" s="190">
        <v>100</v>
      </c>
      <c r="L12" s="155"/>
    </row>
    <row r="13" spans="1:13" x14ac:dyDescent="0.3">
      <c r="A13" s="4" t="s">
        <v>490</v>
      </c>
      <c r="B13" s="38">
        <f>3455+2000</f>
        <v>5455</v>
      </c>
      <c r="C13" s="38">
        <f>400+10000+12000</f>
        <v>22400</v>
      </c>
      <c r="D13" s="38">
        <v>4112</v>
      </c>
      <c r="E13" s="38">
        <f>4135+5600</f>
        <v>9735</v>
      </c>
      <c r="F13" s="38">
        <f>1987+4050</f>
        <v>6037</v>
      </c>
      <c r="G13" s="38">
        <v>1630</v>
      </c>
      <c r="H13" s="38">
        <v>16554</v>
      </c>
      <c r="I13" s="9">
        <f>28269-19125+4390</f>
        <v>13534</v>
      </c>
      <c r="J13" s="115">
        <v>13534</v>
      </c>
      <c r="K13" s="190">
        <v>15000</v>
      </c>
      <c r="L13" s="155"/>
    </row>
    <row r="14" spans="1:13" x14ac:dyDescent="0.3">
      <c r="A14" s="7" t="s">
        <v>29</v>
      </c>
      <c r="B14" s="39">
        <f t="shared" ref="B14:K14" si="0">SUM(B6:B13)</f>
        <v>191729</v>
      </c>
      <c r="C14" s="39">
        <f t="shared" si="0"/>
        <v>345486</v>
      </c>
      <c r="D14" s="39">
        <f t="shared" si="0"/>
        <v>220107</v>
      </c>
      <c r="E14" s="39">
        <f t="shared" si="0"/>
        <v>239608.28999999998</v>
      </c>
      <c r="F14" s="39">
        <f t="shared" si="0"/>
        <v>299613.28000000003</v>
      </c>
      <c r="G14" s="39">
        <f t="shared" si="0"/>
        <v>289920</v>
      </c>
      <c r="H14" s="39">
        <f t="shared" si="0"/>
        <v>480751</v>
      </c>
      <c r="I14" s="11">
        <f t="shared" si="0"/>
        <v>606167</v>
      </c>
      <c r="J14" s="116">
        <f t="shared" si="0"/>
        <v>605194</v>
      </c>
      <c r="K14" s="191">
        <f t="shared" si="0"/>
        <v>470100</v>
      </c>
      <c r="L14" s="155"/>
    </row>
    <row r="15" spans="1:13" ht="16.2" thickBot="1" x14ac:dyDescent="0.35">
      <c r="B15" s="38"/>
      <c r="C15" s="40"/>
      <c r="D15" s="40"/>
      <c r="E15" s="38"/>
      <c r="F15" s="40"/>
      <c r="G15" s="40"/>
      <c r="H15" s="40"/>
      <c r="I15" s="111"/>
      <c r="J15" s="117"/>
      <c r="K15" s="190"/>
      <c r="L15" s="155"/>
    </row>
    <row r="16" spans="1:13" s="13" customFormat="1" ht="16.2" thickBot="1" x14ac:dyDescent="0.35">
      <c r="A16" s="32" t="s">
        <v>30</v>
      </c>
      <c r="B16" s="38"/>
      <c r="C16" s="41"/>
      <c r="D16" s="41"/>
      <c r="E16" s="38"/>
      <c r="F16" s="41"/>
      <c r="G16" s="41"/>
      <c r="H16" s="41"/>
      <c r="I16" s="112"/>
      <c r="J16" s="118"/>
      <c r="K16" s="190"/>
      <c r="L16" s="159"/>
      <c r="M16" s="159"/>
    </row>
    <row r="17" spans="1:14" x14ac:dyDescent="0.3">
      <c r="A17" s="4" t="s">
        <v>45</v>
      </c>
      <c r="B17" s="38">
        <v>-32646</v>
      </c>
      <c r="C17" s="38">
        <v>-42437</v>
      </c>
      <c r="D17" s="38">
        <v>-26923</v>
      </c>
      <c r="E17" s="38">
        <v>-32572</v>
      </c>
      <c r="F17" s="38">
        <v>-50743</v>
      </c>
      <c r="G17" s="38">
        <v>-52811</v>
      </c>
      <c r="H17" s="38">
        <v>-126816</v>
      </c>
      <c r="I17" s="9">
        <f>-953-23023-1120-3576-498-29220-3576-3576-48894</f>
        <v>-114436</v>
      </c>
      <c r="J17" s="115">
        <v>-114436</v>
      </c>
      <c r="K17" s="190">
        <v>-90000</v>
      </c>
      <c r="L17" s="155"/>
      <c r="M17" s="197"/>
      <c r="N17" s="55"/>
    </row>
    <row r="18" spans="1:14" ht="24.6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9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</f>
        <v>-126864</v>
      </c>
      <c r="J18" s="115">
        <v>-130000</v>
      </c>
      <c r="K18" s="190">
        <v>-100000</v>
      </c>
      <c r="L18" s="157" t="s">
        <v>1567</v>
      </c>
      <c r="M18" s="197"/>
    </row>
    <row r="19" spans="1:14" ht="24.6" x14ac:dyDescent="0.3">
      <c r="A19" s="4" t="s">
        <v>508</v>
      </c>
      <c r="B19" s="38">
        <v>-11755</v>
      </c>
      <c r="C19" s="38">
        <v>-20024</v>
      </c>
      <c r="D19" s="38">
        <v>-13297</v>
      </c>
      <c r="E19" s="38">
        <v>-14853.42</v>
      </c>
      <c r="F19" s="38">
        <v>-18717</v>
      </c>
      <c r="G19" s="38">
        <v>-4027</v>
      </c>
      <c r="H19" s="38">
        <v>-20624</v>
      </c>
      <c r="I19" s="9">
        <f>-3208-5440+2557-5729-1907+1985-874-1767-2130-3432-789-9120-114-867-1407-1435-38-5807-8282</f>
        <v>-47804</v>
      </c>
      <c r="J19" s="115">
        <v>-47804</v>
      </c>
      <c r="K19" s="190">
        <v>-15000</v>
      </c>
      <c r="L19" s="157" t="s">
        <v>1569</v>
      </c>
      <c r="M19" s="197"/>
    </row>
    <row r="20" spans="1:14" x14ac:dyDescent="0.3">
      <c r="A20" s="4" t="s">
        <v>38</v>
      </c>
      <c r="B20" s="38">
        <v>-4800</v>
      </c>
      <c r="C20" s="38">
        <v>-3398</v>
      </c>
      <c r="D20" s="38">
        <v>0</v>
      </c>
      <c r="E20" s="38">
        <v>-7138</v>
      </c>
      <c r="F20" s="38">
        <v>-3450</v>
      </c>
      <c r="G20" s="38">
        <v>-8100</v>
      </c>
      <c r="H20" s="38">
        <v>-6790</v>
      </c>
      <c r="I20" s="9">
        <f>-2940-7000-2500-2800-185+23111-23111-31150</f>
        <v>-46575</v>
      </c>
      <c r="J20" s="115">
        <v>-50000</v>
      </c>
      <c r="K20" s="190">
        <v>-30000</v>
      </c>
      <c r="L20" s="155"/>
      <c r="M20" s="197"/>
    </row>
    <row r="21" spans="1:14" x14ac:dyDescent="0.3">
      <c r="A21" s="4" t="s">
        <v>35</v>
      </c>
      <c r="B21" s="38">
        <v>0</v>
      </c>
      <c r="C21" s="38">
        <v>-1700</v>
      </c>
      <c r="D21" s="38">
        <v>0</v>
      </c>
      <c r="E21" s="38">
        <v>-3400</v>
      </c>
      <c r="F21" s="38">
        <v>-3900</v>
      </c>
      <c r="G21" s="38">
        <v>-4550</v>
      </c>
      <c r="H21" s="38">
        <v>-7520</v>
      </c>
      <c r="I21" s="9">
        <f>-4500-4000-682-4000</f>
        <v>-13182</v>
      </c>
      <c r="J21" s="115">
        <v>-15000</v>
      </c>
      <c r="K21" s="190">
        <v>-10000</v>
      </c>
      <c r="L21" s="155"/>
      <c r="M21" s="197"/>
    </row>
    <row r="22" spans="1:14" ht="28.8" x14ac:dyDescent="0.3">
      <c r="A22" s="4" t="s">
        <v>39</v>
      </c>
      <c r="B22" s="38">
        <v>-18016</v>
      </c>
      <c r="C22" s="38">
        <v>-18105</v>
      </c>
      <c r="D22" s="38">
        <v>-14387</v>
      </c>
      <c r="E22" s="38">
        <v>-7915</v>
      </c>
      <c r="F22" s="38">
        <v>-13828</v>
      </c>
      <c r="G22" s="38">
        <v>-24118</v>
      </c>
      <c r="H22" s="38">
        <v>-30770</v>
      </c>
      <c r="I22" s="9">
        <f>-248-600-1005-330-490-780-330-330-390-680-540-540-760-390-390-390-150-390-420-390-310-928-675-680-540-525-570-390-390-390-300-390-250-525-390-390-390-630-785-540-315-760-540-735-1115-390-760-390-760-760-755-1200-390-240-390-525-210-16073</f>
        <v>-45839</v>
      </c>
      <c r="J22" s="115">
        <v>-35000</v>
      </c>
      <c r="K22" s="190">
        <v>-35000</v>
      </c>
      <c r="L22" s="158" t="s">
        <v>1352</v>
      </c>
      <c r="M22" s="197"/>
    </row>
    <row r="23" spans="1:14" x14ac:dyDescent="0.3">
      <c r="A23" s="4" t="s">
        <v>40</v>
      </c>
      <c r="B23" s="38">
        <v>0</v>
      </c>
      <c r="C23" s="38">
        <v>-850</v>
      </c>
      <c r="D23" s="38">
        <v>-625</v>
      </c>
      <c r="E23" s="38">
        <v>-8200</v>
      </c>
      <c r="F23" s="38">
        <v>0</v>
      </c>
      <c r="G23" s="38">
        <v>0</v>
      </c>
      <c r="H23" s="38">
        <v>-2100</v>
      </c>
      <c r="I23" s="9">
        <f>-3950</f>
        <v>-3950</v>
      </c>
      <c r="J23" s="115">
        <v>-3950</v>
      </c>
      <c r="K23" s="190">
        <v>-2000</v>
      </c>
      <c r="L23" s="155"/>
      <c r="M23" s="197"/>
    </row>
    <row r="24" spans="1:14" x14ac:dyDescent="0.3">
      <c r="A24" s="4" t="s">
        <v>36</v>
      </c>
      <c r="B24" s="38">
        <v>-5000</v>
      </c>
      <c r="C24" s="38">
        <v>-350</v>
      </c>
      <c r="D24" s="38">
        <v>0</v>
      </c>
      <c r="E24" s="38">
        <v>-3550</v>
      </c>
      <c r="F24" s="38">
        <v>-10190</v>
      </c>
      <c r="G24" s="38">
        <v>-27295</v>
      </c>
      <c r="H24" s="38">
        <v>-13550</v>
      </c>
      <c r="I24" s="9">
        <f>-1400-1400-2700-3000-1500-1200-1400-1000-1200-1300-1500-800</f>
        <v>-18400</v>
      </c>
      <c r="J24" s="115">
        <v>-20000</v>
      </c>
      <c r="K24" s="190">
        <v>-25000</v>
      </c>
      <c r="L24" s="157"/>
      <c r="M24" s="197"/>
    </row>
    <row r="25" spans="1:14" ht="36.6" x14ac:dyDescent="0.3">
      <c r="A25" s="4" t="s">
        <v>154</v>
      </c>
      <c r="B25" s="38">
        <v>-19050</v>
      </c>
      <c r="C25" s="38">
        <f>-13250-1750</f>
        <v>-15000</v>
      </c>
      <c r="D25" s="38">
        <v>-19650</v>
      </c>
      <c r="E25" s="38">
        <v>-15750</v>
      </c>
      <c r="F25" s="38">
        <v>-21750</v>
      </c>
      <c r="G25" s="38">
        <v>-30300</v>
      </c>
      <c r="H25" s="38">
        <v>-23520</v>
      </c>
      <c r="I25" s="9">
        <f>950+4008-3900-500-15200+1000-500-1000-2000+1000-250-7000</f>
        <v>-23392</v>
      </c>
      <c r="J25" s="115">
        <v>-23392</v>
      </c>
      <c r="K25" s="190">
        <v>-25000</v>
      </c>
      <c r="L25" s="157" t="s">
        <v>1565</v>
      </c>
      <c r="M25" s="197"/>
    </row>
    <row r="26" spans="1:14" x14ac:dyDescent="0.3">
      <c r="A26" s="4" t="s">
        <v>43</v>
      </c>
      <c r="B26" s="38">
        <v>-14470</v>
      </c>
      <c r="C26" s="38">
        <v>-10300</v>
      </c>
      <c r="D26" s="38">
        <v>-4860</v>
      </c>
      <c r="E26" s="38">
        <v>0</v>
      </c>
      <c r="F26" s="38">
        <v>-18405</v>
      </c>
      <c r="G26" s="38">
        <v>-10950</v>
      </c>
      <c r="H26" s="38">
        <v>-9515</v>
      </c>
      <c r="I26" s="9">
        <f>-300-8900+850</f>
        <v>-8350</v>
      </c>
      <c r="J26" s="115">
        <v>-13000</v>
      </c>
      <c r="K26" s="190">
        <v>-10000</v>
      </c>
      <c r="L26" s="155"/>
      <c r="M26" s="197"/>
    </row>
    <row r="27" spans="1:14" x14ac:dyDescent="0.3">
      <c r="A27" s="4" t="s">
        <v>44</v>
      </c>
      <c r="B27" s="38">
        <v>-25000</v>
      </c>
      <c r="C27" s="38">
        <v>-15000</v>
      </c>
      <c r="D27" s="38">
        <v>-17500</v>
      </c>
      <c r="E27" s="38">
        <v>-30416</v>
      </c>
      <c r="F27" s="38">
        <v>-16000</v>
      </c>
      <c r="G27" s="38">
        <v>-34000</v>
      </c>
      <c r="H27" s="38">
        <v>-27000</v>
      </c>
      <c r="I27" s="9">
        <v>0</v>
      </c>
      <c r="J27" s="115">
        <v>-25000</v>
      </c>
      <c r="K27" s="190">
        <v>-30000</v>
      </c>
      <c r="L27" s="158" t="s">
        <v>1342</v>
      </c>
      <c r="M27" s="197"/>
    </row>
    <row r="28" spans="1:14" x14ac:dyDescent="0.3">
      <c r="A28" s="4" t="s">
        <v>56</v>
      </c>
      <c r="B28" s="38">
        <v>-4459</v>
      </c>
      <c r="C28" s="38">
        <v>-12173</v>
      </c>
      <c r="D28" s="38">
        <v>0</v>
      </c>
      <c r="E28" s="38">
        <v>-180</v>
      </c>
      <c r="F28" s="38">
        <v>-1887</v>
      </c>
      <c r="G28" s="38">
        <v>0</v>
      </c>
      <c r="H28" s="38">
        <v>0</v>
      </c>
      <c r="I28" s="9">
        <v>0</v>
      </c>
      <c r="J28" s="115">
        <v>0</v>
      </c>
      <c r="K28" s="190">
        <v>0</v>
      </c>
      <c r="L28" s="155"/>
    </row>
    <row r="29" spans="1:14" x14ac:dyDescent="0.3">
      <c r="A29" s="4" t="s">
        <v>32</v>
      </c>
      <c r="B29" s="38">
        <f>-2650-3100-1600</f>
        <v>-7350</v>
      </c>
      <c r="C29" s="38">
        <f>-250-2500-1842</f>
        <v>-4592</v>
      </c>
      <c r="D29" s="38">
        <f>-250-4500-1899</f>
        <v>-6649</v>
      </c>
      <c r="E29" s="38">
        <v>-6338</v>
      </c>
      <c r="F29" s="38">
        <v>-6643</v>
      </c>
      <c r="G29" s="38">
        <v>-3530</v>
      </c>
      <c r="H29" s="38">
        <v>-1024</v>
      </c>
      <c r="I29" s="9">
        <f>-774-250</f>
        <v>-1024</v>
      </c>
      <c r="J29" s="115">
        <v>-2000</v>
      </c>
      <c r="K29" s="190">
        <v>-2000</v>
      </c>
      <c r="L29" s="155"/>
    </row>
    <row r="30" spans="1:14" x14ac:dyDescent="0.3">
      <c r="A30" s="4" t="s">
        <v>491</v>
      </c>
      <c r="B30" s="38">
        <v>0</v>
      </c>
      <c r="C30" s="38">
        <f>-75994-6425</f>
        <v>-82419</v>
      </c>
      <c r="D30" s="38">
        <f>-29362-12800</f>
        <v>-42162</v>
      </c>
      <c r="E30" s="38">
        <v>0</v>
      </c>
      <c r="F30" s="38">
        <v>0</v>
      </c>
      <c r="G30" s="38">
        <v>-102305</v>
      </c>
      <c r="H30" s="38">
        <v>-94393</v>
      </c>
      <c r="I30" s="9">
        <f>-1824-(23*800)-34400-1130-45448</f>
        <v>-101202</v>
      </c>
      <c r="J30" s="115">
        <v>-101202</v>
      </c>
      <c r="K30" s="190">
        <v>-90000</v>
      </c>
      <c r="L30" s="155"/>
      <c r="M30" s="197"/>
    </row>
    <row r="31" spans="1:14" x14ac:dyDescent="0.3">
      <c r="A31" s="4" t="s">
        <v>33</v>
      </c>
      <c r="B31" s="38">
        <v>0</v>
      </c>
      <c r="C31" s="38">
        <v>0</v>
      </c>
      <c r="D31" s="38">
        <v>0</v>
      </c>
      <c r="E31" s="38">
        <v>-741</v>
      </c>
      <c r="F31" s="38">
        <v>-547</v>
      </c>
      <c r="G31" s="38">
        <v>-154</v>
      </c>
      <c r="H31" s="38">
        <v>-510</v>
      </c>
      <c r="I31" s="9">
        <v>0</v>
      </c>
      <c r="J31" s="115">
        <v>-100</v>
      </c>
      <c r="K31" s="190">
        <v>-100</v>
      </c>
      <c r="L31" s="155"/>
      <c r="M31" s="197"/>
    </row>
    <row r="32" spans="1:14" x14ac:dyDescent="0.3">
      <c r="A32" s="4" t="s">
        <v>493</v>
      </c>
      <c r="B32" s="38">
        <f>-635-7900</f>
        <v>-8535</v>
      </c>
      <c r="C32" s="38">
        <f>-1500-935-3800-2859-81</f>
        <v>-9175</v>
      </c>
      <c r="D32" s="38">
        <f>-755-1100</f>
        <v>-1855</v>
      </c>
      <c r="E32" s="38">
        <f>-2424-5850</f>
        <v>-8274</v>
      </c>
      <c r="F32" s="38">
        <v>-4637.7700000000004</v>
      </c>
      <c r="G32" s="38">
        <f>-2261-14329</f>
        <v>-16590</v>
      </c>
      <c r="H32" s="38">
        <v>-8129</v>
      </c>
      <c r="I32" s="9">
        <f>-469-740+140+140-4815</f>
        <v>-5744</v>
      </c>
      <c r="J32" s="115">
        <f>-5774</f>
        <v>-5774</v>
      </c>
      <c r="K32" s="190">
        <v>-5000</v>
      </c>
      <c r="L32" s="155"/>
      <c r="M32" s="197"/>
    </row>
    <row r="33" spans="1:14" x14ac:dyDescent="0.3">
      <c r="A33" s="7" t="s">
        <v>47</v>
      </c>
      <c r="B33" s="39">
        <f>SUM(B17:B32)</f>
        <v>-218877</v>
      </c>
      <c r="C33" s="39">
        <f t="shared" ref="C33:H33" si="1">SUM(C17:C32)</f>
        <v>-258934</v>
      </c>
      <c r="D33" s="39">
        <f t="shared" si="1"/>
        <v>-187844</v>
      </c>
      <c r="E33" s="39">
        <f t="shared" si="1"/>
        <v>-247088.42</v>
      </c>
      <c r="F33" s="39">
        <f t="shared" si="1"/>
        <v>-325572.77</v>
      </c>
      <c r="G33" s="39">
        <f t="shared" si="1"/>
        <v>-457445</v>
      </c>
      <c r="H33" s="39">
        <f t="shared" si="1"/>
        <v>-467066</v>
      </c>
      <c r="I33" s="11">
        <f>SUM(I17:I32)</f>
        <v>-556762</v>
      </c>
      <c r="J33" s="116">
        <f>SUM(J17:J32)</f>
        <v>-586658</v>
      </c>
      <c r="K33" s="191">
        <f>SUM(K17:K32)</f>
        <v>-469100</v>
      </c>
      <c r="L33" s="205"/>
      <c r="M33" s="206"/>
    </row>
    <row r="34" spans="1:14" x14ac:dyDescent="0.3">
      <c r="A34" s="7"/>
      <c r="B34" s="41"/>
      <c r="C34" s="41"/>
      <c r="D34" s="41"/>
      <c r="E34" s="39"/>
      <c r="F34" s="39"/>
      <c r="G34" s="39"/>
      <c r="H34" s="39"/>
      <c r="I34" s="113"/>
      <c r="J34" s="117"/>
      <c r="K34" s="191"/>
      <c r="L34" s="158"/>
      <c r="M34" s="207"/>
    </row>
    <row r="35" spans="1:14" s="13" customFormat="1" ht="38.25" customHeight="1" x14ac:dyDescent="0.3">
      <c r="A35" s="7" t="s">
        <v>48</v>
      </c>
      <c r="B35" s="39">
        <f t="shared" ref="B35:J35" si="2">+B33+B14</f>
        <v>-27148</v>
      </c>
      <c r="C35" s="39">
        <f t="shared" si="2"/>
        <v>86552</v>
      </c>
      <c r="D35" s="39">
        <f t="shared" si="2"/>
        <v>32263</v>
      </c>
      <c r="E35" s="39">
        <f t="shared" si="2"/>
        <v>-7480.1300000000338</v>
      </c>
      <c r="F35" s="39">
        <f t="shared" si="2"/>
        <v>-25959.489999999991</v>
      </c>
      <c r="G35" s="39">
        <f t="shared" si="2"/>
        <v>-167525</v>
      </c>
      <c r="H35" s="39">
        <f t="shared" si="2"/>
        <v>13685</v>
      </c>
      <c r="I35" s="11">
        <f t="shared" si="2"/>
        <v>49405</v>
      </c>
      <c r="J35" s="116">
        <f t="shared" si="2"/>
        <v>18536</v>
      </c>
      <c r="K35" s="191">
        <f>K14+K33</f>
        <v>1000</v>
      </c>
      <c r="L35" s="158"/>
      <c r="M35" s="207"/>
    </row>
    <row r="36" spans="1:14" s="13" customFormat="1" x14ac:dyDescent="0.3">
      <c r="A36" s="7"/>
      <c r="B36" s="41"/>
      <c r="C36" s="41"/>
      <c r="D36" s="41"/>
      <c r="E36" s="39"/>
      <c r="F36" s="39"/>
      <c r="G36" s="39"/>
      <c r="H36" s="39"/>
      <c r="I36" s="11"/>
      <c r="J36" s="116"/>
      <c r="K36" s="191"/>
      <c r="L36" s="158"/>
      <c r="M36" s="207"/>
    </row>
    <row r="37" spans="1:14" s="13" customFormat="1" x14ac:dyDescent="0.3">
      <c r="A37" s="7" t="s">
        <v>1530</v>
      </c>
      <c r="B37" s="39">
        <v>-10000</v>
      </c>
      <c r="C37" s="39">
        <v>-10000</v>
      </c>
      <c r="D37" s="39">
        <v>-10000</v>
      </c>
      <c r="E37" s="39">
        <v>-10000</v>
      </c>
      <c r="F37" s="39">
        <v>-10000</v>
      </c>
      <c r="G37" s="39">
        <v>-14449</v>
      </c>
      <c r="H37" s="39">
        <v>0</v>
      </c>
      <c r="I37" s="11">
        <v>0</v>
      </c>
      <c r="J37" s="116">
        <v>0</v>
      </c>
      <c r="K37" s="191">
        <v>0</v>
      </c>
      <c r="L37" s="155"/>
      <c r="M37" s="206"/>
    </row>
    <row r="38" spans="1:14" s="13" customFormat="1" ht="16.2" thickBot="1" x14ac:dyDescent="0.35">
      <c r="A38" s="7"/>
      <c r="B38" s="41"/>
      <c r="C38" s="41"/>
      <c r="D38" s="41"/>
      <c r="E38" s="39"/>
      <c r="F38" s="39"/>
      <c r="G38" s="39"/>
      <c r="H38" s="39"/>
      <c r="I38" s="11"/>
      <c r="J38" s="116"/>
      <c r="K38" s="210"/>
      <c r="L38" s="205"/>
      <c r="M38" s="206"/>
    </row>
    <row r="39" spans="1:14" s="13" customFormat="1" ht="16.2" thickBot="1" x14ac:dyDescent="0.35">
      <c r="A39" s="7" t="s">
        <v>88</v>
      </c>
      <c r="B39" s="39">
        <f t="shared" ref="B39:J39" si="3">+B37+B35</f>
        <v>-37148</v>
      </c>
      <c r="C39" s="39">
        <f t="shared" si="3"/>
        <v>76552</v>
      </c>
      <c r="D39" s="39">
        <f t="shared" si="3"/>
        <v>22263</v>
      </c>
      <c r="E39" s="39">
        <f t="shared" si="3"/>
        <v>-17480.130000000034</v>
      </c>
      <c r="F39" s="39">
        <f t="shared" si="3"/>
        <v>-35959.489999999991</v>
      </c>
      <c r="G39" s="39">
        <f t="shared" si="3"/>
        <v>-181974</v>
      </c>
      <c r="H39" s="39">
        <f t="shared" si="3"/>
        <v>13685</v>
      </c>
      <c r="I39" s="154">
        <f t="shared" si="3"/>
        <v>49405</v>
      </c>
      <c r="J39" s="33">
        <f t="shared" si="3"/>
        <v>18536</v>
      </c>
      <c r="K39" s="192">
        <f>+K37+K35</f>
        <v>1000</v>
      </c>
      <c r="L39" s="155"/>
      <c r="M39" s="208"/>
    </row>
    <row r="40" spans="1:14" s="13" customFormat="1" x14ac:dyDescent="0.3">
      <c r="A40" s="4"/>
      <c r="B40" s="4"/>
      <c r="C40" s="4"/>
      <c r="D40" s="4"/>
      <c r="E40" s="4"/>
      <c r="F40" s="4"/>
      <c r="G40" s="4"/>
      <c r="H40" s="4"/>
      <c r="J40" s="58"/>
      <c r="K40" s="58"/>
      <c r="L40" s="196"/>
      <c r="M40" s="155"/>
    </row>
    <row r="42" spans="1:14" x14ac:dyDescent="0.3">
      <c r="J42" s="99"/>
    </row>
    <row r="43" spans="1:14" x14ac:dyDescent="0.3">
      <c r="J43" s="222"/>
    </row>
    <row r="44" spans="1:14" x14ac:dyDescent="0.3">
      <c r="J44" s="207"/>
    </row>
    <row r="45" spans="1:14" x14ac:dyDescent="0.3">
      <c r="J45" s="222"/>
    </row>
    <row r="46" spans="1:14" s="4" customFormat="1" x14ac:dyDescent="0.3">
      <c r="J46" s="99"/>
      <c r="L46" s="196"/>
      <c r="M46" s="155"/>
      <c r="N46" s="1"/>
    </row>
    <row r="47" spans="1:14" s="4" customFormat="1" x14ac:dyDescent="0.3">
      <c r="J47" s="99"/>
      <c r="L47" s="196"/>
      <c r="M47" s="155"/>
      <c r="N47" s="1"/>
    </row>
    <row r="48" spans="1:14" s="4" customFormat="1" x14ac:dyDescent="0.3">
      <c r="J48" s="99"/>
      <c r="L48" s="196"/>
      <c r="M48" s="155"/>
      <c r="N48" s="1"/>
    </row>
    <row r="49" spans="10:14" s="4" customFormat="1" x14ac:dyDescent="0.3">
      <c r="J49" s="99"/>
      <c r="L49" s="196"/>
      <c r="M49" s="155"/>
      <c r="N49" s="1"/>
    </row>
    <row r="50" spans="10:14" x14ac:dyDescent="0.3">
      <c r="J50" s="99"/>
    </row>
    <row r="51" spans="10:14" x14ac:dyDescent="0.3">
      <c r="J51" s="223"/>
    </row>
  </sheetData>
  <mergeCells count="1">
    <mergeCell ref="E1:G1"/>
  </mergeCells>
  <pageMargins left="0.7" right="0.7" top="0.75" bottom="0.75" header="0.3" footer="0.3"/>
  <pageSetup paperSize="9" scale="64" orientation="landscape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9" tint="-0.249977111117893"/>
    <pageSetUpPr fitToPage="1"/>
  </sheetPr>
  <dimension ref="A1:N51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bestFit="1" customWidth="1"/>
    <col min="2" max="4" width="14.33203125" style="4" hidden="1" customWidth="1"/>
    <col min="5" max="8" width="14.33203125" style="4" customWidth="1"/>
    <col min="9" max="9" width="16.44140625" style="1" customWidth="1"/>
    <col min="10" max="11" width="18.5546875" style="1" bestFit="1" customWidth="1"/>
    <col min="12" max="12" width="27" style="196" customWidth="1"/>
    <col min="13" max="13" width="12" style="155" customWidth="1"/>
    <col min="14" max="16384" width="9.109375" style="1"/>
  </cols>
  <sheetData>
    <row r="1" spans="1:13" ht="31.8" thickBot="1" x14ac:dyDescent="0.65">
      <c r="A1" s="211" t="s">
        <v>486</v>
      </c>
      <c r="C1" s="224"/>
      <c r="D1" s="224"/>
      <c r="E1" s="295" t="s">
        <v>487</v>
      </c>
      <c r="F1" s="295"/>
      <c r="G1" s="295"/>
    </row>
    <row r="2" spans="1:13" ht="16.2" thickBot="1" x14ac:dyDescent="0.35"/>
    <row r="3" spans="1:13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43" t="s">
        <v>1351</v>
      </c>
      <c r="J3" s="57" t="s">
        <v>809</v>
      </c>
      <c r="K3" s="44" t="s">
        <v>1345</v>
      </c>
      <c r="L3" s="156"/>
      <c r="M3" s="156"/>
    </row>
    <row r="4" spans="1:13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110">
        <v>42294</v>
      </c>
      <c r="J4" s="110">
        <v>42369</v>
      </c>
      <c r="K4" s="209"/>
      <c r="L4" s="156"/>
      <c r="M4" s="156"/>
    </row>
    <row r="5" spans="1:13" ht="16.2" thickBot="1" x14ac:dyDescent="0.35">
      <c r="A5" s="32" t="s">
        <v>19</v>
      </c>
      <c r="B5" s="10"/>
      <c r="C5" s="7"/>
      <c r="D5" s="7"/>
      <c r="I5" s="111"/>
      <c r="J5" s="111"/>
      <c r="K5" s="8"/>
      <c r="L5" s="155"/>
    </row>
    <row r="6" spans="1:13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9">
        <f>76912+88164+36549</f>
        <v>201625</v>
      </c>
      <c r="J6" s="115">
        <v>201625</v>
      </c>
      <c r="K6" s="190">
        <v>115000</v>
      </c>
      <c r="L6" s="217" t="s">
        <v>1525</v>
      </c>
    </row>
    <row r="7" spans="1:13" ht="41.4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9">
        <f>5600+33600+12000+4900+11200+400+400+7500+6600+1600+5600+1600+400+600+2700+200+100</f>
        <v>95000</v>
      </c>
      <c r="J7" s="115">
        <v>110000</v>
      </c>
      <c r="K7" s="190">
        <v>110000</v>
      </c>
      <c r="L7" s="189" t="s">
        <v>1524</v>
      </c>
    </row>
    <row r="8" spans="1:13" x14ac:dyDescent="0.3">
      <c r="A8" s="4" t="s">
        <v>1488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9">
        <f>10000+10000+1000+300+10000+1500+10000+1660+2000+6200+725+8200+180+492+35+55+9190+485+982</f>
        <v>73004</v>
      </c>
      <c r="J8" s="115">
        <v>79000</v>
      </c>
      <c r="K8" s="190">
        <v>70000</v>
      </c>
      <c r="L8" s="155"/>
    </row>
    <row r="9" spans="1:13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9">
        <f>20000+5080+5080+3000</f>
        <v>33160</v>
      </c>
      <c r="J9" s="115">
        <v>33160</v>
      </c>
      <c r="K9" s="190">
        <v>40000</v>
      </c>
      <c r="L9" s="217" t="s">
        <v>1546</v>
      </c>
    </row>
    <row r="10" spans="1:13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9">
        <f>14300+22500+19478</f>
        <v>56278</v>
      </c>
      <c r="J10" s="115">
        <v>56278</v>
      </c>
      <c r="K10" s="190">
        <v>30000</v>
      </c>
      <c r="L10" s="155"/>
    </row>
    <row r="11" spans="1:13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9">
        <f>99500</f>
        <v>99500</v>
      </c>
      <c r="J11" s="115">
        <v>99500</v>
      </c>
      <c r="K11" s="190">
        <v>90000</v>
      </c>
      <c r="L11" s="155"/>
    </row>
    <row r="12" spans="1:13" x14ac:dyDescent="0.3">
      <c r="A12" s="4" t="s">
        <v>27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1824.88</v>
      </c>
      <c r="G12" s="38">
        <v>514</v>
      </c>
      <c r="H12" s="38">
        <v>101</v>
      </c>
      <c r="I12" s="9">
        <v>0</v>
      </c>
      <c r="J12" s="115">
        <v>100</v>
      </c>
      <c r="K12" s="190">
        <v>100</v>
      </c>
      <c r="L12" s="155"/>
    </row>
    <row r="13" spans="1:13" x14ac:dyDescent="0.3">
      <c r="A13" s="4" t="s">
        <v>490</v>
      </c>
      <c r="B13" s="38">
        <f>3455+2000</f>
        <v>5455</v>
      </c>
      <c r="C13" s="38">
        <f>400+10000+12000</f>
        <v>22400</v>
      </c>
      <c r="D13" s="38">
        <v>4112</v>
      </c>
      <c r="E13" s="38">
        <f>4135+5600</f>
        <v>9735</v>
      </c>
      <c r="F13" s="38">
        <f>1987+4050</f>
        <v>6037</v>
      </c>
      <c r="G13" s="38">
        <v>1630</v>
      </c>
      <c r="H13" s="38">
        <v>16554</v>
      </c>
      <c r="I13" s="9">
        <f>28269-19125</f>
        <v>9144</v>
      </c>
      <c r="J13" s="115">
        <v>10000</v>
      </c>
      <c r="K13" s="190">
        <v>15000</v>
      </c>
      <c r="L13" s="155"/>
    </row>
    <row r="14" spans="1:13" x14ac:dyDescent="0.3">
      <c r="A14" s="7" t="s">
        <v>29</v>
      </c>
      <c r="B14" s="39">
        <f t="shared" ref="B14:K14" si="0">SUM(B6:B13)</f>
        <v>191729</v>
      </c>
      <c r="C14" s="39">
        <f t="shared" si="0"/>
        <v>345486</v>
      </c>
      <c r="D14" s="39">
        <f t="shared" si="0"/>
        <v>220107</v>
      </c>
      <c r="E14" s="39">
        <f t="shared" si="0"/>
        <v>239608.28999999998</v>
      </c>
      <c r="F14" s="39">
        <f t="shared" si="0"/>
        <v>299613.28000000003</v>
      </c>
      <c r="G14" s="39">
        <f t="shared" si="0"/>
        <v>289920</v>
      </c>
      <c r="H14" s="39">
        <f t="shared" si="0"/>
        <v>480751</v>
      </c>
      <c r="I14" s="11">
        <f t="shared" si="0"/>
        <v>567711</v>
      </c>
      <c r="J14" s="116">
        <f t="shared" si="0"/>
        <v>589663</v>
      </c>
      <c r="K14" s="191">
        <f t="shared" si="0"/>
        <v>470100</v>
      </c>
      <c r="L14" s="155"/>
    </row>
    <row r="15" spans="1:13" ht="16.2" thickBot="1" x14ac:dyDescent="0.35">
      <c r="B15" s="38"/>
      <c r="C15" s="40"/>
      <c r="D15" s="40"/>
      <c r="E15" s="38"/>
      <c r="F15" s="40"/>
      <c r="G15" s="40"/>
      <c r="H15" s="40"/>
      <c r="I15" s="111"/>
      <c r="J15" s="117"/>
      <c r="K15" s="190"/>
      <c r="L15" s="155"/>
    </row>
    <row r="16" spans="1:13" s="13" customFormat="1" ht="16.2" thickBot="1" x14ac:dyDescent="0.35">
      <c r="A16" s="32" t="s">
        <v>30</v>
      </c>
      <c r="B16" s="38"/>
      <c r="C16" s="41"/>
      <c r="D16" s="41"/>
      <c r="E16" s="38"/>
      <c r="F16" s="41"/>
      <c r="G16" s="41"/>
      <c r="H16" s="41"/>
      <c r="I16" s="112"/>
      <c r="J16" s="118"/>
      <c r="K16" s="190"/>
      <c r="L16" s="159"/>
      <c r="M16" s="159"/>
    </row>
    <row r="17" spans="1:14" x14ac:dyDescent="0.3">
      <c r="A17" s="4" t="s">
        <v>45</v>
      </c>
      <c r="B17" s="38">
        <v>-32646</v>
      </c>
      <c r="C17" s="38">
        <v>-42437</v>
      </c>
      <c r="D17" s="38">
        <v>-26923</v>
      </c>
      <c r="E17" s="38">
        <v>-32572</v>
      </c>
      <c r="F17" s="38">
        <v>-50743</v>
      </c>
      <c r="G17" s="38">
        <v>-52811</v>
      </c>
      <c r="H17" s="38">
        <v>-126816</v>
      </c>
      <c r="I17" s="9">
        <f>-953-23023-1120-3576-498-29220-3576-3576-48894</f>
        <v>-114436</v>
      </c>
      <c r="J17" s="115">
        <v>-114436</v>
      </c>
      <c r="K17" s="190">
        <v>-90000</v>
      </c>
      <c r="L17" s="155"/>
      <c r="M17" s="197"/>
      <c r="N17" s="55"/>
    </row>
    <row r="18" spans="1:14" ht="24.6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9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</f>
        <v>-125552</v>
      </c>
      <c r="J18" s="115">
        <v>-130000</v>
      </c>
      <c r="K18" s="190">
        <v>-100000</v>
      </c>
      <c r="L18" s="157" t="s">
        <v>1545</v>
      </c>
      <c r="M18" s="197"/>
    </row>
    <row r="19" spans="1:14" x14ac:dyDescent="0.3">
      <c r="A19" s="4" t="s">
        <v>508</v>
      </c>
      <c r="B19" s="38">
        <v>-11755</v>
      </c>
      <c r="C19" s="38">
        <v>-20024</v>
      </c>
      <c r="D19" s="38">
        <v>-13297</v>
      </c>
      <c r="E19" s="38">
        <v>-14853.42</v>
      </c>
      <c r="F19" s="38">
        <v>-18717</v>
      </c>
      <c r="G19" s="38">
        <v>-4027</v>
      </c>
      <c r="H19" s="38">
        <v>-20624</v>
      </c>
      <c r="I19" s="9">
        <f>-3208-5440+2557-5729-1907+1985-874-1767-2130-3432-789-9120-114-867-1407-1435</f>
        <v>-33677</v>
      </c>
      <c r="J19" s="115">
        <v>-42000</v>
      </c>
      <c r="K19" s="190">
        <v>-15000</v>
      </c>
      <c r="L19" s="155"/>
      <c r="M19" s="197"/>
    </row>
    <row r="20" spans="1:14" x14ac:dyDescent="0.3">
      <c r="A20" s="4" t="s">
        <v>38</v>
      </c>
      <c r="B20" s="38">
        <v>-4800</v>
      </c>
      <c r="C20" s="38">
        <v>-3398</v>
      </c>
      <c r="D20" s="38">
        <v>0</v>
      </c>
      <c r="E20" s="38">
        <v>-7138</v>
      </c>
      <c r="F20" s="38">
        <v>-3450</v>
      </c>
      <c r="G20" s="38">
        <v>-8100</v>
      </c>
      <c r="H20" s="38">
        <v>-6790</v>
      </c>
      <c r="I20" s="9">
        <f>-2940-7000-2500-2800-185+23111-23111-31150</f>
        <v>-46575</v>
      </c>
      <c r="J20" s="115">
        <v>-50000</v>
      </c>
      <c r="K20" s="190">
        <v>-30000</v>
      </c>
      <c r="L20" s="155"/>
      <c r="M20" s="197"/>
    </row>
    <row r="21" spans="1:14" x14ac:dyDescent="0.3">
      <c r="A21" s="4" t="s">
        <v>35</v>
      </c>
      <c r="B21" s="38">
        <v>0</v>
      </c>
      <c r="C21" s="38">
        <v>-1700</v>
      </c>
      <c r="D21" s="38">
        <v>0</v>
      </c>
      <c r="E21" s="38">
        <v>-3400</v>
      </c>
      <c r="F21" s="38">
        <v>-3900</v>
      </c>
      <c r="G21" s="38">
        <v>-4550</v>
      </c>
      <c r="H21" s="38">
        <v>-7520</v>
      </c>
      <c r="I21" s="9">
        <f>-4500-4000-682-4000</f>
        <v>-13182</v>
      </c>
      <c r="J21" s="115">
        <v>-15000</v>
      </c>
      <c r="K21" s="190">
        <v>-10000</v>
      </c>
      <c r="L21" s="155"/>
      <c r="M21" s="197"/>
    </row>
    <row r="22" spans="1:14" ht="28.8" x14ac:dyDescent="0.3">
      <c r="A22" s="4" t="s">
        <v>39</v>
      </c>
      <c r="B22" s="38">
        <v>-18016</v>
      </c>
      <c r="C22" s="38">
        <v>-18105</v>
      </c>
      <c r="D22" s="38">
        <v>-14387</v>
      </c>
      <c r="E22" s="38">
        <v>-7915</v>
      </c>
      <c r="F22" s="38">
        <v>-13828</v>
      </c>
      <c r="G22" s="38">
        <v>-24118</v>
      </c>
      <c r="H22" s="38">
        <v>-30770</v>
      </c>
      <c r="I22" s="9">
        <f>-248-600-1005-330-490-780-330-330-390-680-540-540-760-390-390-390-150-390-420-390-310-928-675-680-540-525-570-390-390-390-300-390-250-525-390-390-390-630-785-540-315-760-540-735-1115-390-760-390-760-760-755</f>
        <v>-26811</v>
      </c>
      <c r="J22" s="115">
        <v>-35000</v>
      </c>
      <c r="K22" s="190">
        <v>-35000</v>
      </c>
      <c r="L22" s="158" t="s">
        <v>1352</v>
      </c>
      <c r="M22" s="197"/>
    </row>
    <row r="23" spans="1:14" x14ac:dyDescent="0.3">
      <c r="A23" s="4" t="s">
        <v>40</v>
      </c>
      <c r="B23" s="38">
        <v>0</v>
      </c>
      <c r="C23" s="38">
        <v>-850</v>
      </c>
      <c r="D23" s="38">
        <v>-625</v>
      </c>
      <c r="E23" s="38">
        <v>-8200</v>
      </c>
      <c r="F23" s="38">
        <v>0</v>
      </c>
      <c r="G23" s="38">
        <v>0</v>
      </c>
      <c r="H23" s="38">
        <v>-2100</v>
      </c>
      <c r="I23" s="9">
        <f>-3950</f>
        <v>-3950</v>
      </c>
      <c r="J23" s="115">
        <v>-3950</v>
      </c>
      <c r="K23" s="190">
        <v>-2000</v>
      </c>
      <c r="L23" s="155"/>
      <c r="M23" s="197"/>
    </row>
    <row r="24" spans="1:14" x14ac:dyDescent="0.3">
      <c r="A24" s="4" t="s">
        <v>36</v>
      </c>
      <c r="B24" s="38">
        <v>-5000</v>
      </c>
      <c r="C24" s="38">
        <v>-350</v>
      </c>
      <c r="D24" s="38">
        <v>0</v>
      </c>
      <c r="E24" s="38">
        <v>-3550</v>
      </c>
      <c r="F24" s="38">
        <v>-10190</v>
      </c>
      <c r="G24" s="38">
        <v>-27295</v>
      </c>
      <c r="H24" s="38">
        <v>-13550</v>
      </c>
      <c r="I24" s="9">
        <f>-1400-1400-2700-3000-1500-1200-1400-1000-1200-1300-1500</f>
        <v>-17600</v>
      </c>
      <c r="J24" s="115">
        <v>-20000</v>
      </c>
      <c r="K24" s="190">
        <v>-25000</v>
      </c>
      <c r="L24" s="157"/>
      <c r="M24" s="197"/>
    </row>
    <row r="25" spans="1:14" ht="36.6" x14ac:dyDescent="0.3">
      <c r="A25" s="4" t="s">
        <v>154</v>
      </c>
      <c r="B25" s="38">
        <v>-19050</v>
      </c>
      <c r="C25" s="38">
        <f>-13250-1750</f>
        <v>-15000</v>
      </c>
      <c r="D25" s="38">
        <v>-19650</v>
      </c>
      <c r="E25" s="38">
        <v>-15750</v>
      </c>
      <c r="F25" s="38">
        <v>-21750</v>
      </c>
      <c r="G25" s="38">
        <v>-30300</v>
      </c>
      <c r="H25" s="38">
        <v>-23520</v>
      </c>
      <c r="I25" s="9">
        <f>950+4008-3900-500-15200+1000-500-1000-2000+1000</f>
        <v>-16142</v>
      </c>
      <c r="J25" s="115">
        <v>-18000</v>
      </c>
      <c r="K25" s="190">
        <v>-25000</v>
      </c>
      <c r="L25" s="157" t="s">
        <v>1505</v>
      </c>
      <c r="M25" s="197"/>
    </row>
    <row r="26" spans="1:14" x14ac:dyDescent="0.3">
      <c r="A26" s="4" t="s">
        <v>43</v>
      </c>
      <c r="B26" s="38">
        <v>-14470</v>
      </c>
      <c r="C26" s="38">
        <v>-10300</v>
      </c>
      <c r="D26" s="38">
        <v>-4860</v>
      </c>
      <c r="E26" s="38">
        <v>0</v>
      </c>
      <c r="F26" s="38">
        <v>-18405</v>
      </c>
      <c r="G26" s="38">
        <v>-10950</v>
      </c>
      <c r="H26" s="38">
        <v>-9515</v>
      </c>
      <c r="I26" s="9">
        <f>-300-8900+850</f>
        <v>-8350</v>
      </c>
      <c r="J26" s="115">
        <v>-13000</v>
      </c>
      <c r="K26" s="190">
        <v>-10000</v>
      </c>
      <c r="L26" s="155"/>
      <c r="M26" s="197"/>
    </row>
    <row r="27" spans="1:14" x14ac:dyDescent="0.3">
      <c r="A27" s="4" t="s">
        <v>44</v>
      </c>
      <c r="B27" s="38">
        <v>-25000</v>
      </c>
      <c r="C27" s="38">
        <v>-15000</v>
      </c>
      <c r="D27" s="38">
        <v>-17500</v>
      </c>
      <c r="E27" s="38">
        <v>-30416</v>
      </c>
      <c r="F27" s="38">
        <v>-16000</v>
      </c>
      <c r="G27" s="38">
        <v>-34000</v>
      </c>
      <c r="H27" s="38">
        <v>-27000</v>
      </c>
      <c r="I27" s="9">
        <v>0</v>
      </c>
      <c r="J27" s="115">
        <v>-25000</v>
      </c>
      <c r="K27" s="190">
        <v>-30000</v>
      </c>
      <c r="L27" s="158" t="s">
        <v>1342</v>
      </c>
      <c r="M27" s="197"/>
    </row>
    <row r="28" spans="1:14" x14ac:dyDescent="0.3">
      <c r="A28" s="4" t="s">
        <v>56</v>
      </c>
      <c r="B28" s="38">
        <v>-4459</v>
      </c>
      <c r="C28" s="38">
        <v>-12173</v>
      </c>
      <c r="D28" s="38">
        <v>0</v>
      </c>
      <c r="E28" s="38">
        <v>-180</v>
      </c>
      <c r="F28" s="38">
        <v>-1887</v>
      </c>
      <c r="G28" s="38">
        <v>0</v>
      </c>
      <c r="H28" s="38">
        <v>0</v>
      </c>
      <c r="I28" s="9">
        <v>0</v>
      </c>
      <c r="J28" s="115">
        <v>0</v>
      </c>
      <c r="K28" s="190">
        <v>0</v>
      </c>
      <c r="L28" s="155"/>
    </row>
    <row r="29" spans="1:14" x14ac:dyDescent="0.3">
      <c r="A29" s="4" t="s">
        <v>32</v>
      </c>
      <c r="B29" s="38">
        <f>-2650-3100-1600</f>
        <v>-7350</v>
      </c>
      <c r="C29" s="38">
        <f>-250-2500-1842</f>
        <v>-4592</v>
      </c>
      <c r="D29" s="38">
        <f>-250-4500-1899</f>
        <v>-6649</v>
      </c>
      <c r="E29" s="38">
        <v>-6338</v>
      </c>
      <c r="F29" s="38">
        <v>-6643</v>
      </c>
      <c r="G29" s="38">
        <v>-3530</v>
      </c>
      <c r="H29" s="38">
        <v>-1024</v>
      </c>
      <c r="I29" s="9">
        <f>-774-250</f>
        <v>-1024</v>
      </c>
      <c r="J29" s="115">
        <v>-2000</v>
      </c>
      <c r="K29" s="190">
        <v>-2000</v>
      </c>
      <c r="L29" s="155"/>
    </row>
    <row r="30" spans="1:14" x14ac:dyDescent="0.3">
      <c r="A30" s="4" t="s">
        <v>491</v>
      </c>
      <c r="B30" s="38">
        <v>0</v>
      </c>
      <c r="C30" s="38">
        <f>-75994-6425</f>
        <v>-82419</v>
      </c>
      <c r="D30" s="38">
        <f>-29362-12800</f>
        <v>-42162</v>
      </c>
      <c r="E30" s="38">
        <v>0</v>
      </c>
      <c r="F30" s="38">
        <v>0</v>
      </c>
      <c r="G30" s="38">
        <v>-102305</v>
      </c>
      <c r="H30" s="38">
        <v>-94393</v>
      </c>
      <c r="I30" s="9">
        <f>-1824-(23*800)-34400-1130-45448</f>
        <v>-101202</v>
      </c>
      <c r="J30" s="115">
        <v>-101202</v>
      </c>
      <c r="K30" s="190">
        <v>-90000</v>
      </c>
      <c r="L30" s="155"/>
      <c r="M30" s="197"/>
    </row>
    <row r="31" spans="1:14" x14ac:dyDescent="0.3">
      <c r="A31" s="4" t="s">
        <v>33</v>
      </c>
      <c r="B31" s="38">
        <v>0</v>
      </c>
      <c r="C31" s="38">
        <v>0</v>
      </c>
      <c r="D31" s="38">
        <v>0</v>
      </c>
      <c r="E31" s="38">
        <v>-741</v>
      </c>
      <c r="F31" s="38">
        <v>-547</v>
      </c>
      <c r="G31" s="38">
        <v>-154</v>
      </c>
      <c r="H31" s="38">
        <v>-510</v>
      </c>
      <c r="I31" s="9">
        <v>0</v>
      </c>
      <c r="J31" s="115">
        <v>-100</v>
      </c>
      <c r="K31" s="190">
        <v>-100</v>
      </c>
      <c r="L31" s="155"/>
      <c r="M31" s="197"/>
    </row>
    <row r="32" spans="1:14" x14ac:dyDescent="0.3">
      <c r="A32" s="4" t="s">
        <v>493</v>
      </c>
      <c r="B32" s="38">
        <f>-635-7900</f>
        <v>-8535</v>
      </c>
      <c r="C32" s="38">
        <f>-1500-935-3800-2859-81</f>
        <v>-9175</v>
      </c>
      <c r="D32" s="38">
        <f>-755-1100</f>
        <v>-1855</v>
      </c>
      <c r="E32" s="38">
        <f>-2424-5850</f>
        <v>-8274</v>
      </c>
      <c r="F32" s="38">
        <v>-4637.7700000000004</v>
      </c>
      <c r="G32" s="38">
        <f>-2261-14329</f>
        <v>-16590</v>
      </c>
      <c r="H32" s="38">
        <v>-8129</v>
      </c>
      <c r="I32" s="9">
        <f>-469-740+140+140</f>
        <v>-929</v>
      </c>
      <c r="J32" s="115">
        <f>-1000-4815</f>
        <v>-5815</v>
      </c>
      <c r="K32" s="190">
        <v>-5000</v>
      </c>
      <c r="L32" s="155"/>
      <c r="M32" s="197"/>
    </row>
    <row r="33" spans="1:14" x14ac:dyDescent="0.3">
      <c r="A33" s="7" t="s">
        <v>47</v>
      </c>
      <c r="B33" s="39">
        <f>SUM(B17:B32)</f>
        <v>-218877</v>
      </c>
      <c r="C33" s="39">
        <f t="shared" ref="C33:H33" si="1">SUM(C17:C32)</f>
        <v>-258934</v>
      </c>
      <c r="D33" s="39">
        <f t="shared" si="1"/>
        <v>-187844</v>
      </c>
      <c r="E33" s="39">
        <f t="shared" si="1"/>
        <v>-247088.42</v>
      </c>
      <c r="F33" s="39">
        <f t="shared" si="1"/>
        <v>-325572.77</v>
      </c>
      <c r="G33" s="39">
        <f t="shared" si="1"/>
        <v>-457445</v>
      </c>
      <c r="H33" s="39">
        <f t="shared" si="1"/>
        <v>-467066</v>
      </c>
      <c r="I33" s="11">
        <f>SUM(I17:I32)</f>
        <v>-509430</v>
      </c>
      <c r="J33" s="116">
        <f>SUM(J17:J32)</f>
        <v>-575503</v>
      </c>
      <c r="K33" s="191">
        <f>SUM(K17:K32)</f>
        <v>-469100</v>
      </c>
      <c r="L33" s="205"/>
      <c r="M33" s="206"/>
    </row>
    <row r="34" spans="1:14" x14ac:dyDescent="0.3">
      <c r="A34" s="7"/>
      <c r="B34" s="41"/>
      <c r="C34" s="41"/>
      <c r="D34" s="41"/>
      <c r="E34" s="39"/>
      <c r="F34" s="39"/>
      <c r="G34" s="39"/>
      <c r="H34" s="39"/>
      <c r="I34" s="113"/>
      <c r="J34" s="117"/>
      <c r="K34" s="191"/>
      <c r="L34" s="158"/>
      <c r="M34" s="207"/>
    </row>
    <row r="35" spans="1:14" s="13" customFormat="1" ht="38.25" customHeight="1" x14ac:dyDescent="0.3">
      <c r="A35" s="7" t="s">
        <v>48</v>
      </c>
      <c r="B35" s="39">
        <f t="shared" ref="B35:J35" si="2">+B33+B14</f>
        <v>-27148</v>
      </c>
      <c r="C35" s="39">
        <f t="shared" si="2"/>
        <v>86552</v>
      </c>
      <c r="D35" s="39">
        <f t="shared" si="2"/>
        <v>32263</v>
      </c>
      <c r="E35" s="39">
        <f t="shared" si="2"/>
        <v>-7480.1300000000338</v>
      </c>
      <c r="F35" s="39">
        <f t="shared" si="2"/>
        <v>-25959.489999999991</v>
      </c>
      <c r="G35" s="39">
        <f t="shared" si="2"/>
        <v>-167525</v>
      </c>
      <c r="H35" s="39">
        <f t="shared" si="2"/>
        <v>13685</v>
      </c>
      <c r="I35" s="11">
        <f t="shared" si="2"/>
        <v>58281</v>
      </c>
      <c r="J35" s="116">
        <f t="shared" si="2"/>
        <v>14160</v>
      </c>
      <c r="K35" s="191">
        <f>K14+K33</f>
        <v>1000</v>
      </c>
      <c r="L35" s="158"/>
      <c r="M35" s="207"/>
    </row>
    <row r="36" spans="1:14" s="13" customFormat="1" x14ac:dyDescent="0.3">
      <c r="A36" s="7"/>
      <c r="B36" s="41"/>
      <c r="C36" s="41"/>
      <c r="D36" s="41"/>
      <c r="E36" s="39"/>
      <c r="F36" s="39"/>
      <c r="G36" s="39"/>
      <c r="H36" s="39"/>
      <c r="I36" s="11"/>
      <c r="J36" s="116"/>
      <c r="K36" s="191"/>
      <c r="L36" s="158"/>
      <c r="M36" s="207"/>
    </row>
    <row r="37" spans="1:14" s="13" customFormat="1" x14ac:dyDescent="0.3">
      <c r="A37" s="7" t="s">
        <v>1530</v>
      </c>
      <c r="B37" s="39">
        <v>-10000</v>
      </c>
      <c r="C37" s="39">
        <v>-10000</v>
      </c>
      <c r="D37" s="39">
        <v>-10000</v>
      </c>
      <c r="E37" s="39">
        <v>-10000</v>
      </c>
      <c r="F37" s="39">
        <v>-10000</v>
      </c>
      <c r="G37" s="39">
        <v>-14449</v>
      </c>
      <c r="H37" s="39">
        <v>0</v>
      </c>
      <c r="I37" s="11">
        <v>0</v>
      </c>
      <c r="J37" s="116">
        <v>0</v>
      </c>
      <c r="K37" s="191">
        <v>0</v>
      </c>
      <c r="L37" s="155"/>
      <c r="M37" s="206"/>
    </row>
    <row r="38" spans="1:14" s="13" customFormat="1" ht="16.2" thickBot="1" x14ac:dyDescent="0.35">
      <c r="A38" s="7"/>
      <c r="B38" s="41"/>
      <c r="C38" s="41"/>
      <c r="D38" s="41"/>
      <c r="E38" s="39"/>
      <c r="F38" s="39"/>
      <c r="G38" s="39"/>
      <c r="H38" s="39"/>
      <c r="I38" s="11"/>
      <c r="J38" s="116"/>
      <c r="K38" s="210"/>
      <c r="L38" s="205"/>
      <c r="M38" s="206"/>
    </row>
    <row r="39" spans="1:14" s="13" customFormat="1" ht="16.2" thickBot="1" x14ac:dyDescent="0.35">
      <c r="A39" s="7" t="s">
        <v>88</v>
      </c>
      <c r="B39" s="39">
        <f t="shared" ref="B39:J39" si="3">+B37+B35</f>
        <v>-37148</v>
      </c>
      <c r="C39" s="39">
        <f t="shared" si="3"/>
        <v>76552</v>
      </c>
      <c r="D39" s="39">
        <f t="shared" si="3"/>
        <v>22263</v>
      </c>
      <c r="E39" s="39">
        <f t="shared" si="3"/>
        <v>-17480.130000000034</v>
      </c>
      <c r="F39" s="39">
        <f t="shared" si="3"/>
        <v>-35959.489999999991</v>
      </c>
      <c r="G39" s="39">
        <f t="shared" si="3"/>
        <v>-181974</v>
      </c>
      <c r="H39" s="39">
        <f t="shared" si="3"/>
        <v>13685</v>
      </c>
      <c r="I39" s="154">
        <f t="shared" si="3"/>
        <v>58281</v>
      </c>
      <c r="J39" s="33">
        <f t="shared" si="3"/>
        <v>14160</v>
      </c>
      <c r="K39" s="192">
        <f>+K37+K35</f>
        <v>1000</v>
      </c>
      <c r="L39" s="155"/>
      <c r="M39" s="208"/>
    </row>
    <row r="40" spans="1:14" s="13" customFormat="1" x14ac:dyDescent="0.3">
      <c r="A40" s="4"/>
      <c r="B40" s="4"/>
      <c r="C40" s="4"/>
      <c r="D40" s="4"/>
      <c r="E40" s="4"/>
      <c r="F40" s="4"/>
      <c r="G40" s="4"/>
      <c r="H40" s="4"/>
      <c r="J40" s="58"/>
      <c r="K40" s="58"/>
      <c r="L40" s="196"/>
      <c r="M40" s="155"/>
    </row>
    <row r="42" spans="1:14" x14ac:dyDescent="0.3">
      <c r="J42" s="99"/>
    </row>
    <row r="43" spans="1:14" x14ac:dyDescent="0.3">
      <c r="J43" s="222"/>
    </row>
    <row r="44" spans="1:14" x14ac:dyDescent="0.3">
      <c r="J44" s="207"/>
    </row>
    <row r="45" spans="1:14" x14ac:dyDescent="0.3">
      <c r="J45" s="222"/>
    </row>
    <row r="46" spans="1:14" s="4" customFormat="1" x14ac:dyDescent="0.3">
      <c r="J46" s="99"/>
      <c r="L46" s="196"/>
      <c r="M46" s="155"/>
      <c r="N46" s="1"/>
    </row>
    <row r="47" spans="1:14" s="4" customFormat="1" x14ac:dyDescent="0.3">
      <c r="J47" s="99"/>
      <c r="L47" s="196"/>
      <c r="M47" s="155"/>
      <c r="N47" s="1"/>
    </row>
    <row r="48" spans="1:14" s="4" customFormat="1" x14ac:dyDescent="0.3">
      <c r="J48" s="99"/>
      <c r="L48" s="196"/>
      <c r="M48" s="155"/>
      <c r="N48" s="1"/>
    </row>
    <row r="49" spans="10:14" s="4" customFormat="1" x14ac:dyDescent="0.3">
      <c r="J49" s="99"/>
      <c r="L49" s="196"/>
      <c r="M49" s="155"/>
      <c r="N49" s="1"/>
    </row>
    <row r="50" spans="10:14" x14ac:dyDescent="0.3">
      <c r="J50" s="99"/>
    </row>
    <row r="51" spans="10:14" x14ac:dyDescent="0.3">
      <c r="J51" s="223"/>
    </row>
  </sheetData>
  <mergeCells count="1">
    <mergeCell ref="E1:G1"/>
  </mergeCells>
  <pageMargins left="0.7" right="0.7" top="0.75" bottom="0.75" header="0.3" footer="0.3"/>
  <pageSetup paperSize="9" scale="65" orientation="landscape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9" tint="-0.249977111117893"/>
    <pageSetUpPr fitToPage="1"/>
  </sheetPr>
  <dimension ref="A1:N54"/>
  <sheetViews>
    <sheetView zoomScaleNormal="100" workbookViewId="0">
      <pane xSplit="1" ySplit="3" topLeftCell="E30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bestFit="1" customWidth="1"/>
    <col min="2" max="4" width="14.33203125" style="4" hidden="1" customWidth="1"/>
    <col min="5" max="8" width="14.33203125" style="4" customWidth="1"/>
    <col min="9" max="9" width="16.44140625" style="1" customWidth="1"/>
    <col min="10" max="11" width="18.5546875" style="1" bestFit="1" customWidth="1"/>
    <col min="12" max="12" width="27" style="196" customWidth="1"/>
    <col min="13" max="13" width="12" style="155" customWidth="1"/>
    <col min="14" max="16384" width="9.109375" style="1"/>
  </cols>
  <sheetData>
    <row r="1" spans="1:13" ht="31.8" thickBot="1" x14ac:dyDescent="0.65">
      <c r="A1" s="211" t="s">
        <v>486</v>
      </c>
      <c r="B1" s="212" t="s">
        <v>487</v>
      </c>
      <c r="C1" s="213"/>
      <c r="D1" s="214"/>
      <c r="E1" s="296" t="s">
        <v>487</v>
      </c>
      <c r="F1" s="297"/>
      <c r="G1" s="297"/>
    </row>
    <row r="2" spans="1:13" ht="16.2" thickBot="1" x14ac:dyDescent="0.35"/>
    <row r="3" spans="1:13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43" t="s">
        <v>1351</v>
      </c>
      <c r="J3" s="57" t="s">
        <v>809</v>
      </c>
      <c r="K3" s="44" t="s">
        <v>1345</v>
      </c>
      <c r="L3" s="156"/>
      <c r="M3" s="156"/>
    </row>
    <row r="4" spans="1:13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110">
        <v>42272</v>
      </c>
      <c r="J4" s="110">
        <v>42369</v>
      </c>
      <c r="K4" s="209"/>
      <c r="L4" s="156"/>
      <c r="M4" s="156"/>
    </row>
    <row r="5" spans="1:13" ht="16.2" thickBot="1" x14ac:dyDescent="0.35">
      <c r="A5" s="32" t="s">
        <v>19</v>
      </c>
      <c r="B5" s="10"/>
      <c r="C5" s="7"/>
      <c r="D5" s="7"/>
      <c r="I5" s="111"/>
      <c r="J5" s="111"/>
      <c r="K5" s="8"/>
      <c r="L5" s="155"/>
    </row>
    <row r="6" spans="1:13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9">
        <f>76912+88164</f>
        <v>165076</v>
      </c>
      <c r="J6" s="115">
        <v>175000</v>
      </c>
      <c r="K6" s="190">
        <v>115000</v>
      </c>
      <c r="L6" s="217" t="s">
        <v>1525</v>
      </c>
    </row>
    <row r="7" spans="1:13" x14ac:dyDescent="0.3">
      <c r="A7" s="4" t="s">
        <v>492</v>
      </c>
      <c r="B7" s="38">
        <v>500</v>
      </c>
      <c r="C7" s="38">
        <v>85850</v>
      </c>
      <c r="D7" s="38">
        <v>62250</v>
      </c>
      <c r="E7" s="38">
        <v>66900</v>
      </c>
      <c r="F7" s="38">
        <v>91100</v>
      </c>
      <c r="G7" s="38">
        <v>83700</v>
      </c>
      <c r="H7" s="38">
        <v>94424</v>
      </c>
      <c r="I7" s="9">
        <f>99500</f>
        <v>99500</v>
      </c>
      <c r="J7" s="115">
        <v>99500</v>
      </c>
      <c r="K7" s="190">
        <v>90000</v>
      </c>
      <c r="L7" s="155"/>
    </row>
    <row r="8" spans="1:13" ht="41.4" x14ac:dyDescent="0.3">
      <c r="A8" s="4" t="s">
        <v>22</v>
      </c>
      <c r="B8" s="38">
        <v>46200</v>
      </c>
      <c r="C8" s="38">
        <v>38350</v>
      </c>
      <c r="D8" s="38">
        <v>45250</v>
      </c>
      <c r="E8" s="38">
        <v>41550</v>
      </c>
      <c r="F8" s="38">
        <v>70983</v>
      </c>
      <c r="G8" s="38">
        <v>67300</v>
      </c>
      <c r="H8" s="38">
        <v>107350</v>
      </c>
      <c r="I8" s="9">
        <f>5600+33600+12000+4900+11200+400+400+7500+6600+1600+5600+1600+400+600+2700+200+100</f>
        <v>95000</v>
      </c>
      <c r="J8" s="115">
        <v>115000</v>
      </c>
      <c r="K8" s="190">
        <v>110000</v>
      </c>
      <c r="L8" s="189" t="s">
        <v>1524</v>
      </c>
    </row>
    <row r="9" spans="1:13" x14ac:dyDescent="0.3">
      <c r="A9" s="4" t="s">
        <v>1488</v>
      </c>
      <c r="B9" s="38">
        <v>34790</v>
      </c>
      <c r="C9" s="38">
        <f>54700+14100</f>
        <v>68800</v>
      </c>
      <c r="D9" s="38">
        <v>26025</v>
      </c>
      <c r="E9" s="38">
        <v>20105</v>
      </c>
      <c r="F9" s="38">
        <v>28901</v>
      </c>
      <c r="G9" s="38">
        <v>26546</v>
      </c>
      <c r="H9" s="38">
        <v>60986</v>
      </c>
      <c r="I9" s="9">
        <f>10000+10000+1000+300+10000+1500+10000+1660+2000+6200+725+8200+180+492+35</f>
        <v>62292</v>
      </c>
      <c r="J9" s="115">
        <v>75000</v>
      </c>
      <c r="K9" s="190">
        <v>70000</v>
      </c>
      <c r="L9" s="155"/>
    </row>
    <row r="10" spans="1:13" x14ac:dyDescent="0.3">
      <c r="A10" s="4" t="s">
        <v>24</v>
      </c>
      <c r="B10" s="38">
        <v>5000</v>
      </c>
      <c r="C10" s="38">
        <v>10000</v>
      </c>
      <c r="D10" s="38">
        <v>0</v>
      </c>
      <c r="E10" s="38">
        <v>14600</v>
      </c>
      <c r="F10" s="38">
        <v>3840</v>
      </c>
      <c r="G10" s="38">
        <v>11500</v>
      </c>
      <c r="H10" s="38">
        <v>37568</v>
      </c>
      <c r="I10" s="9">
        <f>20000+5080+5080</f>
        <v>30160</v>
      </c>
      <c r="J10" s="115">
        <v>35000</v>
      </c>
      <c r="K10" s="190">
        <v>40000</v>
      </c>
      <c r="L10" s="217" t="s">
        <v>1490</v>
      </c>
    </row>
    <row r="11" spans="1:13" x14ac:dyDescent="0.3">
      <c r="A11" s="4" t="s">
        <v>489</v>
      </c>
      <c r="B11" s="38">
        <v>7200</v>
      </c>
      <c r="C11" s="38">
        <v>6866</v>
      </c>
      <c r="D11" s="38">
        <v>2515</v>
      </c>
      <c r="E11" s="38">
        <v>6728</v>
      </c>
      <c r="F11" s="38">
        <v>0</v>
      </c>
      <c r="G11" s="38">
        <v>2978</v>
      </c>
      <c r="H11" s="38">
        <v>16820</v>
      </c>
      <c r="I11" s="9">
        <f>14300+22500</f>
        <v>36800</v>
      </c>
      <c r="J11" s="115">
        <v>37000</v>
      </c>
      <c r="K11" s="190">
        <v>30000</v>
      </c>
      <c r="L11" s="155"/>
    </row>
    <row r="12" spans="1:13" x14ac:dyDescent="0.3">
      <c r="A12" s="4" t="s">
        <v>26</v>
      </c>
      <c r="B12" s="38">
        <v>0</v>
      </c>
      <c r="C12" s="38">
        <v>0</v>
      </c>
      <c r="D12" s="38">
        <v>0</v>
      </c>
      <c r="E12" s="38">
        <v>5600</v>
      </c>
      <c r="F12" s="38">
        <v>4050</v>
      </c>
      <c r="G12" s="38">
        <v>0</v>
      </c>
      <c r="H12" s="38">
        <v>0</v>
      </c>
      <c r="I12" s="9">
        <v>0</v>
      </c>
      <c r="J12" s="115">
        <v>0</v>
      </c>
      <c r="K12" s="190">
        <v>0</v>
      </c>
      <c r="L12" s="155"/>
    </row>
    <row r="13" spans="1:13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9">
        <v>0</v>
      </c>
      <c r="J13" s="115">
        <v>100</v>
      </c>
      <c r="K13" s="190">
        <v>100</v>
      </c>
      <c r="L13" s="155"/>
    </row>
    <row r="14" spans="1:13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v>4135</v>
      </c>
      <c r="F14" s="38">
        <v>1987</v>
      </c>
      <c r="G14" s="38">
        <v>1630</v>
      </c>
      <c r="H14" s="38">
        <v>16554</v>
      </c>
      <c r="I14" s="9">
        <f>28269-19125</f>
        <v>9144</v>
      </c>
      <c r="J14" s="115">
        <v>15000</v>
      </c>
      <c r="K14" s="190">
        <v>15000</v>
      </c>
      <c r="L14" s="155"/>
    </row>
    <row r="15" spans="1:13" x14ac:dyDescent="0.3">
      <c r="A15" s="7" t="s">
        <v>29</v>
      </c>
      <c r="B15" s="39">
        <f>SUM(B6:B14)</f>
        <v>191729</v>
      </c>
      <c r="C15" s="39">
        <f>SUM(C6:C14)</f>
        <v>345486</v>
      </c>
      <c r="D15" s="39">
        <f>SUM(D6:D14)</f>
        <v>220107</v>
      </c>
      <c r="E15" s="39">
        <f t="shared" ref="E15:K15" si="0">SUM(E6:E14)</f>
        <v>239608.28999999998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11">
        <f t="shared" si="0"/>
        <v>497972</v>
      </c>
      <c r="J15" s="116">
        <f t="shared" si="0"/>
        <v>551600</v>
      </c>
      <c r="K15" s="191">
        <f t="shared" si="0"/>
        <v>470100</v>
      </c>
      <c r="L15" s="155"/>
    </row>
    <row r="16" spans="1:13" ht="16.2" thickBot="1" x14ac:dyDescent="0.35">
      <c r="B16" s="38"/>
      <c r="C16" s="40"/>
      <c r="D16" s="40"/>
      <c r="E16" s="38"/>
      <c r="F16" s="40"/>
      <c r="G16" s="40"/>
      <c r="H16" s="40"/>
      <c r="I16" s="111"/>
      <c r="J16" s="117"/>
      <c r="K16" s="190"/>
      <c r="L16" s="155"/>
    </row>
    <row r="17" spans="1:14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112"/>
      <c r="J17" s="118"/>
      <c r="K17" s="190"/>
      <c r="L17" s="159"/>
      <c r="M17" s="159"/>
    </row>
    <row r="18" spans="1:14" x14ac:dyDescent="0.3">
      <c r="A18" s="4" t="s">
        <v>56</v>
      </c>
      <c r="B18" s="38">
        <v>-4459</v>
      </c>
      <c r="C18" s="38">
        <v>-12173</v>
      </c>
      <c r="D18" s="38">
        <v>0</v>
      </c>
      <c r="E18" s="38">
        <v>-180</v>
      </c>
      <c r="F18" s="38">
        <v>-1887</v>
      </c>
      <c r="G18" s="38">
        <v>0</v>
      </c>
      <c r="H18" s="38">
        <v>0</v>
      </c>
      <c r="I18" s="9">
        <v>0</v>
      </c>
      <c r="J18" s="115">
        <v>0</v>
      </c>
      <c r="K18" s="190">
        <v>0</v>
      </c>
      <c r="L18" s="155"/>
    </row>
    <row r="19" spans="1:14" x14ac:dyDescent="0.3">
      <c r="A19" s="4" t="s">
        <v>32</v>
      </c>
      <c r="B19" s="38">
        <f>-2650-3100-1600</f>
        <v>-7350</v>
      </c>
      <c r="C19" s="38">
        <f>-250-2500-1842</f>
        <v>-4592</v>
      </c>
      <c r="D19" s="38">
        <f>-250-4500-1899</f>
        <v>-6649</v>
      </c>
      <c r="E19" s="38">
        <v>-6338</v>
      </c>
      <c r="F19" s="38">
        <v>-6643</v>
      </c>
      <c r="G19" s="38">
        <v>-3530</v>
      </c>
      <c r="H19" s="38">
        <v>-1024</v>
      </c>
      <c r="I19" s="9">
        <f>-774-250</f>
        <v>-1024</v>
      </c>
      <c r="J19" s="115">
        <v>-2000</v>
      </c>
      <c r="K19" s="190">
        <v>-2000</v>
      </c>
      <c r="L19" s="155"/>
    </row>
    <row r="20" spans="1:14" x14ac:dyDescent="0.3">
      <c r="A20" s="4" t="s">
        <v>33</v>
      </c>
      <c r="B20" s="38">
        <v>0</v>
      </c>
      <c r="C20" s="38">
        <v>0</v>
      </c>
      <c r="D20" s="38">
        <v>0</v>
      </c>
      <c r="E20" s="38">
        <v>-741</v>
      </c>
      <c r="F20" s="38">
        <v>-547</v>
      </c>
      <c r="G20" s="38">
        <v>-154</v>
      </c>
      <c r="H20" s="38">
        <v>-510</v>
      </c>
      <c r="I20" s="9">
        <v>0</v>
      </c>
      <c r="J20" s="115">
        <v>-100</v>
      </c>
      <c r="K20" s="190">
        <v>-100</v>
      </c>
      <c r="L20" s="155"/>
      <c r="M20" s="197"/>
    </row>
    <row r="21" spans="1:14" x14ac:dyDescent="0.3">
      <c r="A21" s="4" t="s">
        <v>493</v>
      </c>
      <c r="B21" s="38">
        <v>-635</v>
      </c>
      <c r="C21" s="38">
        <f>-1500-935-3800-2859-81</f>
        <v>-9175</v>
      </c>
      <c r="D21" s="38">
        <f>-755-1100</f>
        <v>-1855</v>
      </c>
      <c r="E21" s="38">
        <v>-2424</v>
      </c>
      <c r="F21" s="38">
        <v>-4637.7700000000004</v>
      </c>
      <c r="G21" s="38">
        <v>-2261</v>
      </c>
      <c r="H21" s="38">
        <v>-8129</v>
      </c>
      <c r="I21" s="9">
        <f>-469-740+140+140</f>
        <v>-929</v>
      </c>
      <c r="J21" s="115">
        <v>-1000</v>
      </c>
      <c r="K21" s="190">
        <v>-5000</v>
      </c>
      <c r="L21" s="155"/>
      <c r="M21" s="197"/>
    </row>
    <row r="22" spans="1:14" x14ac:dyDescent="0.3">
      <c r="A22" s="4" t="s">
        <v>35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9">
        <f>-4500-4000-682</f>
        <v>-9182</v>
      </c>
      <c r="J22" s="115">
        <v>-10000</v>
      </c>
      <c r="K22" s="190">
        <v>-10000</v>
      </c>
      <c r="L22" s="155"/>
      <c r="M22" s="197"/>
    </row>
    <row r="23" spans="1:14" x14ac:dyDescent="0.3">
      <c r="A23" s="4" t="s">
        <v>36</v>
      </c>
      <c r="B23" s="38">
        <v>-5000</v>
      </c>
      <c r="C23" s="38">
        <v>-350</v>
      </c>
      <c r="D23" s="38">
        <v>0</v>
      </c>
      <c r="E23" s="38">
        <v>-3550</v>
      </c>
      <c r="F23" s="38">
        <v>-10190</v>
      </c>
      <c r="G23" s="38">
        <v>-27295</v>
      </c>
      <c r="H23" s="38">
        <v>-13550</v>
      </c>
      <c r="I23" s="9">
        <f>-1400-1400-2700-3000-1500-1200-1400-1000-1200-1300</f>
        <v>-16100</v>
      </c>
      <c r="J23" s="115">
        <v>-20000</v>
      </c>
      <c r="K23" s="190">
        <v>-25000</v>
      </c>
      <c r="L23" s="157"/>
      <c r="M23" s="197"/>
    </row>
    <row r="24" spans="1:14" x14ac:dyDescent="0.3">
      <c r="A24" s="4" t="s">
        <v>37</v>
      </c>
      <c r="B24" s="38">
        <v>-7900</v>
      </c>
      <c r="C24" s="38">
        <v>0</v>
      </c>
      <c r="D24" s="38">
        <v>0</v>
      </c>
      <c r="E24" s="38">
        <v>-5850</v>
      </c>
      <c r="F24" s="38">
        <v>0</v>
      </c>
      <c r="G24" s="38">
        <v>0</v>
      </c>
      <c r="H24" s="38">
        <v>0</v>
      </c>
      <c r="I24" s="9">
        <v>0</v>
      </c>
      <c r="J24" s="115">
        <v>0</v>
      </c>
      <c r="K24" s="190">
        <v>0</v>
      </c>
      <c r="L24" s="155"/>
      <c r="M24" s="197"/>
    </row>
    <row r="25" spans="1:14" x14ac:dyDescent="0.3">
      <c r="A25" s="4" t="s">
        <v>38</v>
      </c>
      <c r="B25" s="38">
        <v>-4800</v>
      </c>
      <c r="C25" s="38">
        <v>-3398</v>
      </c>
      <c r="D25" s="38">
        <v>0</v>
      </c>
      <c r="E25" s="38">
        <v>-7138</v>
      </c>
      <c r="F25" s="38">
        <v>-3450</v>
      </c>
      <c r="G25" s="38">
        <v>-8100</v>
      </c>
      <c r="H25" s="38">
        <v>-6790</v>
      </c>
      <c r="I25" s="9">
        <f>-2940-7000-2500-2800-185+23111-23111-31150</f>
        <v>-46575</v>
      </c>
      <c r="J25" s="115">
        <v>-50000</v>
      </c>
      <c r="K25" s="190">
        <v>-30000</v>
      </c>
      <c r="L25" s="155"/>
      <c r="M25" s="197"/>
    </row>
    <row r="26" spans="1:14" ht="28.8" x14ac:dyDescent="0.3">
      <c r="A26" s="4" t="s">
        <v>39</v>
      </c>
      <c r="B26" s="38">
        <v>-18016</v>
      </c>
      <c r="C26" s="38">
        <v>-18105</v>
      </c>
      <c r="D26" s="38">
        <v>-14387</v>
      </c>
      <c r="E26" s="38">
        <v>-7915</v>
      </c>
      <c r="F26" s="38">
        <v>-13828</v>
      </c>
      <c r="G26" s="38">
        <v>-24118</v>
      </c>
      <c r="H26" s="38">
        <v>-30770</v>
      </c>
      <c r="I26" s="9">
        <f>-248-600-1005-330-490-780-330-330-390-680-540-540-760-390-390-390-150-390-420-390-310-928-675-680-540-525-570-390-390-390-300-390-250-525-390-390-390-630-785-540-315-760-540-735-1115-390-760</f>
        <v>-24146</v>
      </c>
      <c r="J26" s="115">
        <v>-30000</v>
      </c>
      <c r="K26" s="190">
        <v>-35000</v>
      </c>
      <c r="L26" s="158" t="s">
        <v>1352</v>
      </c>
      <c r="M26" s="197"/>
    </row>
    <row r="27" spans="1:14" x14ac:dyDescent="0.3">
      <c r="A27" s="4" t="s">
        <v>40</v>
      </c>
      <c r="B27" s="38">
        <v>0</v>
      </c>
      <c r="C27" s="38">
        <v>-850</v>
      </c>
      <c r="D27" s="38">
        <v>-625</v>
      </c>
      <c r="E27" s="38">
        <v>-8200</v>
      </c>
      <c r="F27" s="38">
        <v>0</v>
      </c>
      <c r="G27" s="38">
        <v>0</v>
      </c>
      <c r="H27" s="38">
        <v>-2100</v>
      </c>
      <c r="I27" s="9">
        <f>-3950</f>
        <v>-3950</v>
      </c>
      <c r="J27" s="115">
        <v>-4000</v>
      </c>
      <c r="K27" s="190">
        <v>-2000</v>
      </c>
      <c r="L27" s="155"/>
      <c r="M27" s="197"/>
    </row>
    <row r="28" spans="1:14" x14ac:dyDescent="0.3">
      <c r="A28" s="4" t="s">
        <v>508</v>
      </c>
      <c r="B28" s="38">
        <v>-11755</v>
      </c>
      <c r="C28" s="38">
        <v>-20024</v>
      </c>
      <c r="D28" s="38">
        <v>-13297</v>
      </c>
      <c r="E28" s="38">
        <v>-14853.42</v>
      </c>
      <c r="F28" s="38">
        <v>-18717</v>
      </c>
      <c r="G28" s="38">
        <v>-4027</v>
      </c>
      <c r="H28" s="38">
        <v>-20624</v>
      </c>
      <c r="I28" s="9">
        <f>-3208-5440+2557-5729-1907+1985-874-1767-2130-3432-789-9120-114-867-1407-1435</f>
        <v>-33677</v>
      </c>
      <c r="J28" s="115">
        <v>-35000</v>
      </c>
      <c r="K28" s="190">
        <v>-15000</v>
      </c>
      <c r="L28" s="155"/>
      <c r="M28" s="197"/>
    </row>
    <row r="29" spans="1:14" ht="36.6" x14ac:dyDescent="0.3">
      <c r="A29" s="4" t="s">
        <v>154</v>
      </c>
      <c r="B29" s="38">
        <v>-19050</v>
      </c>
      <c r="C29" s="38">
        <f>-13250-1750</f>
        <v>-15000</v>
      </c>
      <c r="D29" s="38">
        <v>-19650</v>
      </c>
      <c r="E29" s="38">
        <v>-15750</v>
      </c>
      <c r="F29" s="38">
        <v>-21750</v>
      </c>
      <c r="G29" s="38">
        <v>-30300</v>
      </c>
      <c r="H29" s="38">
        <v>-23520</v>
      </c>
      <c r="I29" s="9">
        <f>950+4008-3900-500-15200+1000-500-1000</f>
        <v>-15142</v>
      </c>
      <c r="J29" s="115">
        <v>-18000</v>
      </c>
      <c r="K29" s="190">
        <v>-25000</v>
      </c>
      <c r="L29" s="157" t="s">
        <v>1505</v>
      </c>
      <c r="M29" s="197"/>
    </row>
    <row r="30" spans="1:14" x14ac:dyDescent="0.3">
      <c r="A30" s="4" t="s">
        <v>43</v>
      </c>
      <c r="B30" s="38">
        <v>-14470</v>
      </c>
      <c r="C30" s="38">
        <v>-10300</v>
      </c>
      <c r="D30" s="38">
        <v>-4860</v>
      </c>
      <c r="E30" s="38">
        <v>0</v>
      </c>
      <c r="F30" s="38">
        <v>-18405</v>
      </c>
      <c r="G30" s="38">
        <v>-10950</v>
      </c>
      <c r="H30" s="38">
        <v>-9515</v>
      </c>
      <c r="I30" s="9">
        <f>-300-8900+850</f>
        <v>-8350</v>
      </c>
      <c r="J30" s="115">
        <v>-10000</v>
      </c>
      <c r="K30" s="190">
        <v>-10000</v>
      </c>
      <c r="L30" s="155"/>
      <c r="M30" s="197"/>
    </row>
    <row r="31" spans="1:14" x14ac:dyDescent="0.3">
      <c r="A31" s="4" t="s">
        <v>44</v>
      </c>
      <c r="B31" s="38">
        <v>-25000</v>
      </c>
      <c r="C31" s="38">
        <v>-15000</v>
      </c>
      <c r="D31" s="38">
        <v>-17500</v>
      </c>
      <c r="E31" s="38">
        <v>-30416</v>
      </c>
      <c r="F31" s="38">
        <v>-16000</v>
      </c>
      <c r="G31" s="38">
        <v>-34000</v>
      </c>
      <c r="H31" s="38">
        <v>-27000</v>
      </c>
      <c r="I31" s="9">
        <v>0</v>
      </c>
      <c r="J31" s="115">
        <v>-25000</v>
      </c>
      <c r="K31" s="190">
        <v>-30000</v>
      </c>
      <c r="L31" s="158" t="s">
        <v>1342</v>
      </c>
      <c r="M31" s="197"/>
    </row>
    <row r="32" spans="1:14" x14ac:dyDescent="0.3">
      <c r="A32" s="4" t="s">
        <v>45</v>
      </c>
      <c r="B32" s="38">
        <v>-32646</v>
      </c>
      <c r="C32" s="38">
        <v>-42437</v>
      </c>
      <c r="D32" s="38">
        <v>-26923</v>
      </c>
      <c r="E32" s="38">
        <v>-32572</v>
      </c>
      <c r="F32" s="38">
        <v>-50743</v>
      </c>
      <c r="G32" s="38">
        <v>-52811</v>
      </c>
      <c r="H32" s="38">
        <v>-126816</v>
      </c>
      <c r="I32" s="9">
        <f>-953-23023-1120-3576-498-29220-3576-3576</f>
        <v>-65542</v>
      </c>
      <c r="J32" s="115">
        <v>-115000</v>
      </c>
      <c r="K32" s="190">
        <v>-90000</v>
      </c>
      <c r="L32" s="155"/>
      <c r="M32" s="197"/>
      <c r="N32" s="55"/>
    </row>
    <row r="33" spans="1:13" ht="24.6" x14ac:dyDescent="0.3">
      <c r="A33" s="4" t="s">
        <v>46</v>
      </c>
      <c r="B33" s="38">
        <f>-60296-7500</f>
        <v>-67796</v>
      </c>
      <c r="C33" s="38">
        <f>-18276-5135</f>
        <v>-23411</v>
      </c>
      <c r="D33" s="38">
        <v>-39936</v>
      </c>
      <c r="E33" s="38">
        <v>-107761</v>
      </c>
      <c r="F33" s="38">
        <v>-154875</v>
      </c>
      <c r="G33" s="38">
        <v>-138715</v>
      </c>
      <c r="H33" s="38">
        <v>-94805</v>
      </c>
      <c r="I33" s="9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</f>
        <v>-124193</v>
      </c>
      <c r="J33" s="115">
        <v>-130000</v>
      </c>
      <c r="K33" s="190">
        <v>-100000</v>
      </c>
      <c r="L33" s="157" t="s">
        <v>1529</v>
      </c>
      <c r="M33" s="197"/>
    </row>
    <row r="34" spans="1:13" x14ac:dyDescent="0.3">
      <c r="A34" s="4" t="s">
        <v>491</v>
      </c>
      <c r="B34" s="38">
        <v>0</v>
      </c>
      <c r="C34" s="38">
        <f>-75994-6425</f>
        <v>-82419</v>
      </c>
      <c r="D34" s="38">
        <f>-29362-12800</f>
        <v>-42162</v>
      </c>
      <c r="E34" s="38">
        <v>0</v>
      </c>
      <c r="F34" s="38">
        <v>0</v>
      </c>
      <c r="G34" s="38">
        <v>-102305</v>
      </c>
      <c r="H34" s="38">
        <v>-94393</v>
      </c>
      <c r="I34" s="9">
        <f>-1824-(23*800)-34400-1130-45448</f>
        <v>-101202</v>
      </c>
      <c r="J34" s="115">
        <v>-108000</v>
      </c>
      <c r="K34" s="190">
        <v>-90000</v>
      </c>
      <c r="L34" s="155"/>
      <c r="M34" s="197"/>
    </row>
    <row r="35" spans="1:13" x14ac:dyDescent="0.3">
      <c r="A35" s="4" t="s">
        <v>488</v>
      </c>
      <c r="G35" s="38">
        <v>-14329</v>
      </c>
      <c r="H35" s="38"/>
      <c r="I35" s="9"/>
      <c r="J35" s="115">
        <v>0</v>
      </c>
      <c r="K35" s="190">
        <v>0</v>
      </c>
      <c r="L35" s="159"/>
    </row>
    <row r="36" spans="1:13" x14ac:dyDescent="0.3">
      <c r="A36" s="7" t="s">
        <v>47</v>
      </c>
      <c r="B36" s="39">
        <f>SUM(B18:B34)</f>
        <v>-218877</v>
      </c>
      <c r="C36" s="39">
        <f>SUM(C18:C34)</f>
        <v>-258934</v>
      </c>
      <c r="D36" s="39">
        <f>SUM(D18:D34)</f>
        <v>-187844</v>
      </c>
      <c r="E36" s="39">
        <f>SUM(E18:E34)</f>
        <v>-247088.41999999998</v>
      </c>
      <c r="F36" s="39">
        <f>SUM(F18:F34)</f>
        <v>-325572.77</v>
      </c>
      <c r="G36" s="39">
        <f>SUM(G18:G35)</f>
        <v>-457445</v>
      </c>
      <c r="H36" s="39">
        <f>SUM(H18:H35)</f>
        <v>-467066</v>
      </c>
      <c r="I36" s="11">
        <f>SUM(I18:I35)</f>
        <v>-450012</v>
      </c>
      <c r="J36" s="116">
        <f>SUM(J18:J35)</f>
        <v>-558100</v>
      </c>
      <c r="K36" s="191">
        <f>SUM(K18:K35)</f>
        <v>-469100</v>
      </c>
      <c r="L36" s="205"/>
      <c r="M36" s="206"/>
    </row>
    <row r="37" spans="1:13" x14ac:dyDescent="0.3">
      <c r="A37" s="7"/>
      <c r="B37" s="41"/>
      <c r="C37" s="41"/>
      <c r="D37" s="41"/>
      <c r="E37" s="39"/>
      <c r="F37" s="39"/>
      <c r="G37" s="39"/>
      <c r="H37" s="39"/>
      <c r="I37" s="113"/>
      <c r="J37" s="117"/>
      <c r="K37" s="191"/>
      <c r="L37" s="158"/>
      <c r="M37" s="207"/>
    </row>
    <row r="38" spans="1:13" s="13" customFormat="1" ht="38.25" customHeight="1" x14ac:dyDescent="0.3">
      <c r="A38" s="7" t="s">
        <v>48</v>
      </c>
      <c r="B38" s="39">
        <f t="shared" ref="B38:J38" si="1">+B36+B15</f>
        <v>-27148</v>
      </c>
      <c r="C38" s="39">
        <f t="shared" si="1"/>
        <v>86552</v>
      </c>
      <c r="D38" s="39">
        <f t="shared" si="1"/>
        <v>32263</v>
      </c>
      <c r="E38" s="39">
        <f t="shared" si="1"/>
        <v>-7480.1300000000047</v>
      </c>
      <c r="F38" s="39">
        <f t="shared" si="1"/>
        <v>-25959.489999999991</v>
      </c>
      <c r="G38" s="39">
        <f t="shared" si="1"/>
        <v>-167525</v>
      </c>
      <c r="H38" s="39">
        <f t="shared" si="1"/>
        <v>13685</v>
      </c>
      <c r="I38" s="11">
        <f t="shared" si="1"/>
        <v>47960</v>
      </c>
      <c r="J38" s="116">
        <f t="shared" si="1"/>
        <v>-6500</v>
      </c>
      <c r="K38" s="191">
        <f>K15+K36</f>
        <v>1000</v>
      </c>
      <c r="L38" s="158"/>
      <c r="M38" s="207"/>
    </row>
    <row r="39" spans="1:13" s="13" customFormat="1" x14ac:dyDescent="0.3">
      <c r="A39" s="7"/>
      <c r="B39" s="41"/>
      <c r="C39" s="41"/>
      <c r="D39" s="41"/>
      <c r="E39" s="39"/>
      <c r="F39" s="39"/>
      <c r="G39" s="39"/>
      <c r="H39" s="39"/>
      <c r="I39" s="11"/>
      <c r="J39" s="116"/>
      <c r="K39" s="191"/>
      <c r="L39" s="158"/>
      <c r="M39" s="207"/>
    </row>
    <row r="40" spans="1:13" s="13" customFormat="1" x14ac:dyDescent="0.3">
      <c r="A40" s="7" t="s">
        <v>1530</v>
      </c>
      <c r="B40" s="39">
        <v>-10000</v>
      </c>
      <c r="C40" s="39">
        <v>-10000</v>
      </c>
      <c r="D40" s="39">
        <v>-10000</v>
      </c>
      <c r="E40" s="39">
        <v>-10000</v>
      </c>
      <c r="F40" s="39">
        <v>-10000</v>
      </c>
      <c r="G40" s="39">
        <v>-14449</v>
      </c>
      <c r="H40" s="39"/>
      <c r="I40" s="11">
        <v>0</v>
      </c>
      <c r="J40" s="116">
        <v>0</v>
      </c>
      <c r="K40" s="191">
        <v>0</v>
      </c>
      <c r="L40" s="155"/>
      <c r="M40" s="206"/>
    </row>
    <row r="41" spans="1:13" s="13" customFormat="1" ht="16.2" thickBot="1" x14ac:dyDescent="0.35">
      <c r="A41" s="7"/>
      <c r="B41" s="41"/>
      <c r="C41" s="41"/>
      <c r="D41" s="41"/>
      <c r="E41" s="39"/>
      <c r="F41" s="39"/>
      <c r="G41" s="39"/>
      <c r="H41" s="39"/>
      <c r="I41" s="11"/>
      <c r="J41" s="116"/>
      <c r="K41" s="210"/>
      <c r="L41" s="205"/>
      <c r="M41" s="206"/>
    </row>
    <row r="42" spans="1:13" s="13" customFormat="1" ht="16.2" thickBot="1" x14ac:dyDescent="0.35">
      <c r="A42" s="7" t="s">
        <v>88</v>
      </c>
      <c r="B42" s="39">
        <f t="shared" ref="B42:J42" si="2">+B40+B38</f>
        <v>-37148</v>
      </c>
      <c r="C42" s="39">
        <f t="shared" si="2"/>
        <v>76552</v>
      </c>
      <c r="D42" s="39">
        <f t="shared" si="2"/>
        <v>22263</v>
      </c>
      <c r="E42" s="39">
        <f t="shared" si="2"/>
        <v>-17480.130000000005</v>
      </c>
      <c r="F42" s="39">
        <f t="shared" si="2"/>
        <v>-35959.489999999991</v>
      </c>
      <c r="G42" s="39">
        <f t="shared" si="2"/>
        <v>-181974</v>
      </c>
      <c r="H42" s="39">
        <f t="shared" si="2"/>
        <v>13685</v>
      </c>
      <c r="I42" s="154">
        <f t="shared" si="2"/>
        <v>47960</v>
      </c>
      <c r="J42" s="33">
        <f t="shared" si="2"/>
        <v>-6500</v>
      </c>
      <c r="K42" s="192">
        <f>+K40+K38</f>
        <v>1000</v>
      </c>
      <c r="L42" s="155"/>
      <c r="M42" s="208"/>
    </row>
    <row r="43" spans="1:13" s="13" customFormat="1" x14ac:dyDescent="0.3">
      <c r="A43" s="4"/>
      <c r="B43" s="4"/>
      <c r="C43" s="4"/>
      <c r="D43" s="4"/>
      <c r="E43" s="4"/>
      <c r="F43" s="4"/>
      <c r="G43" s="4"/>
      <c r="H43" s="4"/>
      <c r="J43" s="58"/>
      <c r="K43" s="58"/>
      <c r="L43" s="196"/>
      <c r="M43" s="155"/>
    </row>
    <row r="45" spans="1:13" x14ac:dyDescent="0.3">
      <c r="J45" s="99"/>
    </row>
    <row r="46" spans="1:13" x14ac:dyDescent="0.3">
      <c r="J46" s="222"/>
    </row>
    <row r="47" spans="1:13" x14ac:dyDescent="0.3">
      <c r="J47" s="207"/>
    </row>
    <row r="48" spans="1:13" x14ac:dyDescent="0.3">
      <c r="J48" s="222"/>
    </row>
    <row r="49" spans="10:14" s="4" customFormat="1" x14ac:dyDescent="0.3">
      <c r="J49" s="99"/>
      <c r="L49" s="196"/>
      <c r="M49" s="155"/>
      <c r="N49" s="1"/>
    </row>
    <row r="50" spans="10:14" s="4" customFormat="1" x14ac:dyDescent="0.3">
      <c r="J50" s="99"/>
      <c r="L50" s="196"/>
      <c r="M50" s="155"/>
      <c r="N50" s="1"/>
    </row>
    <row r="51" spans="10:14" s="4" customFormat="1" x14ac:dyDescent="0.3">
      <c r="J51" s="99"/>
      <c r="L51" s="196"/>
      <c r="M51" s="155"/>
      <c r="N51" s="1"/>
    </row>
    <row r="52" spans="10:14" s="4" customFormat="1" x14ac:dyDescent="0.3">
      <c r="J52" s="99"/>
      <c r="L52" s="196"/>
      <c r="M52" s="155"/>
      <c r="N52" s="1"/>
    </row>
    <row r="53" spans="10:14" x14ac:dyDescent="0.3">
      <c r="J53" s="99"/>
    </row>
    <row r="54" spans="10:14" x14ac:dyDescent="0.3">
      <c r="J54" s="223"/>
    </row>
  </sheetData>
  <mergeCells count="1">
    <mergeCell ref="E1:G1"/>
  </mergeCells>
  <pageMargins left="0.7" right="0.7" top="0.75" bottom="0.75" header="0.3" footer="0.3"/>
  <pageSetup paperSize="9" scale="61" orientation="landscape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9" tint="-0.249977111117893"/>
    <pageSetUpPr fitToPage="1"/>
  </sheetPr>
  <dimension ref="A1:N54"/>
  <sheetViews>
    <sheetView zoomScaleNormal="100" workbookViewId="0">
      <pane xSplit="1" ySplit="3" topLeftCell="D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bestFit="1" customWidth="1"/>
    <col min="2" max="3" width="14.33203125" style="4" hidden="1" customWidth="1"/>
    <col min="4" max="8" width="14.33203125" style="4" customWidth="1"/>
    <col min="9" max="9" width="16.44140625" style="1" customWidth="1"/>
    <col min="10" max="11" width="18.5546875" style="1" bestFit="1" customWidth="1"/>
    <col min="12" max="12" width="27" style="196" customWidth="1"/>
    <col min="13" max="13" width="12" style="155" customWidth="1"/>
    <col min="14" max="16384" width="9.109375" style="1"/>
  </cols>
  <sheetData>
    <row r="1" spans="1:13" ht="31.8" thickBot="1" x14ac:dyDescent="0.65">
      <c r="A1" s="211" t="s">
        <v>486</v>
      </c>
      <c r="B1" s="212" t="s">
        <v>487</v>
      </c>
      <c r="C1" s="213"/>
      <c r="D1" s="214"/>
      <c r="E1" s="1"/>
    </row>
    <row r="2" spans="1:13" ht="16.2" thickBot="1" x14ac:dyDescent="0.35"/>
    <row r="3" spans="1:13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43" t="s">
        <v>1351</v>
      </c>
      <c r="J3" s="57" t="s">
        <v>809</v>
      </c>
      <c r="K3" s="44" t="s">
        <v>1345</v>
      </c>
      <c r="L3" s="156"/>
      <c r="M3" s="156"/>
    </row>
    <row r="4" spans="1:13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110">
        <v>42240</v>
      </c>
      <c r="J4" s="110">
        <v>42369</v>
      </c>
      <c r="K4" s="36"/>
      <c r="L4" s="156"/>
      <c r="M4" s="156"/>
    </row>
    <row r="5" spans="1:13" ht="16.2" thickBot="1" x14ac:dyDescent="0.35">
      <c r="A5" s="32" t="s">
        <v>19</v>
      </c>
      <c r="B5" s="10"/>
      <c r="C5" s="7"/>
      <c r="D5" s="7"/>
      <c r="I5" s="111"/>
      <c r="J5" s="111"/>
      <c r="K5" s="8"/>
      <c r="L5" s="155"/>
    </row>
    <row r="6" spans="1:13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9">
        <f>76912</f>
        <v>76912</v>
      </c>
      <c r="J6" s="115">
        <v>175000</v>
      </c>
      <c r="K6" s="190">
        <v>115000</v>
      </c>
      <c r="L6" s="157"/>
    </row>
    <row r="7" spans="1:13" x14ac:dyDescent="0.3">
      <c r="A7" s="4" t="s">
        <v>492</v>
      </c>
      <c r="B7" s="38">
        <v>500</v>
      </c>
      <c r="C7" s="38">
        <v>85850</v>
      </c>
      <c r="D7" s="38">
        <v>62250</v>
      </c>
      <c r="E7" s="38">
        <v>66900</v>
      </c>
      <c r="F7" s="38">
        <v>91100</v>
      </c>
      <c r="G7" s="38">
        <v>83700</v>
      </c>
      <c r="H7" s="38">
        <v>94424</v>
      </c>
      <c r="I7" s="9">
        <f>99500</f>
        <v>99500</v>
      </c>
      <c r="J7" s="115">
        <v>99500</v>
      </c>
      <c r="K7" s="190">
        <v>90000</v>
      </c>
      <c r="L7" s="155"/>
    </row>
    <row r="8" spans="1:13" ht="41.4" x14ac:dyDescent="0.3">
      <c r="A8" s="4" t="s">
        <v>22</v>
      </c>
      <c r="B8" s="38">
        <v>46200</v>
      </c>
      <c r="C8" s="38">
        <v>38350</v>
      </c>
      <c r="D8" s="38">
        <v>45250</v>
      </c>
      <c r="E8" s="38">
        <v>41550</v>
      </c>
      <c r="F8" s="38">
        <v>70983</v>
      </c>
      <c r="G8" s="38">
        <v>67300</v>
      </c>
      <c r="H8" s="38">
        <v>107350</v>
      </c>
      <c r="I8" s="9">
        <f>5600+33600+12000+4900+11200+400+400+7500+6600+1600+5600+1600+400+600</f>
        <v>92000</v>
      </c>
      <c r="J8" s="115">
        <v>115000</v>
      </c>
      <c r="K8" s="190">
        <v>110000</v>
      </c>
      <c r="L8" s="189" t="s">
        <v>1489</v>
      </c>
    </row>
    <row r="9" spans="1:13" x14ac:dyDescent="0.3">
      <c r="A9" s="4" t="s">
        <v>1488</v>
      </c>
      <c r="B9" s="38">
        <v>34790</v>
      </c>
      <c r="C9" s="38">
        <f>54700+14100</f>
        <v>68800</v>
      </c>
      <c r="D9" s="38">
        <v>26025</v>
      </c>
      <c r="E9" s="38">
        <v>20105</v>
      </c>
      <c r="F9" s="38">
        <v>28901</v>
      </c>
      <c r="G9" s="38">
        <v>26546</v>
      </c>
      <c r="H9" s="38">
        <v>60986</v>
      </c>
      <c r="I9" s="9">
        <f>10000+10000+1000+300+10000+1500+10000+1660+2000+6200+725</f>
        <v>53385</v>
      </c>
      <c r="J9" s="115">
        <v>80000</v>
      </c>
      <c r="K9" s="190">
        <v>70000</v>
      </c>
      <c r="L9" s="155"/>
    </row>
    <row r="10" spans="1:13" x14ac:dyDescent="0.3">
      <c r="A10" s="4" t="s">
        <v>24</v>
      </c>
      <c r="B10" s="38">
        <v>5000</v>
      </c>
      <c r="C10" s="38">
        <v>10000</v>
      </c>
      <c r="D10" s="38">
        <v>0</v>
      </c>
      <c r="E10" s="38">
        <v>14600</v>
      </c>
      <c r="F10" s="38">
        <v>3840</v>
      </c>
      <c r="G10" s="38">
        <v>11500</v>
      </c>
      <c r="H10" s="38">
        <v>37568</v>
      </c>
      <c r="I10" s="9">
        <f>20000+5080+5080</f>
        <v>30160</v>
      </c>
      <c r="J10" s="115">
        <v>35000</v>
      </c>
      <c r="K10" s="190">
        <v>40000</v>
      </c>
      <c r="L10" s="217" t="s">
        <v>1490</v>
      </c>
    </row>
    <row r="11" spans="1:13" x14ac:dyDescent="0.3">
      <c r="A11" s="4" t="s">
        <v>489</v>
      </c>
      <c r="B11" s="38">
        <v>7200</v>
      </c>
      <c r="C11" s="38">
        <v>6866</v>
      </c>
      <c r="D11" s="38">
        <v>2515</v>
      </c>
      <c r="E11" s="38">
        <v>6728</v>
      </c>
      <c r="F11" s="38">
        <v>0</v>
      </c>
      <c r="G11" s="38">
        <v>2978</v>
      </c>
      <c r="H11" s="38">
        <v>16820</v>
      </c>
      <c r="I11" s="9">
        <f>14300+22500</f>
        <v>36800</v>
      </c>
      <c r="J11" s="115">
        <v>37000</v>
      </c>
      <c r="K11" s="190">
        <v>30000</v>
      </c>
      <c r="L11" s="155"/>
    </row>
    <row r="12" spans="1:13" x14ac:dyDescent="0.3">
      <c r="A12" s="4" t="s">
        <v>26</v>
      </c>
      <c r="B12" s="38">
        <v>0</v>
      </c>
      <c r="C12" s="38">
        <v>0</v>
      </c>
      <c r="D12" s="38">
        <v>0</v>
      </c>
      <c r="E12" s="38">
        <v>5600</v>
      </c>
      <c r="F12" s="38">
        <v>4050</v>
      </c>
      <c r="G12" s="38">
        <v>0</v>
      </c>
      <c r="H12" s="38">
        <v>0</v>
      </c>
      <c r="I12" s="9">
        <v>0</v>
      </c>
      <c r="J12" s="115">
        <v>0</v>
      </c>
      <c r="K12" s="190">
        <v>0</v>
      </c>
      <c r="L12" s="155"/>
    </row>
    <row r="13" spans="1:13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9">
        <v>0</v>
      </c>
      <c r="J13" s="115">
        <v>100</v>
      </c>
      <c r="K13" s="190">
        <v>100</v>
      </c>
      <c r="L13" s="155"/>
    </row>
    <row r="14" spans="1:13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v>4135</v>
      </c>
      <c r="F14" s="38">
        <v>1987</v>
      </c>
      <c r="G14" s="38">
        <v>1630</v>
      </c>
      <c r="H14" s="38">
        <v>16554</v>
      </c>
      <c r="I14" s="9">
        <f>28269-19125</f>
        <v>9144</v>
      </c>
      <c r="J14" s="115">
        <v>15000</v>
      </c>
      <c r="K14" s="190">
        <v>15000</v>
      </c>
      <c r="L14" s="155"/>
    </row>
    <row r="15" spans="1:13" x14ac:dyDescent="0.3">
      <c r="A15" s="7" t="s">
        <v>29</v>
      </c>
      <c r="B15" s="39">
        <f>SUM(B6:B14)</f>
        <v>191729</v>
      </c>
      <c r="C15" s="39">
        <f>SUM(C6:C14)</f>
        <v>345486</v>
      </c>
      <c r="D15" s="39">
        <f>SUM(D6:D14)</f>
        <v>220107</v>
      </c>
      <c r="E15" s="39">
        <f t="shared" ref="E15:K15" si="0">SUM(E6:E14)</f>
        <v>239608.28999999998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11">
        <f t="shared" si="0"/>
        <v>397901</v>
      </c>
      <c r="J15" s="116">
        <f t="shared" si="0"/>
        <v>556600</v>
      </c>
      <c r="K15" s="191">
        <f t="shared" si="0"/>
        <v>470100</v>
      </c>
      <c r="L15" s="155"/>
    </row>
    <row r="16" spans="1:13" ht="16.2" thickBot="1" x14ac:dyDescent="0.35">
      <c r="B16" s="38"/>
      <c r="C16" s="40"/>
      <c r="D16" s="40"/>
      <c r="E16" s="38"/>
      <c r="F16" s="40"/>
      <c r="G16" s="40"/>
      <c r="H16" s="40"/>
      <c r="I16" s="111"/>
      <c r="J16" s="117"/>
      <c r="K16" s="190"/>
      <c r="L16" s="155"/>
    </row>
    <row r="17" spans="1:14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112"/>
      <c r="J17" s="118"/>
      <c r="K17" s="190"/>
      <c r="L17" s="159"/>
      <c r="M17" s="159"/>
    </row>
    <row r="18" spans="1:14" x14ac:dyDescent="0.3">
      <c r="A18" s="4" t="s">
        <v>56</v>
      </c>
      <c r="B18" s="38">
        <v>-4459</v>
      </c>
      <c r="C18" s="38">
        <v>-12173</v>
      </c>
      <c r="D18" s="38">
        <v>0</v>
      </c>
      <c r="E18" s="38">
        <v>-180</v>
      </c>
      <c r="F18" s="38">
        <v>-1887</v>
      </c>
      <c r="G18" s="38">
        <v>0</v>
      </c>
      <c r="H18" s="38">
        <v>0</v>
      </c>
      <c r="I18" s="9">
        <v>0</v>
      </c>
      <c r="J18" s="115">
        <v>0</v>
      </c>
      <c r="K18" s="190">
        <v>0</v>
      </c>
      <c r="L18" s="155"/>
    </row>
    <row r="19" spans="1:14" x14ac:dyDescent="0.3">
      <c r="A19" s="4" t="s">
        <v>32</v>
      </c>
      <c r="B19" s="38">
        <f>-2650-3100-1600</f>
        <v>-7350</v>
      </c>
      <c r="C19" s="38">
        <f>-250-2500-1842</f>
        <v>-4592</v>
      </c>
      <c r="D19" s="38">
        <f>-250-4500-1899</f>
        <v>-6649</v>
      </c>
      <c r="E19" s="38">
        <v>-6338</v>
      </c>
      <c r="F19" s="38">
        <v>-6643</v>
      </c>
      <c r="G19" s="38">
        <v>-3530</v>
      </c>
      <c r="H19" s="38">
        <v>-1024</v>
      </c>
      <c r="I19" s="9">
        <f>-774-250</f>
        <v>-1024</v>
      </c>
      <c r="J19" s="115">
        <v>-2000</v>
      </c>
      <c r="K19" s="190">
        <v>-2000</v>
      </c>
      <c r="L19" s="155"/>
    </row>
    <row r="20" spans="1:14" x14ac:dyDescent="0.3">
      <c r="A20" s="4" t="s">
        <v>33</v>
      </c>
      <c r="B20" s="38">
        <v>0</v>
      </c>
      <c r="C20" s="38">
        <v>0</v>
      </c>
      <c r="D20" s="38">
        <v>0</v>
      </c>
      <c r="E20" s="38">
        <v>-741</v>
      </c>
      <c r="F20" s="38">
        <v>-547</v>
      </c>
      <c r="G20" s="38">
        <v>-154</v>
      </c>
      <c r="H20" s="38">
        <v>-510</v>
      </c>
      <c r="I20" s="9">
        <v>0</v>
      </c>
      <c r="J20" s="115">
        <v>-100</v>
      </c>
      <c r="K20" s="190">
        <v>-100</v>
      </c>
      <c r="L20" s="155"/>
      <c r="M20" s="197"/>
    </row>
    <row r="21" spans="1:14" x14ac:dyDescent="0.3">
      <c r="A21" s="4" t="s">
        <v>493</v>
      </c>
      <c r="B21" s="38">
        <v>-635</v>
      </c>
      <c r="C21" s="38">
        <f>-1500-935-3800-2859-81</f>
        <v>-9175</v>
      </c>
      <c r="D21" s="38">
        <f>-755-1100</f>
        <v>-1855</v>
      </c>
      <c r="E21" s="38">
        <v>-2424</v>
      </c>
      <c r="F21" s="38">
        <v>-4637.7700000000004</v>
      </c>
      <c r="G21" s="38">
        <v>-2261</v>
      </c>
      <c r="H21" s="38">
        <v>-8129</v>
      </c>
      <c r="I21" s="9">
        <f>-469-740+140+140</f>
        <v>-929</v>
      </c>
      <c r="J21" s="115">
        <v>-5000</v>
      </c>
      <c r="K21" s="190">
        <v>-5000</v>
      </c>
      <c r="L21" s="155"/>
      <c r="M21" s="197"/>
    </row>
    <row r="22" spans="1:14" x14ac:dyDescent="0.3">
      <c r="A22" s="4" t="s">
        <v>35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9">
        <f>-4500-4000-682</f>
        <v>-9182</v>
      </c>
      <c r="J22" s="115">
        <v>-10000</v>
      </c>
      <c r="K22" s="190">
        <v>-10000</v>
      </c>
      <c r="L22" s="155"/>
      <c r="M22" s="197"/>
    </row>
    <row r="23" spans="1:14" x14ac:dyDescent="0.3">
      <c r="A23" s="4" t="s">
        <v>36</v>
      </c>
      <c r="B23" s="38">
        <v>-5000</v>
      </c>
      <c r="C23" s="38">
        <v>-350</v>
      </c>
      <c r="D23" s="38">
        <v>0</v>
      </c>
      <c r="E23" s="38">
        <v>-3550</v>
      </c>
      <c r="F23" s="38">
        <v>-10190</v>
      </c>
      <c r="G23" s="38">
        <v>-27295</v>
      </c>
      <c r="H23" s="38">
        <v>-13550</v>
      </c>
      <c r="I23" s="9">
        <f>-1400-1400-2700-3000-1500-1200-1400-1000-1200-1300</f>
        <v>-16100</v>
      </c>
      <c r="J23" s="115">
        <v>-20000</v>
      </c>
      <c r="K23" s="190">
        <v>-25000</v>
      </c>
      <c r="L23" s="157"/>
      <c r="M23" s="197"/>
    </row>
    <row r="24" spans="1:14" x14ac:dyDescent="0.3">
      <c r="A24" s="4" t="s">
        <v>37</v>
      </c>
      <c r="B24" s="38">
        <v>-7900</v>
      </c>
      <c r="C24" s="38">
        <v>0</v>
      </c>
      <c r="D24" s="38">
        <v>0</v>
      </c>
      <c r="E24" s="38">
        <v>-5850</v>
      </c>
      <c r="F24" s="38">
        <v>0</v>
      </c>
      <c r="G24" s="38">
        <v>0</v>
      </c>
      <c r="H24" s="38">
        <v>0</v>
      </c>
      <c r="I24" s="9">
        <v>0</v>
      </c>
      <c r="J24" s="115">
        <v>0</v>
      </c>
      <c r="K24" s="190">
        <v>0</v>
      </c>
      <c r="L24" s="155"/>
      <c r="M24" s="197"/>
    </row>
    <row r="25" spans="1:14" x14ac:dyDescent="0.3">
      <c r="A25" s="4" t="s">
        <v>38</v>
      </c>
      <c r="B25" s="38">
        <v>-4800</v>
      </c>
      <c r="C25" s="38">
        <v>-3398</v>
      </c>
      <c r="D25" s="38">
        <v>0</v>
      </c>
      <c r="E25" s="38">
        <v>-7138</v>
      </c>
      <c r="F25" s="38">
        <v>-3450</v>
      </c>
      <c r="G25" s="38">
        <v>-8100</v>
      </c>
      <c r="H25" s="38">
        <v>-6790</v>
      </c>
      <c r="I25" s="9">
        <f>-2940-7000-2500-2800-185+23111-23111-31150</f>
        <v>-46575</v>
      </c>
      <c r="J25" s="115">
        <v>-50000</v>
      </c>
      <c r="K25" s="190">
        <v>-30000</v>
      </c>
      <c r="L25" s="155"/>
      <c r="M25" s="197"/>
    </row>
    <row r="26" spans="1:14" ht="28.8" x14ac:dyDescent="0.3">
      <c r="A26" s="4" t="s">
        <v>39</v>
      </c>
      <c r="B26" s="38">
        <v>-18016</v>
      </c>
      <c r="C26" s="38">
        <v>-18105</v>
      </c>
      <c r="D26" s="38">
        <v>-14387</v>
      </c>
      <c r="E26" s="38">
        <v>-7915</v>
      </c>
      <c r="F26" s="38">
        <v>-13828</v>
      </c>
      <c r="G26" s="38">
        <v>-24118</v>
      </c>
      <c r="H26" s="38">
        <v>-30770</v>
      </c>
      <c r="I26" s="9">
        <f>-248-600-1005-330-490-780-330-330-390-680-540-540-760-390-390-390-150-390-420-390-310-928-675-680-540-525-570-390-390-390-300-390-250-525-390-390-390-630-785-540-315</f>
        <v>-19846</v>
      </c>
      <c r="J26" s="115">
        <v>-30000</v>
      </c>
      <c r="K26" s="190">
        <v>-35000</v>
      </c>
      <c r="L26" s="158" t="s">
        <v>1352</v>
      </c>
      <c r="M26" s="197"/>
    </row>
    <row r="27" spans="1:14" x14ac:dyDescent="0.3">
      <c r="A27" s="4" t="s">
        <v>40</v>
      </c>
      <c r="B27" s="38">
        <v>0</v>
      </c>
      <c r="C27" s="38">
        <v>-850</v>
      </c>
      <c r="D27" s="38">
        <v>-625</v>
      </c>
      <c r="E27" s="38">
        <v>-8200</v>
      </c>
      <c r="F27" s="38">
        <v>0</v>
      </c>
      <c r="G27" s="38">
        <v>0</v>
      </c>
      <c r="H27" s="38">
        <v>-2100</v>
      </c>
      <c r="I27" s="9">
        <f>-3950</f>
        <v>-3950</v>
      </c>
      <c r="J27" s="115">
        <v>-4000</v>
      </c>
      <c r="K27" s="190">
        <v>-2000</v>
      </c>
      <c r="L27" s="155"/>
      <c r="M27" s="197"/>
    </row>
    <row r="28" spans="1:14" x14ac:dyDescent="0.3">
      <c r="A28" s="4" t="s">
        <v>508</v>
      </c>
      <c r="B28" s="38">
        <v>-11755</v>
      </c>
      <c r="C28" s="38">
        <v>-20024</v>
      </c>
      <c r="D28" s="38">
        <v>-13297</v>
      </c>
      <c r="E28" s="38">
        <v>-14853.42</v>
      </c>
      <c r="F28" s="38">
        <v>-18717</v>
      </c>
      <c r="G28" s="38">
        <v>-4027</v>
      </c>
      <c r="H28" s="38">
        <v>-20624</v>
      </c>
      <c r="I28" s="9">
        <f>-3208-5440+2557-5729-1907+1985-874-1767-2130-3432-789-9120-114-867</f>
        <v>-30835</v>
      </c>
      <c r="J28" s="115">
        <v>-35000</v>
      </c>
      <c r="K28" s="190">
        <v>-15000</v>
      </c>
      <c r="L28" s="155"/>
      <c r="M28" s="197"/>
    </row>
    <row r="29" spans="1:14" ht="36.6" x14ac:dyDescent="0.3">
      <c r="A29" s="4" t="s">
        <v>154</v>
      </c>
      <c r="B29" s="38">
        <v>-19050</v>
      </c>
      <c r="C29" s="38">
        <f>-13250-1750</f>
        <v>-15000</v>
      </c>
      <c r="D29" s="38">
        <v>-19650</v>
      </c>
      <c r="E29" s="38">
        <v>-15750</v>
      </c>
      <c r="F29" s="38">
        <v>-21750</v>
      </c>
      <c r="G29" s="38">
        <v>-30300</v>
      </c>
      <c r="H29" s="38">
        <v>-23520</v>
      </c>
      <c r="I29" s="9">
        <f>950+4008-3900-500-15200+1000-500-1000</f>
        <v>-15142</v>
      </c>
      <c r="J29" s="115">
        <v>-18000</v>
      </c>
      <c r="K29" s="190">
        <v>-25000</v>
      </c>
      <c r="L29" s="157" t="s">
        <v>1505</v>
      </c>
      <c r="M29" s="197"/>
    </row>
    <row r="30" spans="1:14" x14ac:dyDescent="0.3">
      <c r="A30" s="4" t="s">
        <v>43</v>
      </c>
      <c r="B30" s="38">
        <v>-14470</v>
      </c>
      <c r="C30" s="38">
        <v>-10300</v>
      </c>
      <c r="D30" s="38">
        <v>-4860</v>
      </c>
      <c r="E30" s="38">
        <v>0</v>
      </c>
      <c r="F30" s="38">
        <v>-18405</v>
      </c>
      <c r="G30" s="38">
        <v>-10950</v>
      </c>
      <c r="H30" s="38">
        <v>-9515</v>
      </c>
      <c r="I30" s="9">
        <f>-300-8900+850</f>
        <v>-8350</v>
      </c>
      <c r="J30" s="115">
        <v>-10000</v>
      </c>
      <c r="K30" s="190">
        <v>-10000</v>
      </c>
      <c r="L30" s="155"/>
      <c r="M30" s="197"/>
    </row>
    <row r="31" spans="1:14" x14ac:dyDescent="0.3">
      <c r="A31" s="4" t="s">
        <v>44</v>
      </c>
      <c r="B31" s="38">
        <v>-25000</v>
      </c>
      <c r="C31" s="38">
        <v>-15000</v>
      </c>
      <c r="D31" s="38">
        <v>-17500</v>
      </c>
      <c r="E31" s="38">
        <v>-30416</v>
      </c>
      <c r="F31" s="38">
        <v>-16000</v>
      </c>
      <c r="G31" s="38">
        <v>-34000</v>
      </c>
      <c r="H31" s="38">
        <v>-27000</v>
      </c>
      <c r="I31" s="9">
        <v>0</v>
      </c>
      <c r="J31" s="115">
        <v>-25000</v>
      </c>
      <c r="K31" s="190">
        <v>-30000</v>
      </c>
      <c r="L31" s="158" t="s">
        <v>1342</v>
      </c>
      <c r="M31" s="197"/>
    </row>
    <row r="32" spans="1:14" x14ac:dyDescent="0.3">
      <c r="A32" s="4" t="s">
        <v>45</v>
      </c>
      <c r="B32" s="38">
        <v>-32646</v>
      </c>
      <c r="C32" s="38">
        <v>-42437</v>
      </c>
      <c r="D32" s="38">
        <v>-26923</v>
      </c>
      <c r="E32" s="38">
        <v>-32572</v>
      </c>
      <c r="F32" s="38">
        <v>-50743</v>
      </c>
      <c r="G32" s="38">
        <v>-52811</v>
      </c>
      <c r="H32" s="38">
        <v>-126816</v>
      </c>
      <c r="I32" s="9">
        <f>-953-23023-1120-3576-498-29220-3576</f>
        <v>-61966</v>
      </c>
      <c r="J32" s="115">
        <v>-110000</v>
      </c>
      <c r="K32" s="190">
        <v>-90000</v>
      </c>
      <c r="L32" s="155"/>
      <c r="M32" s="197"/>
      <c r="N32" s="55"/>
    </row>
    <row r="33" spans="1:13" ht="24.6" x14ac:dyDescent="0.3">
      <c r="A33" s="4" t="s">
        <v>46</v>
      </c>
      <c r="B33" s="38">
        <f>-60296-7500</f>
        <v>-67796</v>
      </c>
      <c r="C33" s="38">
        <f>-18276-5135</f>
        <v>-23411</v>
      </c>
      <c r="D33" s="38">
        <v>-39936</v>
      </c>
      <c r="E33" s="38">
        <v>-107761</v>
      </c>
      <c r="F33" s="38">
        <v>-154875</v>
      </c>
      <c r="G33" s="38">
        <v>-138715</v>
      </c>
      <c r="H33" s="38">
        <v>-94805</v>
      </c>
      <c r="I33" s="9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-12185</f>
        <v>-113950</v>
      </c>
      <c r="J33" s="115">
        <v>-130000</v>
      </c>
      <c r="K33" s="190">
        <v>-100000</v>
      </c>
      <c r="L33" s="157" t="s">
        <v>1504</v>
      </c>
      <c r="M33" s="197"/>
    </row>
    <row r="34" spans="1:13" ht="16.2" thickBot="1" x14ac:dyDescent="0.35">
      <c r="A34" s="4" t="s">
        <v>491</v>
      </c>
      <c r="B34" s="38">
        <v>0</v>
      </c>
      <c r="C34" s="38">
        <f>-75994-6425</f>
        <v>-82419</v>
      </c>
      <c r="D34" s="38">
        <f>-29362-12800</f>
        <v>-42162</v>
      </c>
      <c r="E34" s="38">
        <v>0</v>
      </c>
      <c r="F34" s="38">
        <v>0</v>
      </c>
      <c r="G34" s="38">
        <v>-102305</v>
      </c>
      <c r="H34" s="38">
        <v>-94393</v>
      </c>
      <c r="I34" s="9">
        <f>-1824-(23*800)-34400-1130</f>
        <v>-55754</v>
      </c>
      <c r="J34" s="115">
        <v>-90000</v>
      </c>
      <c r="K34" s="190">
        <v>-90000</v>
      </c>
      <c r="L34" s="155"/>
      <c r="M34" s="197"/>
    </row>
    <row r="35" spans="1:13" x14ac:dyDescent="0.3">
      <c r="A35" s="4" t="s">
        <v>488</v>
      </c>
      <c r="G35" s="38">
        <v>-14329</v>
      </c>
      <c r="H35" s="38"/>
      <c r="I35" s="9"/>
      <c r="J35" s="115">
        <v>0</v>
      </c>
      <c r="K35" s="190">
        <v>0</v>
      </c>
      <c r="L35" s="198" t="s">
        <v>916</v>
      </c>
      <c r="M35" s="199"/>
    </row>
    <row r="36" spans="1:13" x14ac:dyDescent="0.3">
      <c r="A36" s="7" t="s">
        <v>47</v>
      </c>
      <c r="B36" s="39">
        <f>SUM(B18:B34)</f>
        <v>-218877</v>
      </c>
      <c r="C36" s="39">
        <f>SUM(C18:C34)</f>
        <v>-258934</v>
      </c>
      <c r="D36" s="39">
        <f>SUM(D18:D34)</f>
        <v>-187844</v>
      </c>
      <c r="E36" s="39">
        <f>SUM(E18:E34)</f>
        <v>-247088.41999999998</v>
      </c>
      <c r="F36" s="39">
        <f>SUM(F18:F34)</f>
        <v>-325572.77</v>
      </c>
      <c r="G36" s="39">
        <f>SUM(G18:G35)</f>
        <v>-457445</v>
      </c>
      <c r="H36" s="39">
        <f>SUM(H18:H35)</f>
        <v>-467066</v>
      </c>
      <c r="I36" s="11">
        <f>SUM(I18:I35)</f>
        <v>-383603</v>
      </c>
      <c r="J36" s="116">
        <f>SUM(J18:J35)</f>
        <v>-539100</v>
      </c>
      <c r="K36" s="191">
        <f>SUM(K18:K35)</f>
        <v>-469100</v>
      </c>
      <c r="L36" s="200" t="s">
        <v>917</v>
      </c>
      <c r="M36" s="201"/>
    </row>
    <row r="37" spans="1:13" x14ac:dyDescent="0.3">
      <c r="A37" s="7"/>
      <c r="B37" s="41"/>
      <c r="C37" s="41"/>
      <c r="D37" s="41"/>
      <c r="E37" s="39"/>
      <c r="F37" s="39"/>
      <c r="G37" s="39"/>
      <c r="H37" s="39"/>
      <c r="I37" s="113"/>
      <c r="J37" s="117"/>
      <c r="K37" s="191"/>
      <c r="L37" s="172"/>
      <c r="M37" s="169"/>
    </row>
    <row r="38" spans="1:13" s="13" customFormat="1" ht="38.25" customHeight="1" x14ac:dyDescent="0.3">
      <c r="A38" s="7" t="s">
        <v>48</v>
      </c>
      <c r="B38" s="39">
        <f t="shared" ref="B38:J38" si="1">+B36+B15</f>
        <v>-27148</v>
      </c>
      <c r="C38" s="39">
        <f t="shared" si="1"/>
        <v>86552</v>
      </c>
      <c r="D38" s="39">
        <f t="shared" si="1"/>
        <v>32263</v>
      </c>
      <c r="E38" s="39">
        <f t="shared" si="1"/>
        <v>-7480.1300000000047</v>
      </c>
      <c r="F38" s="39">
        <f t="shared" si="1"/>
        <v>-25959.489999999991</v>
      </c>
      <c r="G38" s="39">
        <f t="shared" si="1"/>
        <v>-167525</v>
      </c>
      <c r="H38" s="39">
        <f t="shared" si="1"/>
        <v>13685</v>
      </c>
      <c r="I38" s="11">
        <f t="shared" si="1"/>
        <v>14298</v>
      </c>
      <c r="J38" s="116">
        <f t="shared" si="1"/>
        <v>17500</v>
      </c>
      <c r="K38" s="191">
        <f>K15+K36</f>
        <v>1000</v>
      </c>
      <c r="L38" s="172"/>
      <c r="M38" s="169"/>
    </row>
    <row r="39" spans="1:13" s="13" customFormat="1" x14ac:dyDescent="0.3">
      <c r="A39" s="7"/>
      <c r="B39" s="41"/>
      <c r="C39" s="41"/>
      <c r="D39" s="41"/>
      <c r="E39" s="39"/>
      <c r="F39" s="39"/>
      <c r="G39" s="39"/>
      <c r="H39" s="39"/>
      <c r="I39" s="11"/>
      <c r="J39" s="116"/>
      <c r="K39" s="191"/>
      <c r="L39" s="172"/>
      <c r="M39" s="169"/>
    </row>
    <row r="40" spans="1:13" s="13" customFormat="1" x14ac:dyDescent="0.3">
      <c r="A40" s="7" t="s">
        <v>49</v>
      </c>
      <c r="B40" s="39">
        <v>-10000</v>
      </c>
      <c r="C40" s="39">
        <v>-10000</v>
      </c>
      <c r="D40" s="39">
        <v>-10000</v>
      </c>
      <c r="E40" s="39">
        <v>-10000</v>
      </c>
      <c r="F40" s="39">
        <v>-10000</v>
      </c>
      <c r="G40" s="39">
        <v>-14449</v>
      </c>
      <c r="H40" s="39"/>
      <c r="I40" s="11">
        <v>0</v>
      </c>
      <c r="J40" s="116">
        <v>0</v>
      </c>
      <c r="K40" s="191">
        <v>0</v>
      </c>
      <c r="L40" s="202"/>
      <c r="M40" s="201"/>
    </row>
    <row r="41" spans="1:13" s="13" customFormat="1" ht="16.2" thickBot="1" x14ac:dyDescent="0.35">
      <c r="A41" s="7"/>
      <c r="B41" s="41"/>
      <c r="C41" s="41"/>
      <c r="D41" s="41"/>
      <c r="E41" s="39"/>
      <c r="F41" s="39"/>
      <c r="G41" s="39"/>
      <c r="H41" s="39"/>
      <c r="I41" s="11"/>
      <c r="J41" s="116"/>
      <c r="K41" s="191"/>
      <c r="L41" s="200" t="s">
        <v>918</v>
      </c>
      <c r="M41" s="201"/>
    </row>
    <row r="42" spans="1:13" s="13" customFormat="1" ht="16.2" thickBot="1" x14ac:dyDescent="0.35">
      <c r="A42" s="7" t="s">
        <v>88</v>
      </c>
      <c r="B42" s="39">
        <f t="shared" ref="B42:J42" si="2">+B40+B38</f>
        <v>-37148</v>
      </c>
      <c r="C42" s="39">
        <f t="shared" si="2"/>
        <v>76552</v>
      </c>
      <c r="D42" s="39">
        <f t="shared" si="2"/>
        <v>22263</v>
      </c>
      <c r="E42" s="39">
        <f t="shared" si="2"/>
        <v>-17480.130000000005</v>
      </c>
      <c r="F42" s="39">
        <f t="shared" si="2"/>
        <v>-35959.489999999991</v>
      </c>
      <c r="G42" s="39">
        <f t="shared" si="2"/>
        <v>-181974</v>
      </c>
      <c r="H42" s="39">
        <f t="shared" si="2"/>
        <v>13685</v>
      </c>
      <c r="I42" s="154">
        <f t="shared" si="2"/>
        <v>14298</v>
      </c>
      <c r="J42" s="33">
        <f t="shared" si="2"/>
        <v>17500</v>
      </c>
      <c r="K42" s="192">
        <f>+K40+K38</f>
        <v>1000</v>
      </c>
      <c r="L42" s="203"/>
      <c r="M42" s="204">
        <f>SUM(M36:M41)</f>
        <v>0</v>
      </c>
    </row>
    <row r="43" spans="1:13" s="13" customFormat="1" x14ac:dyDescent="0.3">
      <c r="A43" s="4"/>
      <c r="B43" s="4"/>
      <c r="C43" s="4"/>
      <c r="D43" s="4"/>
      <c r="E43" s="4"/>
      <c r="F43" s="4"/>
      <c r="G43" s="4"/>
      <c r="H43" s="4"/>
      <c r="J43" s="58"/>
      <c r="K43" s="58"/>
      <c r="L43" s="196"/>
      <c r="M43" s="155"/>
    </row>
    <row r="45" spans="1:13" x14ac:dyDescent="0.3">
      <c r="J45" s="99"/>
    </row>
    <row r="46" spans="1:13" x14ac:dyDescent="0.3">
      <c r="J46" s="222"/>
    </row>
    <row r="47" spans="1:13" x14ac:dyDescent="0.3">
      <c r="J47" s="207"/>
    </row>
    <row r="48" spans="1:13" x14ac:dyDescent="0.3">
      <c r="J48" s="222"/>
    </row>
    <row r="49" spans="10:14" s="4" customFormat="1" x14ac:dyDescent="0.3">
      <c r="J49" s="99"/>
      <c r="L49" s="196"/>
      <c r="M49" s="155"/>
      <c r="N49" s="1"/>
    </row>
    <row r="50" spans="10:14" s="4" customFormat="1" x14ac:dyDescent="0.3">
      <c r="J50" s="99"/>
      <c r="L50" s="196"/>
      <c r="M50" s="155"/>
      <c r="N50" s="1"/>
    </row>
    <row r="51" spans="10:14" s="4" customFormat="1" x14ac:dyDescent="0.3">
      <c r="J51" s="99"/>
      <c r="L51" s="196"/>
      <c r="M51" s="155"/>
      <c r="N51" s="1"/>
    </row>
    <row r="52" spans="10:14" s="4" customFormat="1" x14ac:dyDescent="0.3">
      <c r="J52" s="99"/>
      <c r="L52" s="196"/>
      <c r="M52" s="155"/>
      <c r="N52" s="1"/>
    </row>
    <row r="53" spans="10:14" x14ac:dyDescent="0.3">
      <c r="J53" s="99"/>
    </row>
    <row r="54" spans="10:14" x14ac:dyDescent="0.3">
      <c r="J54" s="223"/>
    </row>
  </sheetData>
  <pageMargins left="0.25" right="0.25" top="0.75" bottom="0.75" header="0.3" footer="0.3"/>
  <pageSetup paperSize="9" scale="61" orientation="landscape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9" tint="-0.249977111117893"/>
    <pageSetUpPr fitToPage="1"/>
  </sheetPr>
  <dimension ref="A1:N54"/>
  <sheetViews>
    <sheetView zoomScaleNormal="100" workbookViewId="0">
      <pane xSplit="1" ySplit="3" topLeftCell="D4" activePane="bottomRight" state="frozen"/>
      <selection pane="topRight" activeCell="B1" sqref="B1"/>
      <selection pane="bottomLeft" activeCell="A4" sqref="A4"/>
      <selection pane="bottomRight" activeCell="I4" sqref="I4"/>
    </sheetView>
  </sheetViews>
  <sheetFormatPr defaultColWidth="9.109375" defaultRowHeight="15.6" x14ac:dyDescent="0.3"/>
  <cols>
    <col min="1" max="1" width="30.6640625" style="4" bestFit="1" customWidth="1"/>
    <col min="2" max="3" width="14.33203125" style="4" hidden="1" customWidth="1"/>
    <col min="4" max="8" width="14.33203125" style="4" customWidth="1"/>
    <col min="9" max="9" width="16.44140625" style="1" customWidth="1"/>
    <col min="10" max="11" width="18.5546875" style="1" bestFit="1" customWidth="1"/>
    <col min="12" max="12" width="27" style="196" customWidth="1"/>
    <col min="13" max="13" width="12" style="155" customWidth="1"/>
    <col min="14" max="16384" width="9.109375" style="1"/>
  </cols>
  <sheetData>
    <row r="1" spans="1:13" ht="31.8" thickBot="1" x14ac:dyDescent="0.65">
      <c r="A1" s="211" t="s">
        <v>486</v>
      </c>
      <c r="B1" s="212" t="s">
        <v>487</v>
      </c>
      <c r="C1" s="213"/>
      <c r="D1" s="214"/>
      <c r="E1" s="1"/>
    </row>
    <row r="2" spans="1:13" ht="16.2" thickBot="1" x14ac:dyDescent="0.35"/>
    <row r="3" spans="1:13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43" t="s">
        <v>1351</v>
      </c>
      <c r="J3" s="57" t="s">
        <v>809</v>
      </c>
      <c r="K3" s="44" t="s">
        <v>1345</v>
      </c>
      <c r="L3" s="156"/>
      <c r="M3" s="156"/>
    </row>
    <row r="4" spans="1:13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110">
        <v>42216</v>
      </c>
      <c r="J4" s="110">
        <v>42369</v>
      </c>
      <c r="K4" s="36"/>
      <c r="L4" s="156"/>
      <c r="M4" s="156"/>
    </row>
    <row r="5" spans="1:13" ht="16.2" thickBot="1" x14ac:dyDescent="0.35">
      <c r="A5" s="32" t="s">
        <v>19</v>
      </c>
      <c r="B5" s="10"/>
      <c r="C5" s="7"/>
      <c r="D5" s="7"/>
      <c r="I5" s="111"/>
      <c r="J5" s="111"/>
      <c r="K5" s="8"/>
      <c r="L5" s="155"/>
    </row>
    <row r="6" spans="1:13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9">
        <f>76912</f>
        <v>76912</v>
      </c>
      <c r="J6" s="115">
        <v>150000</v>
      </c>
      <c r="K6" s="190">
        <v>115000</v>
      </c>
      <c r="L6" s="157"/>
    </row>
    <row r="7" spans="1:13" x14ac:dyDescent="0.3">
      <c r="A7" s="4" t="s">
        <v>492</v>
      </c>
      <c r="B7" s="38">
        <v>500</v>
      </c>
      <c r="C7" s="38">
        <v>85850</v>
      </c>
      <c r="D7" s="38">
        <v>62250</v>
      </c>
      <c r="E7" s="38">
        <v>66900</v>
      </c>
      <c r="F7" s="38">
        <v>91100</v>
      </c>
      <c r="G7" s="38">
        <v>83700</v>
      </c>
      <c r="H7" s="38">
        <v>94424</v>
      </c>
      <c r="I7" s="9">
        <f>99500</f>
        <v>99500</v>
      </c>
      <c r="J7" s="115">
        <v>99500</v>
      </c>
      <c r="K7" s="190">
        <v>90000</v>
      </c>
      <c r="L7" s="155"/>
    </row>
    <row r="8" spans="1:13" ht="41.4" x14ac:dyDescent="0.3">
      <c r="A8" s="4" t="s">
        <v>22</v>
      </c>
      <c r="B8" s="38">
        <v>46200</v>
      </c>
      <c r="C8" s="38">
        <v>38350</v>
      </c>
      <c r="D8" s="38">
        <v>45250</v>
      </c>
      <c r="E8" s="38">
        <v>41550</v>
      </c>
      <c r="F8" s="38">
        <v>70983</v>
      </c>
      <c r="G8" s="38">
        <v>67300</v>
      </c>
      <c r="H8" s="38">
        <v>107350</v>
      </c>
      <c r="I8" s="9">
        <f>5600+33600+12000+4900+11200+400+400+7500+6600+1600+5600+1600+400+600</f>
        <v>92000</v>
      </c>
      <c r="J8" s="115">
        <v>115000</v>
      </c>
      <c r="K8" s="190">
        <v>110000</v>
      </c>
      <c r="L8" s="189" t="s">
        <v>1489</v>
      </c>
    </row>
    <row r="9" spans="1:13" x14ac:dyDescent="0.3">
      <c r="A9" s="4" t="s">
        <v>1488</v>
      </c>
      <c r="B9" s="38">
        <v>34790</v>
      </c>
      <c r="C9" s="38">
        <f>54700+14100</f>
        <v>68800</v>
      </c>
      <c r="D9" s="38">
        <v>26025</v>
      </c>
      <c r="E9" s="38">
        <v>20105</v>
      </c>
      <c r="F9" s="38">
        <v>28901</v>
      </c>
      <c r="G9" s="38">
        <v>26546</v>
      </c>
      <c r="H9" s="38">
        <v>60986</v>
      </c>
      <c r="I9" s="9">
        <f>10000+10000+1000+300+10000</f>
        <v>31300</v>
      </c>
      <c r="J9" s="115">
        <v>80000</v>
      </c>
      <c r="K9" s="190">
        <v>70000</v>
      </c>
      <c r="L9" s="155"/>
    </row>
    <row r="10" spans="1:13" x14ac:dyDescent="0.3">
      <c r="A10" s="4" t="s">
        <v>24</v>
      </c>
      <c r="B10" s="38">
        <v>5000</v>
      </c>
      <c r="C10" s="38">
        <v>10000</v>
      </c>
      <c r="D10" s="38">
        <v>0</v>
      </c>
      <c r="E10" s="38">
        <v>14600</v>
      </c>
      <c r="F10" s="38">
        <v>3840</v>
      </c>
      <c r="G10" s="38">
        <v>11500</v>
      </c>
      <c r="H10" s="38">
        <v>37568</v>
      </c>
      <c r="I10" s="9">
        <f>20000+5080+5080</f>
        <v>30160</v>
      </c>
      <c r="J10" s="115">
        <v>35000</v>
      </c>
      <c r="K10" s="190">
        <v>40000</v>
      </c>
      <c r="L10" s="217" t="s">
        <v>1490</v>
      </c>
    </row>
    <row r="11" spans="1:13" x14ac:dyDescent="0.3">
      <c r="A11" s="4" t="s">
        <v>489</v>
      </c>
      <c r="B11" s="38">
        <v>7200</v>
      </c>
      <c r="C11" s="38">
        <v>6866</v>
      </c>
      <c r="D11" s="38">
        <v>2515</v>
      </c>
      <c r="E11" s="38">
        <v>6728</v>
      </c>
      <c r="F11" s="38">
        <v>0</v>
      </c>
      <c r="G11" s="38">
        <v>2978</v>
      </c>
      <c r="H11" s="38">
        <v>16820</v>
      </c>
      <c r="I11" s="9">
        <f>14300+22500</f>
        <v>36800</v>
      </c>
      <c r="J11" s="115">
        <v>37000</v>
      </c>
      <c r="K11" s="190">
        <v>30000</v>
      </c>
      <c r="L11" s="155"/>
    </row>
    <row r="12" spans="1:13" x14ac:dyDescent="0.3">
      <c r="A12" s="4" t="s">
        <v>26</v>
      </c>
      <c r="B12" s="38">
        <v>0</v>
      </c>
      <c r="C12" s="38">
        <v>0</v>
      </c>
      <c r="D12" s="38">
        <v>0</v>
      </c>
      <c r="E12" s="38">
        <v>5600</v>
      </c>
      <c r="F12" s="38">
        <v>4050</v>
      </c>
      <c r="G12" s="38">
        <v>0</v>
      </c>
      <c r="H12" s="38">
        <v>0</v>
      </c>
      <c r="I12" s="9"/>
      <c r="J12" s="115">
        <v>0</v>
      </c>
      <c r="K12" s="190">
        <v>0</v>
      </c>
      <c r="L12" s="155"/>
    </row>
    <row r="13" spans="1:13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9"/>
      <c r="J13" s="115">
        <v>100</v>
      </c>
      <c r="K13" s="190">
        <v>100</v>
      </c>
      <c r="L13" s="155"/>
    </row>
    <row r="14" spans="1:13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v>4135</v>
      </c>
      <c r="F14" s="38">
        <v>1987</v>
      </c>
      <c r="G14" s="38">
        <v>1630</v>
      </c>
      <c r="H14" s="38">
        <v>16554</v>
      </c>
      <c r="I14" s="9">
        <f>28269-19125</f>
        <v>9144</v>
      </c>
      <c r="J14" s="115">
        <v>15000</v>
      </c>
      <c r="K14" s="190">
        <v>15000</v>
      </c>
      <c r="L14" s="155"/>
    </row>
    <row r="15" spans="1:13" x14ac:dyDescent="0.3">
      <c r="A15" s="7" t="s">
        <v>29</v>
      </c>
      <c r="B15" s="39">
        <f>SUM(B6:B14)</f>
        <v>191729</v>
      </c>
      <c r="C15" s="39">
        <f>SUM(C6:C14)</f>
        <v>345486</v>
      </c>
      <c r="D15" s="39">
        <f>SUM(D6:D14)</f>
        <v>220107</v>
      </c>
      <c r="E15" s="39">
        <f t="shared" ref="E15:K15" si="0">SUM(E6:E14)</f>
        <v>239608.28999999998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11">
        <f t="shared" si="0"/>
        <v>375816</v>
      </c>
      <c r="J15" s="116">
        <f>SUM(J6:J14)</f>
        <v>531600</v>
      </c>
      <c r="K15" s="191">
        <f t="shared" si="0"/>
        <v>470100</v>
      </c>
      <c r="L15" s="155"/>
    </row>
    <row r="16" spans="1:13" ht="16.2" thickBot="1" x14ac:dyDescent="0.35">
      <c r="B16" s="38"/>
      <c r="C16" s="40"/>
      <c r="D16" s="40"/>
      <c r="E16" s="38"/>
      <c r="F16" s="40"/>
      <c r="G16" s="40"/>
      <c r="H16" s="40"/>
      <c r="I16" s="111"/>
      <c r="J16" s="117"/>
      <c r="K16" s="190"/>
      <c r="L16" s="155"/>
    </row>
    <row r="17" spans="1:14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112"/>
      <c r="J17" s="118"/>
      <c r="K17" s="190"/>
      <c r="L17" s="159"/>
      <c r="M17" s="159"/>
    </row>
    <row r="18" spans="1:14" x14ac:dyDescent="0.3">
      <c r="A18" s="4" t="s">
        <v>56</v>
      </c>
      <c r="B18" s="38">
        <v>-4459</v>
      </c>
      <c r="C18" s="38">
        <v>-12173</v>
      </c>
      <c r="D18" s="38">
        <v>0</v>
      </c>
      <c r="E18" s="38">
        <v>-180</v>
      </c>
      <c r="F18" s="38">
        <v>-1887</v>
      </c>
      <c r="G18" s="38">
        <v>0</v>
      </c>
      <c r="H18" s="38">
        <v>0</v>
      </c>
      <c r="I18" s="9">
        <v>0</v>
      </c>
      <c r="J18" s="115">
        <v>0</v>
      </c>
      <c r="K18" s="190">
        <v>0</v>
      </c>
      <c r="L18" s="155"/>
    </row>
    <row r="19" spans="1:14" x14ac:dyDescent="0.3">
      <c r="A19" s="4" t="s">
        <v>32</v>
      </c>
      <c r="B19" s="38">
        <f>-2650-3100-1600</f>
        <v>-7350</v>
      </c>
      <c r="C19" s="38">
        <f>-250-2500-1842</f>
        <v>-4592</v>
      </c>
      <c r="D19" s="38">
        <f>-250-4500-1899</f>
        <v>-6649</v>
      </c>
      <c r="E19" s="38">
        <v>-6338</v>
      </c>
      <c r="F19" s="38">
        <v>-6643</v>
      </c>
      <c r="G19" s="38">
        <v>-3530</v>
      </c>
      <c r="H19" s="38">
        <v>-1024</v>
      </c>
      <c r="I19" s="9">
        <f>-774-250</f>
        <v>-1024</v>
      </c>
      <c r="J19" s="115">
        <v>-2000</v>
      </c>
      <c r="K19" s="190">
        <v>-2000</v>
      </c>
      <c r="L19" s="155"/>
    </row>
    <row r="20" spans="1:14" x14ac:dyDescent="0.3">
      <c r="A20" s="4" t="s">
        <v>33</v>
      </c>
      <c r="B20" s="38">
        <v>0</v>
      </c>
      <c r="C20" s="38">
        <v>0</v>
      </c>
      <c r="D20" s="38">
        <v>0</v>
      </c>
      <c r="E20" s="38">
        <v>-741</v>
      </c>
      <c r="F20" s="38">
        <v>-547</v>
      </c>
      <c r="G20" s="38">
        <v>-154</v>
      </c>
      <c r="H20" s="38">
        <v>-510</v>
      </c>
      <c r="I20" s="9"/>
      <c r="J20" s="115">
        <v>-100</v>
      </c>
      <c r="K20" s="190">
        <v>-100</v>
      </c>
      <c r="L20" s="155"/>
      <c r="M20" s="197"/>
    </row>
    <row r="21" spans="1:14" x14ac:dyDescent="0.3">
      <c r="A21" s="4" t="s">
        <v>493</v>
      </c>
      <c r="B21" s="38">
        <v>-635</v>
      </c>
      <c r="C21" s="38">
        <f>-1500-935-3800-2859-81</f>
        <v>-9175</v>
      </c>
      <c r="D21" s="38">
        <f>-755-1100</f>
        <v>-1855</v>
      </c>
      <c r="E21" s="38">
        <v>-2424</v>
      </c>
      <c r="F21" s="38">
        <v>-4637.7700000000004</v>
      </c>
      <c r="G21" s="38">
        <v>-2261</v>
      </c>
      <c r="H21" s="38">
        <v>-8129</v>
      </c>
      <c r="I21" s="9">
        <f>-469-740+140+140</f>
        <v>-929</v>
      </c>
      <c r="J21" s="115">
        <v>-5000</v>
      </c>
      <c r="K21" s="190">
        <v>-5000</v>
      </c>
      <c r="L21" s="155"/>
      <c r="M21" s="197"/>
    </row>
    <row r="22" spans="1:14" x14ac:dyDescent="0.3">
      <c r="A22" s="4" t="s">
        <v>35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9">
        <f>-4500-4000-682</f>
        <v>-9182</v>
      </c>
      <c r="J22" s="115">
        <v>-10000</v>
      </c>
      <c r="K22" s="190">
        <v>-10000</v>
      </c>
      <c r="L22" s="155"/>
      <c r="M22" s="197"/>
    </row>
    <row r="23" spans="1:14" x14ac:dyDescent="0.3">
      <c r="A23" s="4" t="s">
        <v>36</v>
      </c>
      <c r="B23" s="38">
        <v>-5000</v>
      </c>
      <c r="C23" s="38">
        <v>-350</v>
      </c>
      <c r="D23" s="38">
        <v>0</v>
      </c>
      <c r="E23" s="38">
        <v>-3550</v>
      </c>
      <c r="F23" s="38">
        <v>-10190</v>
      </c>
      <c r="G23" s="38">
        <v>-27295</v>
      </c>
      <c r="H23" s="38">
        <v>-13550</v>
      </c>
      <c r="I23" s="9">
        <f>-1400-1400-2700-3000-1500-1200-1400-1000-1200</f>
        <v>-14800</v>
      </c>
      <c r="J23" s="115">
        <v>-20000</v>
      </c>
      <c r="K23" s="190">
        <v>-25000</v>
      </c>
      <c r="L23" s="157"/>
      <c r="M23" s="197"/>
    </row>
    <row r="24" spans="1:14" x14ac:dyDescent="0.3">
      <c r="A24" s="4" t="s">
        <v>37</v>
      </c>
      <c r="B24" s="38">
        <v>-7900</v>
      </c>
      <c r="C24" s="38">
        <v>0</v>
      </c>
      <c r="D24" s="38">
        <v>0</v>
      </c>
      <c r="E24" s="38">
        <v>-5850</v>
      </c>
      <c r="F24" s="38">
        <v>0</v>
      </c>
      <c r="G24" s="38">
        <v>0</v>
      </c>
      <c r="H24" s="38">
        <v>0</v>
      </c>
      <c r="I24" s="9"/>
      <c r="J24" s="115">
        <v>0</v>
      </c>
      <c r="K24" s="190">
        <v>0</v>
      </c>
      <c r="L24" s="155"/>
      <c r="M24" s="197"/>
    </row>
    <row r="25" spans="1:14" x14ac:dyDescent="0.3">
      <c r="A25" s="4" t="s">
        <v>38</v>
      </c>
      <c r="B25" s="38">
        <v>-4800</v>
      </c>
      <c r="C25" s="38">
        <v>-3398</v>
      </c>
      <c r="D25" s="38">
        <v>0</v>
      </c>
      <c r="E25" s="38">
        <v>-7138</v>
      </c>
      <c r="F25" s="38">
        <v>-3450</v>
      </c>
      <c r="G25" s="38">
        <v>-8100</v>
      </c>
      <c r="H25" s="38">
        <v>-6790</v>
      </c>
      <c r="I25" s="9">
        <f>-2940-7000-2500-2800-185+23111-23111-31150</f>
        <v>-46575</v>
      </c>
      <c r="J25" s="115">
        <v>-50000</v>
      </c>
      <c r="K25" s="190">
        <v>-30000</v>
      </c>
      <c r="L25" s="155"/>
      <c r="M25" s="197"/>
    </row>
    <row r="26" spans="1:14" ht="28.8" x14ac:dyDescent="0.3">
      <c r="A26" s="4" t="s">
        <v>39</v>
      </c>
      <c r="B26" s="38">
        <v>-18016</v>
      </c>
      <c r="C26" s="38">
        <v>-18105</v>
      </c>
      <c r="D26" s="38">
        <v>-14387</v>
      </c>
      <c r="E26" s="38">
        <v>-7915</v>
      </c>
      <c r="F26" s="38">
        <v>-13828</v>
      </c>
      <c r="G26" s="38">
        <v>-24118</v>
      </c>
      <c r="H26" s="38">
        <v>-30770</v>
      </c>
      <c r="I26" s="9">
        <f>-248-600-1005-330-490-780-330-330-390-680-540-540-760-390-390-390-150-390-420-390-310-928-675-680-540-525-570-390-390-390-300-390-250-525-390-390-390</f>
        <v>-17576</v>
      </c>
      <c r="J26" s="115">
        <v>-30000</v>
      </c>
      <c r="K26" s="190">
        <v>-35000</v>
      </c>
      <c r="L26" s="158" t="s">
        <v>1352</v>
      </c>
      <c r="M26" s="197"/>
    </row>
    <row r="27" spans="1:14" x14ac:dyDescent="0.3">
      <c r="A27" s="4" t="s">
        <v>40</v>
      </c>
      <c r="B27" s="38">
        <v>0</v>
      </c>
      <c r="C27" s="38">
        <v>-850</v>
      </c>
      <c r="D27" s="38">
        <v>-625</v>
      </c>
      <c r="E27" s="38">
        <v>-8200</v>
      </c>
      <c r="F27" s="38">
        <v>0</v>
      </c>
      <c r="G27" s="38">
        <v>0</v>
      </c>
      <c r="H27" s="38">
        <v>-2100</v>
      </c>
      <c r="I27" s="9">
        <f>-3950</f>
        <v>-3950</v>
      </c>
      <c r="J27" s="115">
        <v>-2000</v>
      </c>
      <c r="K27" s="190">
        <v>-2000</v>
      </c>
      <c r="L27" s="155"/>
      <c r="M27" s="197"/>
    </row>
    <row r="28" spans="1:14" x14ac:dyDescent="0.3">
      <c r="A28" s="4" t="s">
        <v>508</v>
      </c>
      <c r="B28" s="38">
        <v>-11755</v>
      </c>
      <c r="C28" s="38">
        <v>-20024</v>
      </c>
      <c r="D28" s="38">
        <v>-13297</v>
      </c>
      <c r="E28" s="38">
        <v>-14853.42</v>
      </c>
      <c r="F28" s="38">
        <v>-18717</v>
      </c>
      <c r="G28" s="38">
        <v>-4027</v>
      </c>
      <c r="H28" s="38">
        <v>-20624</v>
      </c>
      <c r="I28" s="9">
        <f>-3208-5440+2557-5729-1907+1985-874-1767-2130-3432-789-9120-114-867</f>
        <v>-30835</v>
      </c>
      <c r="J28" s="115">
        <v>-35000</v>
      </c>
      <c r="K28" s="190">
        <v>-15000</v>
      </c>
      <c r="L28" s="155"/>
      <c r="M28" s="197"/>
    </row>
    <row r="29" spans="1:14" ht="24.6" x14ac:dyDescent="0.3">
      <c r="A29" s="4" t="s">
        <v>154</v>
      </c>
      <c r="B29" s="38">
        <v>-19050</v>
      </c>
      <c r="C29" s="38">
        <f>-13250-1750</f>
        <v>-15000</v>
      </c>
      <c r="D29" s="38">
        <v>-19650</v>
      </c>
      <c r="E29" s="38">
        <v>-15750</v>
      </c>
      <c r="F29" s="38">
        <v>-21750</v>
      </c>
      <c r="G29" s="38">
        <v>-30300</v>
      </c>
      <c r="H29" s="38">
        <v>-23520</v>
      </c>
      <c r="I29" s="9">
        <f>950+4008-3900-500-15200+1000-500</f>
        <v>-14142</v>
      </c>
      <c r="J29" s="115">
        <v>-18000</v>
      </c>
      <c r="K29" s="190">
        <v>-25000</v>
      </c>
      <c r="L29" s="157" t="s">
        <v>1389</v>
      </c>
      <c r="M29" s="197"/>
    </row>
    <row r="30" spans="1:14" x14ac:dyDescent="0.3">
      <c r="A30" s="4" t="s">
        <v>43</v>
      </c>
      <c r="B30" s="38">
        <v>-14470</v>
      </c>
      <c r="C30" s="38">
        <v>-10300</v>
      </c>
      <c r="D30" s="38">
        <v>-4860</v>
      </c>
      <c r="E30" s="38">
        <v>0</v>
      </c>
      <c r="F30" s="38">
        <v>-18405</v>
      </c>
      <c r="G30" s="38">
        <v>-10950</v>
      </c>
      <c r="H30" s="38">
        <v>-9515</v>
      </c>
      <c r="I30" s="9">
        <f>-300-8900+850</f>
        <v>-8350</v>
      </c>
      <c r="J30" s="115">
        <v>-10000</v>
      </c>
      <c r="K30" s="190">
        <v>-10000</v>
      </c>
      <c r="L30" s="155"/>
      <c r="M30" s="197"/>
    </row>
    <row r="31" spans="1:14" x14ac:dyDescent="0.3">
      <c r="A31" s="4" t="s">
        <v>44</v>
      </c>
      <c r="B31" s="38">
        <v>-25000</v>
      </c>
      <c r="C31" s="38">
        <v>-15000</v>
      </c>
      <c r="D31" s="38">
        <v>-17500</v>
      </c>
      <c r="E31" s="38">
        <v>-30416</v>
      </c>
      <c r="F31" s="38">
        <v>-16000</v>
      </c>
      <c r="G31" s="38">
        <v>-34000</v>
      </c>
      <c r="H31" s="38">
        <v>-27000</v>
      </c>
      <c r="I31" s="9"/>
      <c r="J31" s="115">
        <v>-25000</v>
      </c>
      <c r="K31" s="190">
        <v>-30000</v>
      </c>
      <c r="L31" s="158" t="s">
        <v>1342</v>
      </c>
      <c r="M31" s="197"/>
    </row>
    <row r="32" spans="1:14" x14ac:dyDescent="0.3">
      <c r="A32" s="4" t="s">
        <v>45</v>
      </c>
      <c r="B32" s="38">
        <v>-32646</v>
      </c>
      <c r="C32" s="38">
        <v>-42437</v>
      </c>
      <c r="D32" s="38">
        <v>-26923</v>
      </c>
      <c r="E32" s="38">
        <v>-32572</v>
      </c>
      <c r="F32" s="38">
        <v>-50743</v>
      </c>
      <c r="G32" s="38">
        <v>-52811</v>
      </c>
      <c r="H32" s="38">
        <v>-126816</v>
      </c>
      <c r="I32" s="9">
        <f>-953-23023-1120-3576-498-29220-3576</f>
        <v>-61966</v>
      </c>
      <c r="J32" s="115">
        <v>-110000</v>
      </c>
      <c r="K32" s="190">
        <v>-90000</v>
      </c>
      <c r="L32" s="155"/>
      <c r="M32" s="197"/>
      <c r="N32" s="55"/>
    </row>
    <row r="33" spans="1:13" ht="24.6" x14ac:dyDescent="0.3">
      <c r="A33" s="4" t="s">
        <v>46</v>
      </c>
      <c r="B33" s="38">
        <f>-60296-7500</f>
        <v>-67796</v>
      </c>
      <c r="C33" s="38">
        <f>-18276-5135</f>
        <v>-23411</v>
      </c>
      <c r="D33" s="38">
        <v>-39936</v>
      </c>
      <c r="E33" s="38">
        <v>-107761</v>
      </c>
      <c r="F33" s="38">
        <v>-154875</v>
      </c>
      <c r="G33" s="38">
        <v>-138715</v>
      </c>
      <c r="H33" s="38">
        <v>-94805</v>
      </c>
      <c r="I33" s="9">
        <f>-179-394-40-354-3256-857-629-7043-977-56-11201-6000-764-32461-341+14900-9443-61-314-718-734-5139-3438-11458-145-377-491-399-611-354-2876-251-68-1241-1692-1057-2988-351+9020-1032-1196+9070-9020-7568-9768+698-1353-5000-419-119-359-319-116-599+770-720-398-698</f>
        <v>-112984</v>
      </c>
      <c r="J33" s="115">
        <v>-130000</v>
      </c>
      <c r="K33" s="190">
        <v>-100000</v>
      </c>
      <c r="L33" s="157" t="s">
        <v>1491</v>
      </c>
      <c r="M33" s="197"/>
    </row>
    <row r="34" spans="1:13" ht="16.2" thickBot="1" x14ac:dyDescent="0.35">
      <c r="A34" s="4" t="s">
        <v>491</v>
      </c>
      <c r="B34" s="38">
        <v>0</v>
      </c>
      <c r="C34" s="38">
        <f>-75994-6425</f>
        <v>-82419</v>
      </c>
      <c r="D34" s="38">
        <f>-29362-12800</f>
        <v>-42162</v>
      </c>
      <c r="E34" s="38">
        <v>0</v>
      </c>
      <c r="F34" s="38">
        <v>0</v>
      </c>
      <c r="G34" s="38">
        <v>-102305</v>
      </c>
      <c r="H34" s="38">
        <v>-94393</v>
      </c>
      <c r="I34" s="9">
        <f>-1824-(23*800)-34400-1130</f>
        <v>-55754</v>
      </c>
      <c r="J34" s="115">
        <v>-90000</v>
      </c>
      <c r="K34" s="190">
        <v>-90000</v>
      </c>
      <c r="L34" s="155"/>
      <c r="M34" s="197"/>
    </row>
    <row r="35" spans="1:13" x14ac:dyDescent="0.3">
      <c r="A35" s="4" t="s">
        <v>488</v>
      </c>
      <c r="G35" s="38">
        <v>-14329</v>
      </c>
      <c r="H35" s="38"/>
      <c r="I35" s="9"/>
      <c r="J35" s="115">
        <v>0</v>
      </c>
      <c r="K35" s="190">
        <v>0</v>
      </c>
      <c r="L35" s="198" t="s">
        <v>916</v>
      </c>
      <c r="M35" s="199"/>
    </row>
    <row r="36" spans="1:13" x14ac:dyDescent="0.3">
      <c r="A36" s="7" t="s">
        <v>47</v>
      </c>
      <c r="B36" s="39">
        <f>SUM(B18:B34)</f>
        <v>-218877</v>
      </c>
      <c r="C36" s="39">
        <f>SUM(C18:C34)</f>
        <v>-258934</v>
      </c>
      <c r="D36" s="39">
        <f>SUM(D18:D34)</f>
        <v>-187844</v>
      </c>
      <c r="E36" s="39">
        <f>SUM(E18:E34)</f>
        <v>-247088.41999999998</v>
      </c>
      <c r="F36" s="39">
        <f>SUM(F18:F34)</f>
        <v>-325572.77</v>
      </c>
      <c r="G36" s="39">
        <f>SUM(G18:G35)</f>
        <v>-457445</v>
      </c>
      <c r="H36" s="39">
        <f>SUM(H18:H35)</f>
        <v>-467066</v>
      </c>
      <c r="I36" s="11">
        <f>SUM(I18:I35)</f>
        <v>-378067</v>
      </c>
      <c r="J36" s="116">
        <f>SUM(J18:J35)</f>
        <v>-537100</v>
      </c>
      <c r="K36" s="191">
        <f>SUM(K18:K35)</f>
        <v>-469100</v>
      </c>
      <c r="L36" s="200" t="s">
        <v>917</v>
      </c>
      <c r="M36" s="201"/>
    </row>
    <row r="37" spans="1:13" x14ac:dyDescent="0.3">
      <c r="A37" s="7"/>
      <c r="B37" s="41"/>
      <c r="C37" s="41"/>
      <c r="D37" s="41"/>
      <c r="E37" s="39"/>
      <c r="F37" s="39"/>
      <c r="G37" s="39"/>
      <c r="H37" s="39"/>
      <c r="I37" s="113"/>
      <c r="J37" s="117"/>
      <c r="K37" s="191"/>
      <c r="L37" s="172"/>
      <c r="M37" s="169"/>
    </row>
    <row r="38" spans="1:13" s="13" customFormat="1" ht="38.25" customHeight="1" x14ac:dyDescent="0.3">
      <c r="A38" s="7" t="s">
        <v>48</v>
      </c>
      <c r="B38" s="39">
        <f>+B36+B15</f>
        <v>-27148</v>
      </c>
      <c r="C38" s="39">
        <f>+C36+C15</f>
        <v>86552</v>
      </c>
      <c r="D38" s="39">
        <f>+D36+D15</f>
        <v>32263</v>
      </c>
      <c r="E38" s="39">
        <f t="shared" ref="E38:J38" si="1">+E36+E15</f>
        <v>-7480.1300000000047</v>
      </c>
      <c r="F38" s="39">
        <f t="shared" si="1"/>
        <v>-25959.489999999991</v>
      </c>
      <c r="G38" s="39">
        <f t="shared" si="1"/>
        <v>-167525</v>
      </c>
      <c r="H38" s="39">
        <f t="shared" si="1"/>
        <v>13685</v>
      </c>
      <c r="I38" s="11">
        <f t="shared" si="1"/>
        <v>-2251</v>
      </c>
      <c r="J38" s="116">
        <f t="shared" si="1"/>
        <v>-5500</v>
      </c>
      <c r="K38" s="191">
        <f>K15+K36</f>
        <v>1000</v>
      </c>
      <c r="L38" s="172"/>
      <c r="M38" s="169"/>
    </row>
    <row r="39" spans="1:13" s="13" customFormat="1" x14ac:dyDescent="0.3">
      <c r="A39" s="7"/>
      <c r="B39" s="41"/>
      <c r="C39" s="41"/>
      <c r="D39" s="41"/>
      <c r="E39" s="39"/>
      <c r="F39" s="39"/>
      <c r="G39" s="39"/>
      <c r="H39" s="39"/>
      <c r="I39" s="11"/>
      <c r="J39" s="116"/>
      <c r="K39" s="191"/>
      <c r="L39" s="172"/>
      <c r="M39" s="169"/>
    </row>
    <row r="40" spans="1:13" s="13" customFormat="1" x14ac:dyDescent="0.3">
      <c r="A40" s="7" t="s">
        <v>49</v>
      </c>
      <c r="B40" s="39">
        <v>-10000</v>
      </c>
      <c r="C40" s="39">
        <v>-10000</v>
      </c>
      <c r="D40" s="39">
        <v>-10000</v>
      </c>
      <c r="E40" s="39">
        <v>-10000</v>
      </c>
      <c r="F40" s="39">
        <v>-10000</v>
      </c>
      <c r="G40" s="39">
        <v>-14449</v>
      </c>
      <c r="H40" s="39"/>
      <c r="I40" s="11">
        <v>0</v>
      </c>
      <c r="J40" s="116">
        <v>0</v>
      </c>
      <c r="K40" s="191">
        <v>0</v>
      </c>
      <c r="L40" s="202"/>
      <c r="M40" s="201"/>
    </row>
    <row r="41" spans="1:13" s="13" customFormat="1" ht="16.2" thickBot="1" x14ac:dyDescent="0.35">
      <c r="A41" s="7"/>
      <c r="B41" s="41"/>
      <c r="C41" s="41"/>
      <c r="D41" s="41"/>
      <c r="E41" s="39"/>
      <c r="F41" s="39"/>
      <c r="G41" s="39"/>
      <c r="H41" s="39"/>
      <c r="I41" s="11"/>
      <c r="J41" s="116"/>
      <c r="K41" s="191"/>
      <c r="L41" s="200" t="s">
        <v>918</v>
      </c>
      <c r="M41" s="201"/>
    </row>
    <row r="42" spans="1:13" s="13" customFormat="1" ht="16.2" thickBot="1" x14ac:dyDescent="0.35">
      <c r="A42" s="7" t="s">
        <v>88</v>
      </c>
      <c r="B42" s="39">
        <f t="shared" ref="B42:J42" si="2">+B40+B38</f>
        <v>-37148</v>
      </c>
      <c r="C42" s="39">
        <f t="shared" si="2"/>
        <v>76552</v>
      </c>
      <c r="D42" s="39">
        <f t="shared" si="2"/>
        <v>22263</v>
      </c>
      <c r="E42" s="39">
        <f t="shared" si="2"/>
        <v>-17480.130000000005</v>
      </c>
      <c r="F42" s="39">
        <f t="shared" si="2"/>
        <v>-35959.489999999991</v>
      </c>
      <c r="G42" s="39">
        <f t="shared" si="2"/>
        <v>-181974</v>
      </c>
      <c r="H42" s="39">
        <f t="shared" si="2"/>
        <v>13685</v>
      </c>
      <c r="I42" s="154">
        <f t="shared" si="2"/>
        <v>-2251</v>
      </c>
      <c r="J42" s="33">
        <f t="shared" si="2"/>
        <v>-5500</v>
      </c>
      <c r="K42" s="192">
        <f>+K40+K38</f>
        <v>1000</v>
      </c>
      <c r="L42" s="203"/>
      <c r="M42" s="204">
        <f>SUM(M36:M41)</f>
        <v>0</v>
      </c>
    </row>
    <row r="43" spans="1:13" s="13" customFormat="1" ht="16.2" thickBot="1" x14ac:dyDescent="0.35">
      <c r="A43" s="4"/>
      <c r="B43" s="4"/>
      <c r="C43" s="4"/>
      <c r="D43" s="4"/>
      <c r="E43" s="4"/>
      <c r="F43" s="4"/>
      <c r="G43" s="4"/>
      <c r="H43" s="4"/>
      <c r="J43" s="58"/>
      <c r="K43" s="58"/>
      <c r="L43" s="196"/>
      <c r="M43" s="155"/>
    </row>
    <row r="44" spans="1:13" x14ac:dyDescent="0.3">
      <c r="J44" s="121"/>
    </row>
    <row r="45" spans="1:13" x14ac:dyDescent="0.3">
      <c r="J45" s="123"/>
    </row>
    <row r="46" spans="1:13" x14ac:dyDescent="0.3">
      <c r="J46" s="168" t="s">
        <v>1210</v>
      </c>
    </row>
    <row r="47" spans="1:13" ht="36.6" x14ac:dyDescent="0.3">
      <c r="J47" s="169" t="s">
        <v>1213</v>
      </c>
    </row>
    <row r="48" spans="1:13" x14ac:dyDescent="0.3">
      <c r="J48" s="168" t="s">
        <v>1234</v>
      </c>
    </row>
    <row r="49" spans="10:14" s="4" customFormat="1" x14ac:dyDescent="0.3">
      <c r="J49" s="123"/>
      <c r="L49" s="196"/>
      <c r="M49" s="155"/>
      <c r="N49" s="1"/>
    </row>
    <row r="50" spans="10:14" s="4" customFormat="1" x14ac:dyDescent="0.3">
      <c r="J50" s="123"/>
      <c r="L50" s="196"/>
      <c r="M50" s="155"/>
      <c r="N50" s="1"/>
    </row>
    <row r="51" spans="10:14" s="4" customFormat="1" x14ac:dyDescent="0.3">
      <c r="J51" s="123"/>
      <c r="L51" s="196"/>
      <c r="M51" s="155"/>
      <c r="N51" s="1"/>
    </row>
    <row r="52" spans="10:14" s="4" customFormat="1" x14ac:dyDescent="0.3">
      <c r="J52" s="123"/>
      <c r="L52" s="196"/>
      <c r="M52" s="155"/>
      <c r="N52" s="1"/>
    </row>
    <row r="53" spans="10:14" x14ac:dyDescent="0.3">
      <c r="J53" s="123"/>
    </row>
    <row r="54" spans="10:14" ht="16.2" thickBot="1" x14ac:dyDescent="0.35">
      <c r="J54" s="127">
        <f>SUM(J45:J53)</f>
        <v>0</v>
      </c>
    </row>
  </sheetData>
  <pageMargins left="0.25" right="0.25" top="0.75" bottom="0.75" header="0.3" footer="0.3"/>
  <pageSetup paperSize="9" scale="62" orientation="landscape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9" tint="-0.249977111117893"/>
    <pageSetUpPr fitToPage="1"/>
  </sheetPr>
  <dimension ref="A1:M52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bestFit="1" customWidth="1"/>
    <col min="2" max="8" width="14.33203125" style="4" customWidth="1"/>
    <col min="9" max="9" width="16.44140625" style="1" customWidth="1"/>
    <col min="10" max="10" width="18.5546875" style="1" bestFit="1" customWidth="1"/>
    <col min="11" max="11" width="27" style="196" customWidth="1"/>
    <col min="12" max="12" width="12" style="155" customWidth="1"/>
    <col min="13" max="16384" width="9.109375" style="1"/>
  </cols>
  <sheetData>
    <row r="1" spans="1:12" ht="31.8" thickBot="1" x14ac:dyDescent="0.65">
      <c r="A1" s="211" t="s">
        <v>486</v>
      </c>
      <c r="B1" s="212" t="s">
        <v>487</v>
      </c>
      <c r="C1" s="213"/>
      <c r="D1" s="214"/>
      <c r="E1" s="1"/>
    </row>
    <row r="2" spans="1:12" ht="16.2" thickBot="1" x14ac:dyDescent="0.35"/>
    <row r="3" spans="1:12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43" t="s">
        <v>1351</v>
      </c>
      <c r="J3" s="44" t="s">
        <v>1345</v>
      </c>
      <c r="K3" s="156"/>
      <c r="L3" s="156"/>
    </row>
    <row r="4" spans="1:12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110">
        <v>42094</v>
      </c>
      <c r="J4" s="36"/>
      <c r="K4" s="156"/>
      <c r="L4" s="156"/>
    </row>
    <row r="5" spans="1:12" ht="16.2" thickBot="1" x14ac:dyDescent="0.35">
      <c r="A5" s="32" t="s">
        <v>19</v>
      </c>
      <c r="B5" s="10"/>
      <c r="C5" s="7"/>
      <c r="D5" s="7"/>
      <c r="I5" s="111"/>
      <c r="J5" s="8"/>
      <c r="K5" s="155"/>
    </row>
    <row r="6" spans="1:12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9">
        <f>76912</f>
        <v>76912</v>
      </c>
      <c r="J6" s="190">
        <v>115000</v>
      </c>
      <c r="K6" s="157"/>
    </row>
    <row r="7" spans="1:12" x14ac:dyDescent="0.3">
      <c r="A7" s="4" t="s">
        <v>492</v>
      </c>
      <c r="B7" s="38">
        <v>500</v>
      </c>
      <c r="C7" s="38">
        <v>85850</v>
      </c>
      <c r="D7" s="38">
        <v>62250</v>
      </c>
      <c r="E7" s="38">
        <v>66900</v>
      </c>
      <c r="F7" s="38">
        <v>91100</v>
      </c>
      <c r="G7" s="38">
        <v>83700</v>
      </c>
      <c r="H7" s="38">
        <v>94424</v>
      </c>
      <c r="I7" s="9"/>
      <c r="J7" s="190">
        <v>90000</v>
      </c>
      <c r="K7" s="155"/>
    </row>
    <row r="8" spans="1:12" ht="41.4" x14ac:dyDescent="0.3">
      <c r="A8" s="4" t="s">
        <v>22</v>
      </c>
      <c r="B8" s="38">
        <v>46200</v>
      </c>
      <c r="C8" s="38">
        <v>38350</v>
      </c>
      <c r="D8" s="38">
        <v>45250</v>
      </c>
      <c r="E8" s="38">
        <v>41550</v>
      </c>
      <c r="F8" s="38">
        <v>70983</v>
      </c>
      <c r="G8" s="38">
        <v>67300</v>
      </c>
      <c r="H8" s="38">
        <v>107350</v>
      </c>
      <c r="I8" s="9"/>
      <c r="J8" s="190">
        <v>110000</v>
      </c>
      <c r="K8" s="189" t="s">
        <v>1353</v>
      </c>
    </row>
    <row r="9" spans="1:12" x14ac:dyDescent="0.3">
      <c r="A9" s="4" t="s">
        <v>23</v>
      </c>
      <c r="B9" s="38">
        <v>34790</v>
      </c>
      <c r="C9" s="38">
        <f>54700+14100</f>
        <v>68800</v>
      </c>
      <c r="D9" s="38">
        <v>26025</v>
      </c>
      <c r="E9" s="38">
        <v>20105</v>
      </c>
      <c r="F9" s="38">
        <v>28901</v>
      </c>
      <c r="G9" s="38">
        <v>26546</v>
      </c>
      <c r="H9" s="38">
        <v>60986</v>
      </c>
      <c r="I9" s="9"/>
      <c r="J9" s="190">
        <v>70000</v>
      </c>
      <c r="K9" s="155"/>
    </row>
    <row r="10" spans="1:12" x14ac:dyDescent="0.3">
      <c r="A10" s="4" t="s">
        <v>24</v>
      </c>
      <c r="B10" s="38">
        <v>5000</v>
      </c>
      <c r="C10" s="38">
        <v>10000</v>
      </c>
      <c r="D10" s="38">
        <v>0</v>
      </c>
      <c r="E10" s="38">
        <v>14600</v>
      </c>
      <c r="F10" s="38">
        <v>3840</v>
      </c>
      <c r="G10" s="38">
        <v>11500</v>
      </c>
      <c r="H10" s="38">
        <v>37568</v>
      </c>
      <c r="I10" s="9">
        <f>20000</f>
        <v>20000</v>
      </c>
      <c r="J10" s="190">
        <v>40000</v>
      </c>
      <c r="K10" s="158"/>
    </row>
    <row r="11" spans="1:12" x14ac:dyDescent="0.3">
      <c r="A11" s="4" t="s">
        <v>489</v>
      </c>
      <c r="B11" s="38">
        <v>7200</v>
      </c>
      <c r="C11" s="38">
        <v>6866</v>
      </c>
      <c r="D11" s="38">
        <v>2515</v>
      </c>
      <c r="E11" s="38">
        <v>6728</v>
      </c>
      <c r="F11" s="38">
        <v>0</v>
      </c>
      <c r="G11" s="38">
        <v>2978</v>
      </c>
      <c r="H11" s="38">
        <v>16820</v>
      </c>
      <c r="I11" s="9"/>
      <c r="J11" s="190">
        <v>30000</v>
      </c>
      <c r="K11" s="155"/>
    </row>
    <row r="12" spans="1:12" x14ac:dyDescent="0.3">
      <c r="A12" s="4" t="s">
        <v>26</v>
      </c>
      <c r="B12" s="38">
        <v>0</v>
      </c>
      <c r="C12" s="38">
        <v>0</v>
      </c>
      <c r="D12" s="38">
        <v>0</v>
      </c>
      <c r="E12" s="38">
        <v>5600</v>
      </c>
      <c r="F12" s="38">
        <v>4050</v>
      </c>
      <c r="G12" s="38">
        <v>0</v>
      </c>
      <c r="H12" s="38">
        <v>0</v>
      </c>
      <c r="I12" s="9"/>
      <c r="J12" s="190">
        <v>0</v>
      </c>
      <c r="K12" s="155"/>
    </row>
    <row r="13" spans="1:12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9"/>
      <c r="J13" s="190">
        <v>100</v>
      </c>
      <c r="K13" s="155"/>
    </row>
    <row r="14" spans="1:12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v>4135</v>
      </c>
      <c r="F14" s="38">
        <v>1987</v>
      </c>
      <c r="G14" s="38">
        <v>1630</v>
      </c>
      <c r="H14" s="38">
        <v>16554</v>
      </c>
      <c r="I14" s="9"/>
      <c r="J14" s="190">
        <v>15000</v>
      </c>
      <c r="K14" s="155"/>
    </row>
    <row r="15" spans="1:12" x14ac:dyDescent="0.3">
      <c r="A15" s="7" t="s">
        <v>29</v>
      </c>
      <c r="B15" s="39">
        <f>SUM(B6:B14)</f>
        <v>191729</v>
      </c>
      <c r="C15" s="39">
        <f>SUM(C6:C14)</f>
        <v>345486</v>
      </c>
      <c r="D15" s="39">
        <f>SUM(D6:D14)</f>
        <v>220107</v>
      </c>
      <c r="E15" s="39">
        <f t="shared" ref="E15:J15" si="0">SUM(E6:E14)</f>
        <v>239608.28999999998</v>
      </c>
      <c r="F15" s="39">
        <f t="shared" si="0"/>
        <v>299613.28000000003</v>
      </c>
      <c r="G15" s="39">
        <f>SUM(G6:G14)</f>
        <v>289920</v>
      </c>
      <c r="H15" s="39">
        <f t="shared" si="0"/>
        <v>480751</v>
      </c>
      <c r="I15" s="11">
        <f t="shared" si="0"/>
        <v>96912</v>
      </c>
      <c r="J15" s="191">
        <f t="shared" si="0"/>
        <v>470100</v>
      </c>
      <c r="K15" s="155"/>
    </row>
    <row r="16" spans="1:12" ht="16.2" thickBot="1" x14ac:dyDescent="0.35">
      <c r="B16" s="38"/>
      <c r="C16" s="40"/>
      <c r="D16" s="40"/>
      <c r="E16" s="38"/>
      <c r="F16" s="40"/>
      <c r="G16" s="40"/>
      <c r="H16" s="40"/>
      <c r="I16" s="111"/>
      <c r="J16" s="190"/>
      <c r="K16" s="155"/>
    </row>
    <row r="17" spans="1:13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112"/>
      <c r="J17" s="190"/>
      <c r="K17" s="159"/>
      <c r="L17" s="159"/>
    </row>
    <row r="18" spans="1:13" x14ac:dyDescent="0.3">
      <c r="A18" s="4" t="s">
        <v>56</v>
      </c>
      <c r="B18" s="38">
        <v>-4459</v>
      </c>
      <c r="C18" s="38">
        <v>-12173</v>
      </c>
      <c r="D18" s="38">
        <v>0</v>
      </c>
      <c r="E18" s="38">
        <v>-180</v>
      </c>
      <c r="F18" s="38">
        <v>-1887</v>
      </c>
      <c r="G18" s="38">
        <v>0</v>
      </c>
      <c r="H18" s="38">
        <v>0</v>
      </c>
      <c r="I18" s="9">
        <v>0</v>
      </c>
      <c r="J18" s="190">
        <v>0</v>
      </c>
      <c r="K18" s="155"/>
    </row>
    <row r="19" spans="1:13" x14ac:dyDescent="0.3">
      <c r="A19" s="4" t="s">
        <v>32</v>
      </c>
      <c r="B19" s="38">
        <f>-2650-3100-1600</f>
        <v>-7350</v>
      </c>
      <c r="C19" s="38">
        <f>-250-2500-1842</f>
        <v>-4592</v>
      </c>
      <c r="D19" s="38">
        <f>-250-4500-1899</f>
        <v>-6649</v>
      </c>
      <c r="E19" s="38">
        <v>-6338</v>
      </c>
      <c r="F19" s="38">
        <v>-6643</v>
      </c>
      <c r="G19" s="38">
        <v>-3530</v>
      </c>
      <c r="H19" s="38">
        <v>-1024</v>
      </c>
      <c r="I19" s="9">
        <f>-774-250</f>
        <v>-1024</v>
      </c>
      <c r="J19" s="190">
        <v>-2000</v>
      </c>
      <c r="K19" s="155"/>
    </row>
    <row r="20" spans="1:13" x14ac:dyDescent="0.3">
      <c r="A20" s="4" t="s">
        <v>33</v>
      </c>
      <c r="B20" s="38">
        <v>0</v>
      </c>
      <c r="C20" s="38">
        <v>0</v>
      </c>
      <c r="D20" s="38">
        <v>0</v>
      </c>
      <c r="E20" s="38">
        <v>-741</v>
      </c>
      <c r="F20" s="38">
        <v>-547</v>
      </c>
      <c r="G20" s="38">
        <v>-154</v>
      </c>
      <c r="H20" s="38">
        <v>-510</v>
      </c>
      <c r="I20" s="9"/>
      <c r="J20" s="190">
        <v>-100</v>
      </c>
      <c r="K20" s="155"/>
      <c r="L20" s="197"/>
    </row>
    <row r="21" spans="1:13" x14ac:dyDescent="0.3">
      <c r="A21" s="4" t="s">
        <v>493</v>
      </c>
      <c r="B21" s="38">
        <v>-635</v>
      </c>
      <c r="C21" s="38">
        <f>-1500-935-3800-2859-81</f>
        <v>-9175</v>
      </c>
      <c r="D21" s="38">
        <f>-755-1100</f>
        <v>-1855</v>
      </c>
      <c r="E21" s="38">
        <v>-2424</v>
      </c>
      <c r="F21" s="38">
        <v>-4637.7700000000004</v>
      </c>
      <c r="G21" s="38">
        <v>-2261</v>
      </c>
      <c r="H21" s="38">
        <v>-8129</v>
      </c>
      <c r="I21" s="9"/>
      <c r="J21" s="190">
        <v>-5000</v>
      </c>
      <c r="K21" s="155"/>
      <c r="L21" s="197"/>
    </row>
    <row r="22" spans="1:13" x14ac:dyDescent="0.3">
      <c r="A22" s="4" t="s">
        <v>35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9"/>
      <c r="J22" s="190">
        <v>-10000</v>
      </c>
      <c r="K22" s="155"/>
      <c r="L22" s="197"/>
    </row>
    <row r="23" spans="1:13" x14ac:dyDescent="0.3">
      <c r="A23" s="4" t="s">
        <v>36</v>
      </c>
      <c r="B23" s="38">
        <v>-5000</v>
      </c>
      <c r="C23" s="38">
        <v>-350</v>
      </c>
      <c r="D23" s="38">
        <v>0</v>
      </c>
      <c r="E23" s="38">
        <v>-3550</v>
      </c>
      <c r="F23" s="38">
        <v>-10190</v>
      </c>
      <c r="G23" s="38">
        <v>-27295</v>
      </c>
      <c r="H23" s="38">
        <v>-13550</v>
      </c>
      <c r="I23" s="9">
        <f>-1400-1400-2700-3000</f>
        <v>-8500</v>
      </c>
      <c r="J23" s="190">
        <v>-25000</v>
      </c>
      <c r="K23" s="157"/>
      <c r="L23" s="197"/>
    </row>
    <row r="24" spans="1:13" x14ac:dyDescent="0.3">
      <c r="A24" s="4" t="s">
        <v>37</v>
      </c>
      <c r="B24" s="38">
        <v>-7900</v>
      </c>
      <c r="C24" s="38">
        <v>0</v>
      </c>
      <c r="D24" s="38">
        <v>0</v>
      </c>
      <c r="E24" s="38">
        <v>-5850</v>
      </c>
      <c r="F24" s="38">
        <v>0</v>
      </c>
      <c r="G24" s="38">
        <v>0</v>
      </c>
      <c r="H24" s="38">
        <v>0</v>
      </c>
      <c r="I24" s="9"/>
      <c r="J24" s="190">
        <v>0</v>
      </c>
      <c r="K24" s="155"/>
      <c r="L24" s="197"/>
    </row>
    <row r="25" spans="1:13" x14ac:dyDescent="0.3">
      <c r="A25" s="4" t="s">
        <v>38</v>
      </c>
      <c r="B25" s="38">
        <v>-4800</v>
      </c>
      <c r="C25" s="38">
        <v>-3398</v>
      </c>
      <c r="D25" s="38">
        <v>0</v>
      </c>
      <c r="E25" s="38">
        <v>-7138</v>
      </c>
      <c r="F25" s="38">
        <v>-3450</v>
      </c>
      <c r="G25" s="38">
        <v>-8100</v>
      </c>
      <c r="H25" s="38">
        <v>-6790</v>
      </c>
      <c r="I25" s="9">
        <f>-2940-7000</f>
        <v>-9940</v>
      </c>
      <c r="J25" s="190">
        <v>-30000</v>
      </c>
      <c r="K25" s="155"/>
      <c r="L25" s="197"/>
    </row>
    <row r="26" spans="1:13" ht="28.8" x14ac:dyDescent="0.3">
      <c r="A26" s="4" t="s">
        <v>39</v>
      </c>
      <c r="B26" s="38">
        <v>-18016</v>
      </c>
      <c r="C26" s="38">
        <v>-18105</v>
      </c>
      <c r="D26" s="38">
        <v>-14387</v>
      </c>
      <c r="E26" s="38">
        <v>-7915</v>
      </c>
      <c r="F26" s="38">
        <v>-13828</v>
      </c>
      <c r="G26" s="38">
        <v>-24118</v>
      </c>
      <c r="H26" s="38">
        <v>-30770</v>
      </c>
      <c r="I26" s="9">
        <f>-248-600-1005-330-490</f>
        <v>-2673</v>
      </c>
      <c r="J26" s="190">
        <v>-35000</v>
      </c>
      <c r="K26" s="158" t="s">
        <v>1352</v>
      </c>
      <c r="L26" s="197"/>
    </row>
    <row r="27" spans="1:13" x14ac:dyDescent="0.3">
      <c r="A27" s="4" t="s">
        <v>40</v>
      </c>
      <c r="B27" s="38">
        <v>0</v>
      </c>
      <c r="C27" s="38">
        <v>-850</v>
      </c>
      <c r="D27" s="38">
        <v>-625</v>
      </c>
      <c r="E27" s="38">
        <v>-8200</v>
      </c>
      <c r="F27" s="38">
        <v>0</v>
      </c>
      <c r="G27" s="38">
        <v>0</v>
      </c>
      <c r="H27" s="38">
        <v>-2100</v>
      </c>
      <c r="I27" s="9"/>
      <c r="J27" s="190">
        <v>-2000</v>
      </c>
      <c r="K27" s="155"/>
      <c r="L27" s="197"/>
    </row>
    <row r="28" spans="1:13" x14ac:dyDescent="0.3">
      <c r="A28" s="4" t="s">
        <v>508</v>
      </c>
      <c r="B28" s="38">
        <v>-11755</v>
      </c>
      <c r="C28" s="38">
        <v>-20024</v>
      </c>
      <c r="D28" s="38">
        <v>-13297</v>
      </c>
      <c r="E28" s="38">
        <v>-14853.42</v>
      </c>
      <c r="F28" s="38">
        <v>-18717</v>
      </c>
      <c r="G28" s="38">
        <v>-4027</v>
      </c>
      <c r="H28" s="38">
        <v>-20624</v>
      </c>
      <c r="I28" s="9"/>
      <c r="J28" s="190">
        <v>-15000</v>
      </c>
      <c r="K28" s="155"/>
      <c r="L28" s="197"/>
    </row>
    <row r="29" spans="1:13" ht="24.6" x14ac:dyDescent="0.3">
      <c r="A29" s="4" t="s">
        <v>154</v>
      </c>
      <c r="B29" s="38">
        <v>-19050</v>
      </c>
      <c r="C29" s="38">
        <f>-13250-1750</f>
        <v>-15000</v>
      </c>
      <c r="D29" s="38">
        <v>-19650</v>
      </c>
      <c r="E29" s="38">
        <v>-15750</v>
      </c>
      <c r="F29" s="38">
        <v>-21750</v>
      </c>
      <c r="G29" s="38">
        <v>-30300</v>
      </c>
      <c r="H29" s="38">
        <v>-23520</v>
      </c>
      <c r="I29" s="9">
        <f>950+4008-3900-500</f>
        <v>558</v>
      </c>
      <c r="J29" s="190">
        <v>-25000</v>
      </c>
      <c r="K29" s="157" t="s">
        <v>1389</v>
      </c>
      <c r="L29" s="197"/>
    </row>
    <row r="30" spans="1:13" x14ac:dyDescent="0.3">
      <c r="A30" s="4" t="s">
        <v>43</v>
      </c>
      <c r="B30" s="38">
        <v>-14470</v>
      </c>
      <c r="C30" s="38">
        <v>-10300</v>
      </c>
      <c r="D30" s="38">
        <v>-4860</v>
      </c>
      <c r="E30" s="38">
        <v>0</v>
      </c>
      <c r="F30" s="38">
        <v>-18405</v>
      </c>
      <c r="G30" s="38">
        <v>-10950</v>
      </c>
      <c r="H30" s="38">
        <v>-9515</v>
      </c>
      <c r="I30" s="9"/>
      <c r="J30" s="190">
        <v>-10000</v>
      </c>
      <c r="K30" s="155"/>
      <c r="L30" s="197"/>
    </row>
    <row r="31" spans="1:13" x14ac:dyDescent="0.3">
      <c r="A31" s="4" t="s">
        <v>44</v>
      </c>
      <c r="B31" s="38">
        <v>-25000</v>
      </c>
      <c r="C31" s="38">
        <v>-15000</v>
      </c>
      <c r="D31" s="38">
        <v>-17500</v>
      </c>
      <c r="E31" s="38">
        <v>-30416</v>
      </c>
      <c r="F31" s="38">
        <v>-16000</v>
      </c>
      <c r="G31" s="38">
        <v>-34000</v>
      </c>
      <c r="H31" s="38">
        <v>-27000</v>
      </c>
      <c r="I31" s="9"/>
      <c r="J31" s="190">
        <v>-30000</v>
      </c>
      <c r="K31" s="158" t="s">
        <v>1342</v>
      </c>
      <c r="L31" s="197"/>
    </row>
    <row r="32" spans="1:13" x14ac:dyDescent="0.3">
      <c r="A32" s="4" t="s">
        <v>45</v>
      </c>
      <c r="B32" s="38">
        <v>-32646</v>
      </c>
      <c r="C32" s="38">
        <v>-42437</v>
      </c>
      <c r="D32" s="38">
        <v>-26923</v>
      </c>
      <c r="E32" s="38">
        <v>-32572</v>
      </c>
      <c r="F32" s="38">
        <v>-50743</v>
      </c>
      <c r="G32" s="38">
        <v>-52811</v>
      </c>
      <c r="H32" s="38">
        <v>-126816</v>
      </c>
      <c r="I32" s="9">
        <f>-953-23023-1120-3576</f>
        <v>-28672</v>
      </c>
      <c r="J32" s="190">
        <v>-90000</v>
      </c>
      <c r="K32" s="155"/>
      <c r="L32" s="197"/>
      <c r="M32" s="55"/>
    </row>
    <row r="33" spans="1:12" ht="24.6" x14ac:dyDescent="0.3">
      <c r="A33" s="4" t="s">
        <v>46</v>
      </c>
      <c r="B33" s="38">
        <f>-60296-7500</f>
        <v>-67796</v>
      </c>
      <c r="C33" s="38">
        <f>-18276-5135</f>
        <v>-23411</v>
      </c>
      <c r="D33" s="38">
        <v>-39936</v>
      </c>
      <c r="E33" s="38">
        <v>-107761</v>
      </c>
      <c r="F33" s="38">
        <v>-154875</v>
      </c>
      <c r="G33" s="38">
        <v>-138715</v>
      </c>
      <c r="H33" s="38">
        <v>-94805</v>
      </c>
      <c r="I33" s="9">
        <f>-179-394-40</f>
        <v>-613</v>
      </c>
      <c r="J33" s="190">
        <v>-100000</v>
      </c>
      <c r="K33" s="157" t="s">
        <v>1392</v>
      </c>
      <c r="L33" s="197"/>
    </row>
    <row r="34" spans="1:12" ht="16.2" thickBot="1" x14ac:dyDescent="0.35">
      <c r="A34" s="4" t="s">
        <v>491</v>
      </c>
      <c r="B34" s="38">
        <v>0</v>
      </c>
      <c r="C34" s="38">
        <f>-75994-6425</f>
        <v>-82419</v>
      </c>
      <c r="D34" s="38">
        <f>-29362-12800</f>
        <v>-42162</v>
      </c>
      <c r="E34" s="38">
        <v>0</v>
      </c>
      <c r="F34" s="38">
        <v>0</v>
      </c>
      <c r="G34" s="38">
        <v>-102305</v>
      </c>
      <c r="H34" s="38">
        <v>-94393</v>
      </c>
      <c r="I34" s="9"/>
      <c r="J34" s="190">
        <v>-90000</v>
      </c>
      <c r="K34" s="155"/>
      <c r="L34" s="197"/>
    </row>
    <row r="35" spans="1:12" x14ac:dyDescent="0.3">
      <c r="A35" s="4" t="s">
        <v>488</v>
      </c>
      <c r="G35" s="38">
        <v>-14329</v>
      </c>
      <c r="H35" s="38"/>
      <c r="I35" s="9"/>
      <c r="J35" s="190">
        <v>0</v>
      </c>
      <c r="K35" s="198" t="s">
        <v>916</v>
      </c>
      <c r="L35" s="199"/>
    </row>
    <row r="36" spans="1:12" x14ac:dyDescent="0.3">
      <c r="A36" s="7" t="s">
        <v>47</v>
      </c>
      <c r="B36" s="39">
        <f>SUM(B18:B34)</f>
        <v>-218877</v>
      </c>
      <c r="C36" s="39">
        <f>SUM(C18:C34)</f>
        <v>-258934</v>
      </c>
      <c r="D36" s="39">
        <f>SUM(D18:D34)</f>
        <v>-187844</v>
      </c>
      <c r="E36" s="39">
        <f>SUM(E18:E34)</f>
        <v>-247088.41999999998</v>
      </c>
      <c r="F36" s="39">
        <f>SUM(F18:F34)</f>
        <v>-325572.77</v>
      </c>
      <c r="G36" s="39">
        <f>SUM(G18:G35)</f>
        <v>-457445</v>
      </c>
      <c r="H36" s="39">
        <f>SUM(H18:H35)</f>
        <v>-467066</v>
      </c>
      <c r="I36" s="11">
        <f>SUM(I18:I35)</f>
        <v>-50864</v>
      </c>
      <c r="J36" s="191">
        <f>SUM(J18:J35)</f>
        <v>-469100</v>
      </c>
      <c r="K36" s="200" t="s">
        <v>917</v>
      </c>
      <c r="L36" s="201"/>
    </row>
    <row r="37" spans="1:12" x14ac:dyDescent="0.3">
      <c r="A37" s="7"/>
      <c r="B37" s="41"/>
      <c r="C37" s="41"/>
      <c r="D37" s="41"/>
      <c r="E37" s="39"/>
      <c r="F37" s="39"/>
      <c r="G37" s="39"/>
      <c r="H37" s="39"/>
      <c r="I37" s="113"/>
      <c r="J37" s="191"/>
      <c r="K37" s="172"/>
      <c r="L37" s="169"/>
    </row>
    <row r="38" spans="1:12" s="13" customFormat="1" ht="38.25" customHeight="1" x14ac:dyDescent="0.3">
      <c r="A38" s="7" t="s">
        <v>48</v>
      </c>
      <c r="B38" s="39">
        <f t="shared" ref="B38:I38" si="1">+B36+B15</f>
        <v>-27148</v>
      </c>
      <c r="C38" s="39">
        <f t="shared" si="1"/>
        <v>86552</v>
      </c>
      <c r="D38" s="39">
        <f t="shared" si="1"/>
        <v>32263</v>
      </c>
      <c r="E38" s="39">
        <f t="shared" si="1"/>
        <v>-7480.1300000000047</v>
      </c>
      <c r="F38" s="39">
        <f t="shared" si="1"/>
        <v>-25959.489999999991</v>
      </c>
      <c r="G38" s="39">
        <f t="shared" si="1"/>
        <v>-167525</v>
      </c>
      <c r="H38" s="39">
        <f t="shared" si="1"/>
        <v>13685</v>
      </c>
      <c r="I38" s="11">
        <f t="shared" si="1"/>
        <v>46048</v>
      </c>
      <c r="J38" s="191">
        <f>J15+J36</f>
        <v>1000</v>
      </c>
      <c r="K38" s="172"/>
      <c r="L38" s="169"/>
    </row>
    <row r="39" spans="1:12" s="13" customFormat="1" x14ac:dyDescent="0.3">
      <c r="A39" s="7"/>
      <c r="B39" s="41"/>
      <c r="C39" s="41"/>
      <c r="D39" s="41"/>
      <c r="E39" s="39"/>
      <c r="F39" s="39"/>
      <c r="G39" s="39"/>
      <c r="H39" s="39"/>
      <c r="I39" s="11"/>
      <c r="J39" s="191"/>
      <c r="K39" s="172"/>
      <c r="L39" s="169"/>
    </row>
    <row r="40" spans="1:12" s="13" customFormat="1" x14ac:dyDescent="0.3">
      <c r="A40" s="7" t="s">
        <v>49</v>
      </c>
      <c r="B40" s="39">
        <v>-10000</v>
      </c>
      <c r="C40" s="39">
        <v>-10000</v>
      </c>
      <c r="D40" s="39">
        <v>-10000</v>
      </c>
      <c r="E40" s="39">
        <v>-10000</v>
      </c>
      <c r="F40" s="39">
        <v>-10000</v>
      </c>
      <c r="G40" s="39">
        <v>-14449</v>
      </c>
      <c r="H40" s="39"/>
      <c r="I40" s="11">
        <v>0</v>
      </c>
      <c r="J40" s="191">
        <v>0</v>
      </c>
      <c r="K40" s="202"/>
      <c r="L40" s="201"/>
    </row>
    <row r="41" spans="1:12" s="13" customFormat="1" ht="16.2" thickBot="1" x14ac:dyDescent="0.35">
      <c r="A41" s="7"/>
      <c r="B41" s="41"/>
      <c r="C41" s="41"/>
      <c r="D41" s="41"/>
      <c r="E41" s="39"/>
      <c r="F41" s="39"/>
      <c r="G41" s="39"/>
      <c r="H41" s="39"/>
      <c r="I41" s="11"/>
      <c r="J41" s="191"/>
      <c r="K41" s="200" t="s">
        <v>918</v>
      </c>
      <c r="L41" s="201"/>
    </row>
    <row r="42" spans="1:12" s="13" customFormat="1" ht="16.2" thickBot="1" x14ac:dyDescent="0.35">
      <c r="A42" s="7" t="s">
        <v>88</v>
      </c>
      <c r="B42" s="39">
        <f t="shared" ref="B42:I42" si="2">+B40+B38</f>
        <v>-37148</v>
      </c>
      <c r="C42" s="39">
        <f t="shared" si="2"/>
        <v>76552</v>
      </c>
      <c r="D42" s="39">
        <f t="shared" si="2"/>
        <v>22263</v>
      </c>
      <c r="E42" s="39">
        <f t="shared" si="2"/>
        <v>-17480.130000000005</v>
      </c>
      <c r="F42" s="39">
        <f t="shared" si="2"/>
        <v>-35959.489999999991</v>
      </c>
      <c r="G42" s="39">
        <f>+G40+G38</f>
        <v>-181974</v>
      </c>
      <c r="H42" s="39">
        <f t="shared" si="2"/>
        <v>13685</v>
      </c>
      <c r="I42" s="154">
        <f t="shared" si="2"/>
        <v>46048</v>
      </c>
      <c r="J42" s="192">
        <f>+J40+J38</f>
        <v>1000</v>
      </c>
      <c r="K42" s="203"/>
      <c r="L42" s="204">
        <f>SUM(L36:L41)</f>
        <v>0</v>
      </c>
    </row>
    <row r="43" spans="1:12" s="13" customFormat="1" x14ac:dyDescent="0.3">
      <c r="A43" s="4"/>
      <c r="B43" s="4"/>
      <c r="C43" s="4"/>
      <c r="D43" s="4"/>
      <c r="E43" s="4"/>
      <c r="F43" s="4"/>
      <c r="G43" s="4"/>
      <c r="H43" s="4"/>
      <c r="J43" s="58"/>
      <c r="K43" s="196"/>
      <c r="L43" s="155"/>
    </row>
    <row r="49" spans="11:13" s="4" customFormat="1" x14ac:dyDescent="0.3">
      <c r="K49" s="196"/>
      <c r="L49" s="155"/>
      <c r="M49" s="1"/>
    </row>
    <row r="50" spans="11:13" s="4" customFormat="1" x14ac:dyDescent="0.3">
      <c r="K50" s="196"/>
      <c r="L50" s="155"/>
      <c r="M50" s="1"/>
    </row>
    <row r="51" spans="11:13" s="4" customFormat="1" x14ac:dyDescent="0.3">
      <c r="K51" s="196"/>
      <c r="L51" s="155"/>
      <c r="M51" s="1"/>
    </row>
    <row r="52" spans="11:13" s="4" customFormat="1" x14ac:dyDescent="0.3">
      <c r="K52" s="196"/>
      <c r="L52" s="155"/>
      <c r="M52" s="1"/>
    </row>
  </sheetData>
  <pageMargins left="0.25" right="0.25" top="0.75" bottom="0.75" header="0.3" footer="0.3"/>
  <pageSetup paperSize="9" scale="62" orientation="landscape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9" tint="-0.249977111117893"/>
    <pageSetUpPr fitToPage="1"/>
  </sheetPr>
  <dimension ref="A1:M52"/>
  <sheetViews>
    <sheetView workbookViewId="0">
      <selection activeCell="D30" sqref="D30"/>
    </sheetView>
  </sheetViews>
  <sheetFormatPr defaultColWidth="9.109375" defaultRowHeight="15.6" x14ac:dyDescent="0.3"/>
  <cols>
    <col min="1" max="1" width="30.6640625" style="4" bestFit="1" customWidth="1"/>
    <col min="2" max="7" width="14.33203125" style="4" customWidth="1"/>
    <col min="8" max="8" width="16.44140625" style="1" customWidth="1"/>
    <col min="9" max="9" width="18.5546875" style="1" bestFit="1" customWidth="1"/>
    <col min="10" max="10" width="27" style="196" customWidth="1"/>
    <col min="11" max="11" width="16" style="155" customWidth="1"/>
    <col min="12" max="16384" width="9.109375" style="1"/>
  </cols>
  <sheetData>
    <row r="1" spans="1:11" ht="31.8" thickBot="1" x14ac:dyDescent="0.65">
      <c r="A1" s="64" t="s">
        <v>486</v>
      </c>
      <c r="B1" s="61" t="s">
        <v>487</v>
      </c>
      <c r="C1" s="62"/>
      <c r="D1" s="63"/>
      <c r="E1" s="1"/>
    </row>
    <row r="2" spans="1:11" ht="16.2" thickBot="1" x14ac:dyDescent="0.35"/>
    <row r="3" spans="1:11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44" t="s">
        <v>1345</v>
      </c>
      <c r="J3" s="156"/>
      <c r="K3" s="156"/>
    </row>
    <row r="4" spans="1:11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209"/>
      <c r="J4" s="156"/>
      <c r="K4" s="156"/>
    </row>
    <row r="5" spans="1:11" ht="16.2" thickBot="1" x14ac:dyDescent="0.35">
      <c r="A5" s="32" t="s">
        <v>19</v>
      </c>
      <c r="B5" s="10"/>
      <c r="C5" s="7"/>
      <c r="D5" s="7"/>
      <c r="H5" s="4"/>
      <c r="I5" s="8"/>
      <c r="J5" s="155"/>
    </row>
    <row r="6" spans="1:11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f>86803-50000+10296+1600+71002+27247</f>
        <v>146948</v>
      </c>
      <c r="I6" s="190">
        <v>115000</v>
      </c>
      <c r="J6" s="157"/>
    </row>
    <row r="7" spans="1:11" x14ac:dyDescent="0.3">
      <c r="A7" s="4" t="s">
        <v>492</v>
      </c>
      <c r="B7" s="38">
        <v>500</v>
      </c>
      <c r="C7" s="38">
        <v>85850</v>
      </c>
      <c r="D7" s="38">
        <v>62250</v>
      </c>
      <c r="E7" s="38">
        <v>66900</v>
      </c>
      <c r="F7" s="38">
        <v>91100</v>
      </c>
      <c r="G7" s="38">
        <v>83700</v>
      </c>
      <c r="H7" s="38">
        <v>94424</v>
      </c>
      <c r="I7" s="190">
        <v>90000</v>
      </c>
      <c r="J7" s="155"/>
    </row>
    <row r="8" spans="1:11" x14ac:dyDescent="0.3">
      <c r="A8" s="4" t="s">
        <v>22</v>
      </c>
      <c r="B8" s="38">
        <v>46200</v>
      </c>
      <c r="C8" s="38">
        <v>38350</v>
      </c>
      <c r="D8" s="38">
        <v>45250</v>
      </c>
      <c r="E8" s="38">
        <v>41550</v>
      </c>
      <c r="F8" s="38">
        <v>70983</v>
      </c>
      <c r="G8" s="38">
        <v>67300</v>
      </c>
      <c r="H8" s="38">
        <f>8000+6000+4250+6550+8100+12400+3100+8100+300+6750+800+5250+4950+1600+2900+400+300+3200+2250+400+900+600+1200+150+300+400+750+17500-50</f>
        <v>107350</v>
      </c>
      <c r="I8" s="190">
        <v>110000</v>
      </c>
      <c r="J8" s="189"/>
    </row>
    <row r="9" spans="1:11" x14ac:dyDescent="0.3">
      <c r="A9" s="4" t="s">
        <v>23</v>
      </c>
      <c r="B9" s="38">
        <v>34790</v>
      </c>
      <c r="C9" s="38">
        <f>54700+14100</f>
        <v>68800</v>
      </c>
      <c r="D9" s="38">
        <v>26025</v>
      </c>
      <c r="E9" s="38">
        <v>20105</v>
      </c>
      <c r="F9" s="38">
        <v>28901</v>
      </c>
      <c r="G9" s="38">
        <v>26546</v>
      </c>
      <c r="H9" s="38">
        <f>10000+10000+2500+5750+2175+1877+10000+520+6160+2080+1700+54+8170</f>
        <v>60986</v>
      </c>
      <c r="I9" s="190">
        <v>70000</v>
      </c>
      <c r="J9" s="155"/>
    </row>
    <row r="10" spans="1:11" x14ac:dyDescent="0.3">
      <c r="A10" s="4" t="s">
        <v>24</v>
      </c>
      <c r="B10" s="38">
        <v>5000</v>
      </c>
      <c r="C10" s="38">
        <v>10000</v>
      </c>
      <c r="D10" s="38">
        <v>0</v>
      </c>
      <c r="E10" s="38">
        <v>14600</v>
      </c>
      <c r="F10" s="38">
        <v>3840</v>
      </c>
      <c r="G10" s="38">
        <v>11500</v>
      </c>
      <c r="H10" s="38">
        <f>10568+5000+8000+5000+5000+4000</f>
        <v>37568</v>
      </c>
      <c r="I10" s="190">
        <v>40000</v>
      </c>
      <c r="J10" s="158"/>
    </row>
    <row r="11" spans="1:11" x14ac:dyDescent="0.3">
      <c r="A11" s="4" t="s">
        <v>489</v>
      </c>
      <c r="B11" s="38">
        <v>7200</v>
      </c>
      <c r="C11" s="38">
        <v>6866</v>
      </c>
      <c r="D11" s="38">
        <v>2515</v>
      </c>
      <c r="E11" s="38">
        <v>6728</v>
      </c>
      <c r="F11" s="38">
        <v>0</v>
      </c>
      <c r="G11" s="38">
        <v>2978</v>
      </c>
      <c r="H11" s="38">
        <f>12300+3240+23000+1280-23000</f>
        <v>16820</v>
      </c>
      <c r="I11" s="190">
        <v>30000</v>
      </c>
      <c r="J11" s="155"/>
    </row>
    <row r="12" spans="1:11" x14ac:dyDescent="0.3">
      <c r="A12" s="4" t="s">
        <v>26</v>
      </c>
      <c r="B12" s="38">
        <v>0</v>
      </c>
      <c r="C12" s="38">
        <v>0</v>
      </c>
      <c r="D12" s="38">
        <v>0</v>
      </c>
      <c r="E12" s="38">
        <v>5600</v>
      </c>
      <c r="F12" s="38">
        <v>4050</v>
      </c>
      <c r="G12" s="38">
        <v>0</v>
      </c>
      <c r="H12" s="38">
        <v>0</v>
      </c>
      <c r="I12" s="190">
        <v>0</v>
      </c>
      <c r="J12" s="155"/>
    </row>
    <row r="13" spans="1:1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f>101</f>
        <v>101</v>
      </c>
      <c r="I13" s="190">
        <v>100</v>
      </c>
      <c r="J13" s="155"/>
    </row>
    <row r="14" spans="1:11" ht="16.2" thickBot="1" x14ac:dyDescent="0.35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v>4135</v>
      </c>
      <c r="F14" s="38">
        <v>1987</v>
      </c>
      <c r="G14" s="38">
        <v>1630</v>
      </c>
      <c r="H14" s="38">
        <f>1728+305+9454+5067</f>
        <v>16554</v>
      </c>
      <c r="I14" s="190">
        <v>15000</v>
      </c>
      <c r="J14" s="155"/>
    </row>
    <row r="15" spans="1:11" ht="16.2" thickBot="1" x14ac:dyDescent="0.35">
      <c r="A15" s="7" t="s">
        <v>29</v>
      </c>
      <c r="B15" s="39">
        <f t="shared" ref="B15:I15" si="0">SUM(B6:B14)</f>
        <v>191729</v>
      </c>
      <c r="C15" s="39">
        <f t="shared" si="0"/>
        <v>345486</v>
      </c>
      <c r="D15" s="39">
        <f t="shared" si="0"/>
        <v>220107</v>
      </c>
      <c r="E15" s="39">
        <f t="shared" si="0"/>
        <v>239608.28999999998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192">
        <f t="shared" si="0"/>
        <v>470100</v>
      </c>
      <c r="J15" s="155"/>
    </row>
    <row r="16" spans="1:11" ht="16.2" thickBot="1" x14ac:dyDescent="0.35">
      <c r="B16" s="38"/>
      <c r="C16" s="40"/>
      <c r="D16" s="40"/>
      <c r="E16" s="38"/>
      <c r="F16" s="40"/>
      <c r="G16" s="40"/>
      <c r="H16" s="40"/>
      <c r="I16" s="190"/>
      <c r="J16" s="155"/>
    </row>
    <row r="17" spans="1:13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190"/>
      <c r="J17" s="159"/>
      <c r="K17" s="159"/>
    </row>
    <row r="18" spans="1:13" x14ac:dyDescent="0.3">
      <c r="A18" s="4" t="s">
        <v>56</v>
      </c>
      <c r="B18" s="38">
        <v>-4459</v>
      </c>
      <c r="C18" s="38">
        <v>-12173</v>
      </c>
      <c r="D18" s="38">
        <v>0</v>
      </c>
      <c r="E18" s="38">
        <v>-180</v>
      </c>
      <c r="F18" s="38">
        <v>-1887</v>
      </c>
      <c r="G18" s="38">
        <v>0</v>
      </c>
      <c r="H18" s="38">
        <v>0</v>
      </c>
      <c r="I18" s="190">
        <v>0</v>
      </c>
      <c r="J18" s="155"/>
    </row>
    <row r="19" spans="1:13" x14ac:dyDescent="0.3">
      <c r="A19" s="4" t="s">
        <v>32</v>
      </c>
      <c r="B19" s="38">
        <f>-2650-3100-1600</f>
        <v>-7350</v>
      </c>
      <c r="C19" s="38">
        <f>-250-2500-1842</f>
        <v>-4592</v>
      </c>
      <c r="D19" s="38">
        <f>-250-4500-1899</f>
        <v>-6649</v>
      </c>
      <c r="E19" s="38">
        <v>-6338</v>
      </c>
      <c r="F19" s="38">
        <v>-6643</v>
      </c>
      <c r="G19" s="38">
        <v>-3530</v>
      </c>
      <c r="H19" s="38">
        <f>-774-250</f>
        <v>-1024</v>
      </c>
      <c r="I19" s="190">
        <v>-2000</v>
      </c>
      <c r="J19" s="155"/>
    </row>
    <row r="20" spans="1:13" x14ac:dyDescent="0.3">
      <c r="A20" s="4" t="s">
        <v>33</v>
      </c>
      <c r="B20" s="38">
        <v>0</v>
      </c>
      <c r="C20" s="38">
        <v>0</v>
      </c>
      <c r="D20" s="38">
        <v>0</v>
      </c>
      <c r="E20" s="38">
        <v>-741</v>
      </c>
      <c r="F20" s="38">
        <v>-547</v>
      </c>
      <c r="G20" s="38">
        <v>-154</v>
      </c>
      <c r="H20" s="38">
        <f>-480-30</f>
        <v>-510</v>
      </c>
      <c r="I20" s="190">
        <v>-100</v>
      </c>
      <c r="J20" s="155"/>
      <c r="K20" s="197"/>
    </row>
    <row r="21" spans="1:13" x14ac:dyDescent="0.3">
      <c r="A21" s="4" t="s">
        <v>493</v>
      </c>
      <c r="B21" s="38">
        <v>-635</v>
      </c>
      <c r="C21" s="38">
        <f>-1500-935-3800-2859-81</f>
        <v>-9175</v>
      </c>
      <c r="D21" s="38">
        <f>-755-1100</f>
        <v>-1855</v>
      </c>
      <c r="E21" s="38">
        <v>-2424</v>
      </c>
      <c r="F21" s="38">
        <v>-4637.7700000000004</v>
      </c>
      <c r="G21" s="38">
        <v>-2261</v>
      </c>
      <c r="H21" s="38">
        <f>1300-570-5471+280+1412+280-1560-3800</f>
        <v>-8129</v>
      </c>
      <c r="I21" s="190">
        <v>-5000</v>
      </c>
      <c r="J21" s="155"/>
      <c r="K21" s="197"/>
    </row>
    <row r="22" spans="1:13" x14ac:dyDescent="0.3">
      <c r="A22" s="4" t="s">
        <v>35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f>-1531-562-4500-200-200-527</f>
        <v>-7520</v>
      </c>
      <c r="I22" s="190">
        <v>-10000</v>
      </c>
      <c r="J22" s="155"/>
      <c r="K22" s="197"/>
    </row>
    <row r="23" spans="1:13" x14ac:dyDescent="0.3">
      <c r="A23" s="4" t="s">
        <v>36</v>
      </c>
      <c r="B23" s="38">
        <v>-5000</v>
      </c>
      <c r="C23" s="38">
        <v>-350</v>
      </c>
      <c r="D23" s="38">
        <v>0</v>
      </c>
      <c r="E23" s="38">
        <v>-3550</v>
      </c>
      <c r="F23" s="38">
        <v>-10190</v>
      </c>
      <c r="G23" s="38">
        <v>-27295</v>
      </c>
      <c r="H23" s="38">
        <f>-1400-1300-1400-800-1000-500-2000-950-800-1400-2000</f>
        <v>-13550</v>
      </c>
      <c r="I23" s="190">
        <v>-25000</v>
      </c>
      <c r="J23" s="157"/>
      <c r="K23" s="197"/>
    </row>
    <row r="24" spans="1:13" x14ac:dyDescent="0.3">
      <c r="A24" s="4" t="s">
        <v>37</v>
      </c>
      <c r="B24" s="38">
        <v>-7900</v>
      </c>
      <c r="C24" s="38">
        <v>0</v>
      </c>
      <c r="D24" s="38">
        <v>0</v>
      </c>
      <c r="E24" s="38">
        <v>-5850</v>
      </c>
      <c r="F24" s="38">
        <v>0</v>
      </c>
      <c r="G24" s="38">
        <v>0</v>
      </c>
      <c r="H24" s="38">
        <v>0</v>
      </c>
      <c r="I24" s="190">
        <v>0</v>
      </c>
      <c r="J24" s="155"/>
      <c r="K24" s="197"/>
    </row>
    <row r="25" spans="1:13" x14ac:dyDescent="0.3">
      <c r="A25" s="4" t="s">
        <v>38</v>
      </c>
      <c r="B25" s="38">
        <v>-4800</v>
      </c>
      <c r="C25" s="38">
        <v>-3398</v>
      </c>
      <c r="D25" s="38">
        <v>0</v>
      </c>
      <c r="E25" s="38">
        <v>-7138</v>
      </c>
      <c r="F25" s="38">
        <v>-3450</v>
      </c>
      <c r="G25" s="38">
        <v>-8100</v>
      </c>
      <c r="H25" s="38">
        <f>-300-1050-1390-3000-1050</f>
        <v>-6790</v>
      </c>
      <c r="I25" s="190">
        <v>-30000</v>
      </c>
      <c r="J25" s="155"/>
      <c r="K25" s="197"/>
    </row>
    <row r="26" spans="1:13" x14ac:dyDescent="0.3">
      <c r="A26" s="4" t="s">
        <v>39</v>
      </c>
      <c r="B26" s="38">
        <v>-18016</v>
      </c>
      <c r="C26" s="38">
        <v>-18105</v>
      </c>
      <c r="D26" s="38">
        <v>-14387</v>
      </c>
      <c r="E26" s="38">
        <v>-7915</v>
      </c>
      <c r="F26" s="38">
        <v>-13828</v>
      </c>
      <c r="G26" s="38">
        <v>-24118</v>
      </c>
      <c r="H26" s="38">
        <f>-305-260-545-550-165-870-410-290-580-280-380-790-380-658-380-380-380-790-665-290-250-380-580-380-730-230-380-230-380-380-230-530-760-380-380-515-278-230-230-380-380-635-380-500-865-165-530-1225-8909</f>
        <v>-30770</v>
      </c>
      <c r="I26" s="190">
        <v>-35000</v>
      </c>
      <c r="J26" s="158"/>
      <c r="K26" s="197"/>
    </row>
    <row r="27" spans="1:13" x14ac:dyDescent="0.3">
      <c r="A27" s="4" t="s">
        <v>40</v>
      </c>
      <c r="B27" s="38">
        <v>0</v>
      </c>
      <c r="C27" s="38">
        <v>-850</v>
      </c>
      <c r="D27" s="38">
        <v>-625</v>
      </c>
      <c r="E27" s="38">
        <v>-8200</v>
      </c>
      <c r="F27" s="38">
        <v>0</v>
      </c>
      <c r="G27" s="38">
        <v>0</v>
      </c>
      <c r="H27" s="38">
        <f>-2100</f>
        <v>-2100</v>
      </c>
      <c r="I27" s="190">
        <v>-2000</v>
      </c>
      <c r="J27" s="155"/>
      <c r="K27" s="197"/>
    </row>
    <row r="28" spans="1:13" x14ac:dyDescent="0.3">
      <c r="A28" s="4" t="s">
        <v>508</v>
      </c>
      <c r="B28" s="38">
        <v>-11755</v>
      </c>
      <c r="C28" s="38">
        <v>-20024</v>
      </c>
      <c r="D28" s="38">
        <v>-13297</v>
      </c>
      <c r="E28" s="38">
        <v>-14853.42</v>
      </c>
      <c r="F28" s="38">
        <v>-18717</v>
      </c>
      <c r="G28" s="38">
        <v>-4027</v>
      </c>
      <c r="H28" s="38">
        <f>-1785-800-765-8342-2145-3793-315-2288-71-1020+700</f>
        <v>-20624</v>
      </c>
      <c r="I28" s="190">
        <v>-15000</v>
      </c>
      <c r="J28" s="155"/>
      <c r="K28" s="197"/>
    </row>
    <row r="29" spans="1:13" x14ac:dyDescent="0.3">
      <c r="A29" s="4" t="s">
        <v>154</v>
      </c>
      <c r="B29" s="38">
        <v>-19050</v>
      </c>
      <c r="C29" s="38">
        <f>-13250-1750</f>
        <v>-15000</v>
      </c>
      <c r="D29" s="38">
        <v>-19650</v>
      </c>
      <c r="E29" s="38">
        <v>-15750</v>
      </c>
      <c r="F29" s="38">
        <v>-21750</v>
      </c>
      <c r="G29" s="38">
        <v>-30300</v>
      </c>
      <c r="H29" s="38">
        <f>-4750-12750-1950+1550-3500-1900-220</f>
        <v>-23520</v>
      </c>
      <c r="I29" s="190">
        <v>-25000</v>
      </c>
      <c r="J29" s="157"/>
      <c r="K29" s="197"/>
    </row>
    <row r="30" spans="1:13" x14ac:dyDescent="0.3">
      <c r="A30" s="4" t="s">
        <v>43</v>
      </c>
      <c r="B30" s="38">
        <v>-14470</v>
      </c>
      <c r="C30" s="38">
        <v>-10300</v>
      </c>
      <c r="D30" s="38">
        <v>-4860</v>
      </c>
      <c r="E30" s="38">
        <v>0</v>
      </c>
      <c r="F30" s="38">
        <v>-18405</v>
      </c>
      <c r="G30" s="38">
        <v>-10950</v>
      </c>
      <c r="H30" s="38">
        <f>-6400-1875-1240</f>
        <v>-9515</v>
      </c>
      <c r="I30" s="190">
        <v>-10000</v>
      </c>
      <c r="J30" s="155"/>
      <c r="K30" s="197"/>
    </row>
    <row r="31" spans="1:13" x14ac:dyDescent="0.3">
      <c r="A31" s="4" t="s">
        <v>44</v>
      </c>
      <c r="B31" s="38">
        <v>-25000</v>
      </c>
      <c r="C31" s="38">
        <v>-15000</v>
      </c>
      <c r="D31" s="38">
        <v>-17500</v>
      </c>
      <c r="E31" s="38">
        <v>-30416</v>
      </c>
      <c r="F31" s="38">
        <v>-16000</v>
      </c>
      <c r="G31" s="38">
        <v>-34000</v>
      </c>
      <c r="H31" s="38">
        <f>-10000-2000-1000-5000-1000-5000-3000</f>
        <v>-27000</v>
      </c>
      <c r="I31" s="190">
        <v>-30000</v>
      </c>
      <c r="J31" s="158" t="s">
        <v>1342</v>
      </c>
      <c r="K31" s="197"/>
    </row>
    <row r="32" spans="1:13" x14ac:dyDescent="0.3">
      <c r="A32" s="4" t="s">
        <v>45</v>
      </c>
      <c r="B32" s="38">
        <v>-32646</v>
      </c>
      <c r="C32" s="38">
        <v>-42437</v>
      </c>
      <c r="D32" s="38">
        <v>-26923</v>
      </c>
      <c r="E32" s="38">
        <v>-32572</v>
      </c>
      <c r="F32" s="38">
        <v>-50743</v>
      </c>
      <c r="G32" s="38">
        <v>-52811</v>
      </c>
      <c r="H32" s="38">
        <f>-48644-17258-12025-10021-38638-230</f>
        <v>-126816</v>
      </c>
      <c r="I32" s="190">
        <v>-90000</v>
      </c>
      <c r="J32" s="155"/>
      <c r="K32" s="197"/>
      <c r="L32" s="55"/>
      <c r="M32" s="55"/>
    </row>
    <row r="33" spans="1:11" x14ac:dyDescent="0.3">
      <c r="A33" s="4" t="s">
        <v>46</v>
      </c>
      <c r="B33" s="38">
        <f>-60296-7500</f>
        <v>-67796</v>
      </c>
      <c r="C33" s="38">
        <f>-18276-5135</f>
        <v>-23411</v>
      </c>
      <c r="D33" s="38">
        <v>-39936</v>
      </c>
      <c r="E33" s="38">
        <v>-107761</v>
      </c>
      <c r="F33" s="38">
        <v>-154875</v>
      </c>
      <c r="G33" s="38">
        <v>-138715</v>
      </c>
      <c r="H33" s="38">
        <f>-200-666-47-321-535-268-1053-65-438-412-4725-149-976-1260-10825-3487-549-326-549-1236-549-1795-5436-549-3500-118-666-980-1098-104-1995-1521-874-10282-649-1098-838-293+12490-410+19690-392-134-151-13139-19587-348-4041-702-88-403-362+6800-530-6632-358-629-499-320-2990-450-540-484-52-320-195-494-51-3000-376-1000-329-13113-782-125-106-221</f>
        <v>-94805</v>
      </c>
      <c r="I33" s="190">
        <v>-100000</v>
      </c>
      <c r="J33" s="157"/>
      <c r="K33" s="197"/>
    </row>
    <row r="34" spans="1:11" x14ac:dyDescent="0.3">
      <c r="A34" s="4" t="s">
        <v>491</v>
      </c>
      <c r="B34" s="38">
        <v>0</v>
      </c>
      <c r="C34" s="38">
        <f>-75994-6425</f>
        <v>-82419</v>
      </c>
      <c r="D34" s="38">
        <f>-29362-12800</f>
        <v>-42162</v>
      </c>
      <c r="E34" s="38">
        <v>0</v>
      </c>
      <c r="F34" s="38">
        <v>0</v>
      </c>
      <c r="G34" s="38">
        <v>-102305</v>
      </c>
      <c r="H34" s="38">
        <f>-800-668-800-800-800-800-800-800-800-800-800-800-800-800-800-800-800-800-800-400-800-800-1875-30600-44850</f>
        <v>-94393</v>
      </c>
      <c r="I34" s="190">
        <v>-90000</v>
      </c>
      <c r="J34" s="155"/>
      <c r="K34" s="197"/>
    </row>
    <row r="35" spans="1:11" ht="16.2" thickBot="1" x14ac:dyDescent="0.35">
      <c r="A35" s="4" t="s">
        <v>488</v>
      </c>
      <c r="G35" s="38">
        <v>-14329</v>
      </c>
      <c r="H35" s="38">
        <v>0</v>
      </c>
      <c r="I35" s="190">
        <v>0</v>
      </c>
      <c r="J35" s="159"/>
    </row>
    <row r="36" spans="1:11" ht="16.2" thickBot="1" x14ac:dyDescent="0.35">
      <c r="A36" s="7" t="s">
        <v>47</v>
      </c>
      <c r="B36" s="39">
        <f>SUM(B18:B34)</f>
        <v>-218877</v>
      </c>
      <c r="C36" s="39">
        <f>SUM(C18:C34)</f>
        <v>-258934</v>
      </c>
      <c r="D36" s="39">
        <f>SUM(D18:D34)</f>
        <v>-187844</v>
      </c>
      <c r="E36" s="39">
        <f>SUM(E18:E34)</f>
        <v>-247088.41999999998</v>
      </c>
      <c r="F36" s="39">
        <f>SUM(F18:F34)</f>
        <v>-325572.77</v>
      </c>
      <c r="G36" s="39">
        <f>SUM(G18:G35)</f>
        <v>-457445</v>
      </c>
      <c r="H36" s="39">
        <f>SUM(H18:H35)</f>
        <v>-467066</v>
      </c>
      <c r="I36" s="192">
        <f>SUM(I18:I35)</f>
        <v>-469100</v>
      </c>
      <c r="J36" s="205"/>
      <c r="K36" s="206"/>
    </row>
    <row r="37" spans="1:11" x14ac:dyDescent="0.3">
      <c r="A37" s="7"/>
      <c r="B37" s="41"/>
      <c r="C37" s="41"/>
      <c r="D37" s="41"/>
      <c r="E37" s="39"/>
      <c r="F37" s="39"/>
      <c r="G37" s="39"/>
      <c r="H37" s="39"/>
      <c r="I37" s="191"/>
      <c r="J37" s="158"/>
      <c r="K37" s="207"/>
    </row>
    <row r="38" spans="1:11" s="13" customFormat="1" ht="38.25" customHeight="1" x14ac:dyDescent="0.3">
      <c r="A38" s="7" t="s">
        <v>48</v>
      </c>
      <c r="B38" s="39">
        <f t="shared" ref="B38:H38" si="1">+B36+B15</f>
        <v>-27148</v>
      </c>
      <c r="C38" s="39">
        <f t="shared" si="1"/>
        <v>86552</v>
      </c>
      <c r="D38" s="39">
        <f t="shared" si="1"/>
        <v>32263</v>
      </c>
      <c r="E38" s="39">
        <f t="shared" si="1"/>
        <v>-7480.1300000000047</v>
      </c>
      <c r="F38" s="39">
        <f t="shared" si="1"/>
        <v>-25959.489999999991</v>
      </c>
      <c r="G38" s="39">
        <f t="shared" si="1"/>
        <v>-167525</v>
      </c>
      <c r="H38" s="39">
        <f t="shared" si="1"/>
        <v>13685</v>
      </c>
      <c r="I38" s="191">
        <f>I15+I36</f>
        <v>1000</v>
      </c>
      <c r="J38" s="158"/>
      <c r="K38" s="207"/>
    </row>
    <row r="39" spans="1:11" s="13" customFormat="1" x14ac:dyDescent="0.3">
      <c r="A39" s="7"/>
      <c r="B39" s="41"/>
      <c r="C39" s="41"/>
      <c r="D39" s="41"/>
      <c r="E39" s="39"/>
      <c r="F39" s="39"/>
      <c r="G39" s="39"/>
      <c r="H39" s="39"/>
      <c r="I39" s="191"/>
      <c r="J39" s="158"/>
      <c r="K39" s="207"/>
    </row>
    <row r="40" spans="1:11" s="13" customFormat="1" x14ac:dyDescent="0.3">
      <c r="A40" s="7" t="s">
        <v>49</v>
      </c>
      <c r="B40" s="39">
        <v>-10000</v>
      </c>
      <c r="C40" s="39">
        <v>-10000</v>
      </c>
      <c r="D40" s="39">
        <v>-10000</v>
      </c>
      <c r="E40" s="39">
        <v>-10000</v>
      </c>
      <c r="F40" s="39">
        <v>-10000</v>
      </c>
      <c r="G40" s="39">
        <v>-14449</v>
      </c>
      <c r="H40" s="39">
        <v>0</v>
      </c>
      <c r="I40" s="191">
        <v>0</v>
      </c>
      <c r="J40" s="155"/>
      <c r="K40" s="206"/>
    </row>
    <row r="41" spans="1:11" s="13" customFormat="1" ht="16.2" thickBot="1" x14ac:dyDescent="0.35">
      <c r="A41" s="7"/>
      <c r="B41" s="41"/>
      <c r="C41" s="41"/>
      <c r="D41" s="41"/>
      <c r="E41" s="39"/>
      <c r="F41" s="39"/>
      <c r="G41" s="39"/>
      <c r="H41" s="39"/>
      <c r="I41" s="210"/>
      <c r="J41" s="205"/>
      <c r="K41" s="206"/>
    </row>
    <row r="42" spans="1:11" s="13" customFormat="1" ht="16.2" thickBot="1" x14ac:dyDescent="0.35">
      <c r="A42" s="7" t="s">
        <v>88</v>
      </c>
      <c r="B42" s="39">
        <f t="shared" ref="B42:H42" si="2">+B40+B38</f>
        <v>-37148</v>
      </c>
      <c r="C42" s="39">
        <f t="shared" si="2"/>
        <v>76552</v>
      </c>
      <c r="D42" s="39">
        <f t="shared" si="2"/>
        <v>22263</v>
      </c>
      <c r="E42" s="39">
        <f t="shared" si="2"/>
        <v>-17480.130000000005</v>
      </c>
      <c r="F42" s="39">
        <f t="shared" si="2"/>
        <v>-35959.489999999991</v>
      </c>
      <c r="G42" s="39">
        <f t="shared" si="2"/>
        <v>-181974</v>
      </c>
      <c r="H42" s="39">
        <f t="shared" si="2"/>
        <v>13685</v>
      </c>
      <c r="I42" s="192">
        <f>+I40+I38</f>
        <v>1000</v>
      </c>
      <c r="J42" s="155"/>
      <c r="K42" s="208"/>
    </row>
    <row r="43" spans="1:11" s="13" customFormat="1" x14ac:dyDescent="0.3">
      <c r="A43" s="4"/>
      <c r="B43" s="4"/>
      <c r="C43" s="4"/>
      <c r="D43" s="4"/>
      <c r="E43" s="4"/>
      <c r="F43" s="4"/>
      <c r="G43" s="4"/>
      <c r="I43" s="58"/>
      <c r="J43" s="196"/>
      <c r="K43" s="155"/>
    </row>
    <row r="49" spans="10:13" s="4" customFormat="1" x14ac:dyDescent="0.3">
      <c r="J49" s="196"/>
      <c r="K49" s="155"/>
      <c r="L49" s="1"/>
      <c r="M49" s="1"/>
    </row>
    <row r="50" spans="10:13" s="4" customFormat="1" x14ac:dyDescent="0.3">
      <c r="J50" s="196"/>
      <c r="K50" s="155"/>
      <c r="L50" s="1"/>
      <c r="M50" s="1"/>
    </row>
    <row r="51" spans="10:13" s="4" customFormat="1" x14ac:dyDescent="0.3">
      <c r="J51" s="196"/>
      <c r="K51" s="155"/>
      <c r="L51" s="1"/>
      <c r="M51" s="1"/>
    </row>
    <row r="52" spans="10:13" s="4" customFormat="1" x14ac:dyDescent="0.3">
      <c r="J52" s="196"/>
      <c r="K52" s="155"/>
      <c r="L52" s="1"/>
      <c r="M52" s="1"/>
    </row>
  </sheetData>
  <pageMargins left="0.25" right="0.25" top="0.75" bottom="0.75" header="0.3" footer="0.3"/>
  <pageSetup paperSize="9" scale="6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38E05-63C2-4119-AAAA-A16EAC5C7066}">
  <sheetPr>
    <tabColor theme="5" tint="-0.249977111117893"/>
    <pageSetUpPr fitToPage="1"/>
  </sheetPr>
  <dimension ref="A1:V52"/>
  <sheetViews>
    <sheetView zoomScale="110" zoomScaleNormal="110" workbookViewId="0">
      <pane xSplit="1" ySplit="3" topLeftCell="M4" activePane="bottomRight" state="frozen"/>
      <selection pane="topRight"/>
      <selection pane="bottomLeft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customWidth="1"/>
    <col min="6" max="6" width="16.5546875" style="4" customWidth="1"/>
    <col min="7" max="7" width="18" style="4" customWidth="1"/>
    <col min="8" max="8" width="14.33203125" style="4" customWidth="1"/>
    <col min="9" max="11" width="16.44140625" style="1" customWidth="1"/>
    <col min="12" max="17" width="18" style="1" customWidth="1"/>
    <col min="18" max="18" width="17.6640625" style="1" customWidth="1"/>
    <col min="19" max="19" width="18.5546875" style="1" customWidth="1"/>
    <col min="20" max="20" width="27" style="196" customWidth="1"/>
    <col min="21" max="21" width="12" style="155" customWidth="1"/>
    <col min="22" max="16384" width="9.109375" style="1"/>
  </cols>
  <sheetData>
    <row r="1" spans="1:21" ht="31.8" thickBot="1" x14ac:dyDescent="0.65">
      <c r="A1" s="211" t="s">
        <v>486</v>
      </c>
      <c r="B1" s="254"/>
      <c r="C1" s="255"/>
      <c r="D1" s="255"/>
      <c r="G1" s="1"/>
      <c r="I1" s="4"/>
      <c r="K1" s="291" t="s">
        <v>487</v>
      </c>
      <c r="L1" s="291"/>
      <c r="M1" s="291"/>
      <c r="N1" s="291"/>
      <c r="O1" s="291"/>
      <c r="P1" s="291"/>
      <c r="Q1" s="291"/>
      <c r="R1" s="291"/>
      <c r="S1" s="292"/>
    </row>
    <row r="2" spans="1:21" ht="16.2" thickBot="1" x14ac:dyDescent="0.35"/>
    <row r="3" spans="1:21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37">
        <v>2016</v>
      </c>
      <c r="K3" s="241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37">
        <v>2023</v>
      </c>
      <c r="R3" s="37">
        <v>2024</v>
      </c>
      <c r="S3" s="240" t="s">
        <v>2812</v>
      </c>
      <c r="T3" s="156"/>
      <c r="U3" s="156"/>
    </row>
    <row r="4" spans="1:21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275"/>
      <c r="P4" s="275"/>
      <c r="Q4" s="263"/>
      <c r="R4" s="110"/>
      <c r="S4" s="209"/>
      <c r="T4" s="156"/>
      <c r="U4" s="156"/>
    </row>
    <row r="5" spans="1:21" ht="16.2" thickBot="1" x14ac:dyDescent="0.35">
      <c r="A5" s="32" t="s">
        <v>19</v>
      </c>
      <c r="B5" s="10"/>
      <c r="C5" s="7"/>
      <c r="D5" s="7"/>
      <c r="I5" s="4"/>
      <c r="J5" s="4"/>
      <c r="K5" s="262"/>
      <c r="L5" s="262"/>
      <c r="M5" s="262"/>
      <c r="N5" s="262"/>
      <c r="O5" s="256"/>
      <c r="P5" s="256"/>
      <c r="Q5" s="264"/>
      <c r="R5" s="237"/>
      <c r="S5" s="8"/>
      <c r="T5" s="155"/>
    </row>
    <row r="6" spans="1:21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38">
        <v>183801</v>
      </c>
      <c r="L6" s="38">
        <v>157419</v>
      </c>
      <c r="M6" s="38">
        <v>174547</v>
      </c>
      <c r="N6" s="38">
        <v>201753</v>
      </c>
      <c r="O6" s="38">
        <v>201232</v>
      </c>
      <c r="P6" s="38">
        <v>225734</v>
      </c>
      <c r="Q6" s="38">
        <v>252983</v>
      </c>
      <c r="R6" s="9">
        <v>209138</v>
      </c>
      <c r="S6" s="190">
        <v>210000</v>
      </c>
      <c r="T6" s="217"/>
    </row>
    <row r="7" spans="1:2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38">
        <v>131700</v>
      </c>
      <c r="L7" s="38">
        <v>136075</v>
      </c>
      <c r="M7" s="38">
        <v>171450</v>
      </c>
      <c r="N7" s="38">
        <v>179900</v>
      </c>
      <c r="O7" s="38">
        <v>165825</v>
      </c>
      <c r="P7" s="38">
        <v>187000</v>
      </c>
      <c r="Q7" s="38">
        <v>181250</v>
      </c>
      <c r="R7" s="9">
        <v>211575</v>
      </c>
      <c r="S7" s="190">
        <v>210000</v>
      </c>
      <c r="T7" s="236"/>
    </row>
    <row r="8" spans="1:21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38">
        <v>96525</v>
      </c>
      <c r="L8" s="38">
        <v>71440</v>
      </c>
      <c r="M8" s="38">
        <v>94105</v>
      </c>
      <c r="N8" s="38">
        <v>36227</v>
      </c>
      <c r="O8" s="38">
        <v>38377</v>
      </c>
      <c r="P8" s="38">
        <v>83434</v>
      </c>
      <c r="Q8" s="38">
        <v>177917</v>
      </c>
      <c r="R8" s="9">
        <v>112047</v>
      </c>
      <c r="S8" s="190">
        <v>115000</v>
      </c>
      <c r="T8" s="155"/>
    </row>
    <row r="9" spans="1:21" ht="31.8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38">
        <v>13700</v>
      </c>
      <c r="L9" s="38">
        <v>18200</v>
      </c>
      <c r="M9" s="38">
        <v>12988</v>
      </c>
      <c r="N9" s="38">
        <v>20320</v>
      </c>
      <c r="O9" s="38">
        <v>16440</v>
      </c>
      <c r="P9" s="38">
        <v>33422</v>
      </c>
      <c r="Q9" s="38">
        <v>14330</v>
      </c>
      <c r="R9" s="9">
        <v>27500</v>
      </c>
      <c r="S9" s="190">
        <v>105000</v>
      </c>
      <c r="T9" s="236" t="s">
        <v>2820</v>
      </c>
    </row>
    <row r="10" spans="1:21" ht="24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38">
        <v>104297</v>
      </c>
      <c r="L10" s="38">
        <v>93420</v>
      </c>
      <c r="M10" s="38">
        <v>63900</v>
      </c>
      <c r="N10" s="38">
        <v>40260</v>
      </c>
      <c r="O10" s="38">
        <v>93603</v>
      </c>
      <c r="P10" s="38">
        <v>109900</v>
      </c>
      <c r="Q10" s="38">
        <v>137850</v>
      </c>
      <c r="R10" s="9">
        <v>125900</v>
      </c>
      <c r="S10" s="190">
        <v>100000</v>
      </c>
      <c r="T10" s="217" t="s">
        <v>2815</v>
      </c>
    </row>
    <row r="11" spans="1:21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38">
        <v>85200</v>
      </c>
      <c r="L11" s="38">
        <v>69517</v>
      </c>
      <c r="M11" s="38">
        <v>89680</v>
      </c>
      <c r="N11" s="38">
        <v>95633</v>
      </c>
      <c r="O11" s="38">
        <v>124778</v>
      </c>
      <c r="P11" s="38">
        <v>145695</v>
      </c>
      <c r="Q11" s="38">
        <v>163300</v>
      </c>
      <c r="R11" s="9">
        <v>203280</v>
      </c>
      <c r="S11" s="190">
        <v>200000</v>
      </c>
      <c r="T11" s="155"/>
    </row>
    <row r="12" spans="1:21" x14ac:dyDescent="0.3">
      <c r="A12" s="4" t="s">
        <v>2813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9">
        <v>0</v>
      </c>
      <c r="S12" s="190">
        <v>124000</v>
      </c>
      <c r="T12" s="157" t="s">
        <v>2819</v>
      </c>
    </row>
    <row r="13" spans="1:21" hidden="1" x14ac:dyDescent="0.3">
      <c r="A13" s="4" t="s">
        <v>2143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0</v>
      </c>
      <c r="G13" s="38">
        <v>0</v>
      </c>
      <c r="H13" s="38">
        <v>0</v>
      </c>
      <c r="I13" s="38">
        <v>0</v>
      </c>
      <c r="J13" s="38">
        <f>5750-1743-1743-1453-3486-4358-15750+10000+7640+840+1463+5660</f>
        <v>2820</v>
      </c>
      <c r="K13" s="38">
        <v>5455</v>
      </c>
      <c r="L13" s="38">
        <v>0</v>
      </c>
      <c r="M13" s="38">
        <v>0</v>
      </c>
      <c r="N13" s="38">
        <v>0</v>
      </c>
      <c r="O13" s="38"/>
      <c r="P13" s="38"/>
      <c r="Q13" s="38"/>
      <c r="R13" s="9"/>
      <c r="S13" s="190">
        <v>0</v>
      </c>
      <c r="T13" s="155"/>
    </row>
    <row r="14" spans="1:21" x14ac:dyDescent="0.3">
      <c r="A14" s="4" t="s">
        <v>27</v>
      </c>
      <c r="B14" s="38">
        <v>2474</v>
      </c>
      <c r="C14" s="38">
        <v>239</v>
      </c>
      <c r="D14" s="38">
        <v>450</v>
      </c>
      <c r="E14" s="38">
        <v>2470.9899999999998</v>
      </c>
      <c r="F14" s="38">
        <v>1824.88</v>
      </c>
      <c r="G14" s="38">
        <v>514</v>
      </c>
      <c r="H14" s="38">
        <v>101</v>
      </c>
      <c r="I14" s="38">
        <v>13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/>
      <c r="P14" s="38"/>
      <c r="Q14" s="38"/>
      <c r="R14" s="9">
        <v>6206</v>
      </c>
      <c r="S14" s="190">
        <v>3000</v>
      </c>
      <c r="T14" s="155"/>
    </row>
    <row r="15" spans="1:21" x14ac:dyDescent="0.3">
      <c r="A15" s="4" t="s">
        <v>490</v>
      </c>
      <c r="B15" s="38">
        <f>3455+2000</f>
        <v>5455</v>
      </c>
      <c r="C15" s="38">
        <f>400+10000+12000</f>
        <v>22400</v>
      </c>
      <c r="D15" s="38">
        <v>4112</v>
      </c>
      <c r="E15" s="38">
        <f>4135+5600</f>
        <v>9735</v>
      </c>
      <c r="F15" s="38">
        <f>1987+4050</f>
        <v>6037</v>
      </c>
      <c r="G15" s="38">
        <v>1630</v>
      </c>
      <c r="H15" s="38">
        <v>16554</v>
      </c>
      <c r="I15" s="38">
        <f>28269-19125+4390+6756</f>
        <v>20290</v>
      </c>
      <c r="J15" s="38">
        <f>2914+5838+4950+240+1000+6365+1880+2390</f>
        <v>25577</v>
      </c>
      <c r="K15" s="38">
        <v>29446</v>
      </c>
      <c r="L15" s="38">
        <v>56040</v>
      </c>
      <c r="M15" s="38">
        <v>21304</v>
      </c>
      <c r="N15" s="38">
        <v>93807</v>
      </c>
      <c r="O15" s="38">
        <v>61627</v>
      </c>
      <c r="P15" s="38">
        <v>46439</v>
      </c>
      <c r="Q15" s="38">
        <v>11035</v>
      </c>
      <c r="R15" s="9">
        <v>17071</v>
      </c>
      <c r="S15" s="190">
        <v>15000</v>
      </c>
      <c r="T15" s="217"/>
    </row>
    <row r="16" spans="1:21" x14ac:dyDescent="0.3">
      <c r="A16" s="7" t="s">
        <v>2554</v>
      </c>
      <c r="B16" s="39">
        <f t="shared" ref="B16:S16" si="0">SUM(B6:B15)</f>
        <v>194203</v>
      </c>
      <c r="C16" s="39">
        <f t="shared" si="0"/>
        <v>345725</v>
      </c>
      <c r="D16" s="39">
        <f t="shared" si="0"/>
        <v>220557</v>
      </c>
      <c r="E16" s="39">
        <f t="shared" si="0"/>
        <v>242079.27999999997</v>
      </c>
      <c r="F16" s="39">
        <f t="shared" si="0"/>
        <v>299613.28000000003</v>
      </c>
      <c r="G16" s="39">
        <f t="shared" si="0"/>
        <v>289920</v>
      </c>
      <c r="H16" s="39">
        <f t="shared" si="0"/>
        <v>480751</v>
      </c>
      <c r="I16" s="39">
        <f>SUM(I6:I15)</f>
        <v>628336</v>
      </c>
      <c r="J16" s="39">
        <f t="shared" si="0"/>
        <v>621290</v>
      </c>
      <c r="K16" s="39">
        <f t="shared" si="0"/>
        <v>650124</v>
      </c>
      <c r="L16" s="39">
        <f>SUM(L6:L15)</f>
        <v>602111</v>
      </c>
      <c r="M16" s="39">
        <v>627974</v>
      </c>
      <c r="N16" s="39">
        <f>SUM(N6:N15)</f>
        <v>667900</v>
      </c>
      <c r="O16" s="39">
        <f>SUM(O6:O15)</f>
        <v>701882</v>
      </c>
      <c r="P16" s="39">
        <f>SUM(P6:P15)</f>
        <v>831624</v>
      </c>
      <c r="Q16" s="39">
        <f t="shared" ref="Q16:R16" si="1">SUM(Q6:Q15)</f>
        <v>938665</v>
      </c>
      <c r="R16" s="11">
        <f t="shared" si="1"/>
        <v>912717</v>
      </c>
      <c r="S16" s="191">
        <f t="shared" si="0"/>
        <v>1082000</v>
      </c>
      <c r="T16" s="155"/>
    </row>
    <row r="17" spans="1:22" ht="16.2" thickBot="1" x14ac:dyDescent="0.35">
      <c r="B17" s="38"/>
      <c r="C17" s="40"/>
      <c r="D17" s="40"/>
      <c r="E17" s="38"/>
      <c r="F17" s="40"/>
      <c r="G17" s="40"/>
      <c r="H17" s="40"/>
      <c r="I17" s="40"/>
      <c r="J17" s="40"/>
      <c r="K17" s="40"/>
      <c r="R17" s="111"/>
      <c r="S17" s="190"/>
      <c r="T17" s="155"/>
    </row>
    <row r="18" spans="1:22" s="13" customFormat="1" ht="16.2" thickBot="1" x14ac:dyDescent="0.35">
      <c r="A18" s="32" t="s">
        <v>30</v>
      </c>
      <c r="B18" s="38"/>
      <c r="C18" s="41"/>
      <c r="D18" s="41"/>
      <c r="E18" s="38"/>
      <c r="F18" s="41"/>
      <c r="G18" s="41"/>
      <c r="H18" s="41"/>
      <c r="I18" s="41"/>
      <c r="J18" s="41"/>
      <c r="K18" s="41"/>
      <c r="R18" s="112"/>
      <c r="S18" s="190"/>
      <c r="T18" s="159"/>
      <c r="U18" s="159"/>
    </row>
    <row r="19" spans="1:22" x14ac:dyDescent="0.3">
      <c r="A19" s="4" t="s">
        <v>46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38">
        <v>-134562</v>
      </c>
      <c r="L19" s="38">
        <v>-150140</v>
      </c>
      <c r="M19" s="38">
        <v>-104717</v>
      </c>
      <c r="N19" s="38">
        <v>-122818</v>
      </c>
      <c r="O19" s="38">
        <v>-159842</v>
      </c>
      <c r="P19" s="38">
        <v>-181432</v>
      </c>
      <c r="Q19" s="38">
        <v>-220492</v>
      </c>
      <c r="R19" s="9">
        <v>-95687</v>
      </c>
      <c r="S19" s="190">
        <v>-130000</v>
      </c>
      <c r="T19" s="155"/>
      <c r="U19" s="197"/>
      <c r="V19" s="55"/>
    </row>
    <row r="20" spans="1:22" x14ac:dyDescent="0.3">
      <c r="A20" s="4" t="s">
        <v>45</v>
      </c>
      <c r="B20" s="38">
        <f>-60296-7500</f>
        <v>-67796</v>
      </c>
      <c r="C20" s="38">
        <f>-18276-5135</f>
        <v>-23411</v>
      </c>
      <c r="D20" s="38">
        <v>-39936</v>
      </c>
      <c r="E20" s="38">
        <v>-107761</v>
      </c>
      <c r="F20" s="38">
        <v>-154875</v>
      </c>
      <c r="G20" s="38">
        <v>-138715</v>
      </c>
      <c r="H20" s="38">
        <v>-94805</v>
      </c>
      <c r="I20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20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20" s="38">
        <v>-201761</v>
      </c>
      <c r="L20" s="38">
        <v>-70226</v>
      </c>
      <c r="M20" s="38">
        <v>-120875</v>
      </c>
      <c r="N20" s="38">
        <v>-81372</v>
      </c>
      <c r="O20" s="38">
        <v>-100638</v>
      </c>
      <c r="P20" s="38">
        <v>-133504</v>
      </c>
      <c r="Q20" s="38">
        <v>-140769</v>
      </c>
      <c r="R20" s="9">
        <v>-121835</v>
      </c>
      <c r="S20" s="190">
        <v>-120000</v>
      </c>
      <c r="T20" s="157"/>
      <c r="U20" s="197"/>
    </row>
    <row r="21" spans="1:22" x14ac:dyDescent="0.3">
      <c r="A21" s="4" t="s">
        <v>508</v>
      </c>
      <c r="B21" s="38">
        <v>-11755</v>
      </c>
      <c r="C21" s="38">
        <v>-20024</v>
      </c>
      <c r="D21" s="38">
        <v>-13297</v>
      </c>
      <c r="E21" s="38">
        <v>-14853.42</v>
      </c>
      <c r="F21" s="38">
        <v>-18717</v>
      </c>
      <c r="G21" s="38">
        <v>-4027</v>
      </c>
      <c r="H21" s="38">
        <v>-20624</v>
      </c>
      <c r="I21" s="38">
        <f>-3208-5440+2557-5729-1907+1985-874-1767-2130-3432-789-9120-114-867-1407-1435-38-5807-8282</f>
        <v>-47804</v>
      </c>
      <c r="J21" s="38">
        <f>-3760-1277-3685+3685-2253-17843-2444-4021-349-5145-111-368-279-322</f>
        <v>-38172</v>
      </c>
      <c r="K21" s="38">
        <v>-17887</v>
      </c>
      <c r="L21" s="38">
        <v>-4522</v>
      </c>
      <c r="M21" s="38">
        <v>0</v>
      </c>
      <c r="N21" s="38">
        <v>-469</v>
      </c>
      <c r="O21" s="38">
        <v>-225</v>
      </c>
      <c r="P21" s="38">
        <v>-519</v>
      </c>
      <c r="Q21" s="38">
        <v>-58306</v>
      </c>
      <c r="R21" s="9">
        <v>-29423</v>
      </c>
      <c r="S21" s="190">
        <v>-45000</v>
      </c>
      <c r="T21" s="157"/>
      <c r="U21" s="197"/>
    </row>
    <row r="22" spans="1:22" x14ac:dyDescent="0.3">
      <c r="A22" s="4" t="s">
        <v>1633</v>
      </c>
      <c r="B22" s="38">
        <v>-4800</v>
      </c>
      <c r="C22" s="38">
        <v>-3398</v>
      </c>
      <c r="D22" s="38">
        <v>0</v>
      </c>
      <c r="E22" s="38">
        <v>-7138</v>
      </c>
      <c r="F22" s="38">
        <v>-3450</v>
      </c>
      <c r="G22" s="38">
        <v>-8100</v>
      </c>
      <c r="H22" s="38">
        <v>-6790</v>
      </c>
      <c r="I22" s="38">
        <f>-2940-7000-2500-2800-185+23111-23111-31150-1700-495-1000</f>
        <v>-49770</v>
      </c>
      <c r="J22" s="38">
        <f>-2100-1969-5000-500-15500-1440-629-7355</f>
        <v>-34493</v>
      </c>
      <c r="K22" s="38">
        <v>-38345</v>
      </c>
      <c r="L22" s="38">
        <v>-52120</v>
      </c>
      <c r="M22" s="38">
        <v>-70704</v>
      </c>
      <c r="N22" s="38">
        <v>-10498</v>
      </c>
      <c r="O22" s="38">
        <v>-17059</v>
      </c>
      <c r="P22" s="38">
        <v>-29952</v>
      </c>
      <c r="Q22" s="38">
        <v>-42358</v>
      </c>
      <c r="R22" s="9">
        <v>-52555</v>
      </c>
      <c r="S22" s="190">
        <v>-50000</v>
      </c>
      <c r="T22" s="155"/>
      <c r="U22" s="197"/>
    </row>
    <row r="23" spans="1:22" ht="21.6" x14ac:dyDescent="0.3">
      <c r="A23" s="4" t="s">
        <v>940</v>
      </c>
      <c r="B23" s="38">
        <v>0</v>
      </c>
      <c r="C23" s="38">
        <v>-1700</v>
      </c>
      <c r="D23" s="38">
        <v>0</v>
      </c>
      <c r="E23" s="38">
        <v>-3400</v>
      </c>
      <c r="F23" s="38">
        <v>-3900</v>
      </c>
      <c r="G23" s="38">
        <v>-4550</v>
      </c>
      <c r="H23" s="38">
        <v>-7520</v>
      </c>
      <c r="I23" s="38">
        <f>-4500-4000-682-4000-1110</f>
        <v>-14292</v>
      </c>
      <c r="J23" s="38">
        <f>-4000-5500-4000-407</f>
        <v>-13907</v>
      </c>
      <c r="K23" s="38">
        <v>-40515</v>
      </c>
      <c r="L23" s="38">
        <v>-23150</v>
      </c>
      <c r="M23" s="38">
        <v>-39500</v>
      </c>
      <c r="N23" s="38">
        <v>-35192</v>
      </c>
      <c r="O23" s="38">
        <v>-26250</v>
      </c>
      <c r="P23" s="38">
        <v>-92029</v>
      </c>
      <c r="Q23" s="38">
        <v>-99926</v>
      </c>
      <c r="R23" s="9">
        <v>-108845</v>
      </c>
      <c r="S23" s="190">
        <v>-110000</v>
      </c>
      <c r="T23" s="217" t="s">
        <v>2818</v>
      </c>
      <c r="U23" s="197"/>
    </row>
    <row r="24" spans="1:22" x14ac:dyDescent="0.3">
      <c r="A24" s="4" t="s">
        <v>39</v>
      </c>
      <c r="B24" s="38">
        <v>-18016</v>
      </c>
      <c r="C24" s="38">
        <v>-18105</v>
      </c>
      <c r="D24" s="38">
        <v>-14387</v>
      </c>
      <c r="E24" s="38">
        <v>-7915</v>
      </c>
      <c r="F24" s="38">
        <v>-13828</v>
      </c>
      <c r="G24" s="38">
        <v>-24118</v>
      </c>
      <c r="H24" s="38">
        <v>-30770</v>
      </c>
      <c r="I24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4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4" s="38">
        <v>-76389</v>
      </c>
      <c r="L24" s="38">
        <v>-81515</v>
      </c>
      <c r="M24" s="38">
        <v>-88679</v>
      </c>
      <c r="N24" s="38">
        <v>-72732</v>
      </c>
      <c r="O24" s="38">
        <v>-58100</v>
      </c>
      <c r="P24" s="38">
        <v>-79144</v>
      </c>
      <c r="Q24" s="38">
        <v>-104788</v>
      </c>
      <c r="R24" s="9">
        <v>-88174</v>
      </c>
      <c r="S24" s="190">
        <v>-95000</v>
      </c>
      <c r="T24" s="157"/>
      <c r="U24" s="197"/>
    </row>
    <row r="25" spans="1:22" x14ac:dyDescent="0.3">
      <c r="A25" s="4" t="s">
        <v>40</v>
      </c>
      <c r="B25" s="38">
        <v>0</v>
      </c>
      <c r="C25" s="38">
        <v>-850</v>
      </c>
      <c r="D25" s="38">
        <v>-625</v>
      </c>
      <c r="E25" s="38">
        <v>-8200</v>
      </c>
      <c r="F25" s="38">
        <v>0</v>
      </c>
      <c r="G25" s="38">
        <v>0</v>
      </c>
      <c r="H25" s="38">
        <v>-2100</v>
      </c>
      <c r="I25" s="38">
        <f>-3950</f>
        <v>-3950</v>
      </c>
      <c r="J25" s="38">
        <f>-2750</f>
        <v>-2750</v>
      </c>
      <c r="K25" s="38">
        <v>-2500</v>
      </c>
      <c r="L25" s="38">
        <v>-3050</v>
      </c>
      <c r="M25" s="38">
        <v>-3860</v>
      </c>
      <c r="N25" s="38">
        <v>-7420</v>
      </c>
      <c r="O25" s="38">
        <v>-4750</v>
      </c>
      <c r="P25" s="38">
        <v>-1231</v>
      </c>
      <c r="Q25" s="38">
        <v>-13700</v>
      </c>
      <c r="R25" s="9">
        <v>-14628</v>
      </c>
      <c r="S25" s="190">
        <v>-15000</v>
      </c>
      <c r="T25" s="155"/>
      <c r="U25" s="197"/>
    </row>
    <row r="26" spans="1:22" x14ac:dyDescent="0.3">
      <c r="A26" s="4" t="s">
        <v>36</v>
      </c>
      <c r="B26" s="38">
        <v>-5000</v>
      </c>
      <c r="C26" s="38">
        <v>-350</v>
      </c>
      <c r="D26" s="38">
        <v>0</v>
      </c>
      <c r="E26" s="38">
        <v>-3550</v>
      </c>
      <c r="F26" s="38">
        <v>-10190</v>
      </c>
      <c r="G26" s="38">
        <v>-27295</v>
      </c>
      <c r="H26" s="38">
        <v>-13550</v>
      </c>
      <c r="I26" s="38">
        <f>-1400-1400-2700-3000-1500-1200-1400-1000-1200-1300-1500-800-1200-1400-1400-1190</f>
        <v>-23590</v>
      </c>
      <c r="J26" s="38">
        <f>-800-1200-1100-3350-1400-1000-2000-1000-1400-300-1200-1400-1800-1500-1500-1600-1400-1400</f>
        <v>-25350</v>
      </c>
      <c r="K26" s="38">
        <v>-23700</v>
      </c>
      <c r="L26" s="38">
        <v>-23490</v>
      </c>
      <c r="M26" s="38">
        <v>-20500</v>
      </c>
      <c r="N26" s="38">
        <v>-6700</v>
      </c>
      <c r="O26" s="38">
        <v>-4050</v>
      </c>
      <c r="P26" s="38">
        <v>-22800</v>
      </c>
      <c r="Q26" s="38">
        <v>-34900</v>
      </c>
      <c r="R26" s="9">
        <v>-31665</v>
      </c>
      <c r="S26" s="190">
        <v>-30000</v>
      </c>
      <c r="T26" s="157"/>
      <c r="U26" s="197"/>
    </row>
    <row r="27" spans="1:22" x14ac:dyDescent="0.3">
      <c r="A27" s="4" t="s">
        <v>154</v>
      </c>
      <c r="B27" s="38">
        <v>-19050</v>
      </c>
      <c r="C27" s="38">
        <f>-13250-1750</f>
        <v>-15000</v>
      </c>
      <c r="D27" s="38">
        <v>-19650</v>
      </c>
      <c r="E27" s="38">
        <v>-15750</v>
      </c>
      <c r="F27" s="38">
        <v>-21750</v>
      </c>
      <c r="G27" s="38">
        <v>-30300</v>
      </c>
      <c r="H27" s="38">
        <v>-23520</v>
      </c>
      <c r="I27" s="38">
        <f>950+4008-3900-500-15200+1000-500-1000-2000+1000-250-7000-600-7500</f>
        <v>-31492</v>
      </c>
      <c r="J27" s="38">
        <f>-1000-3000-6600-9700-4500-1900-1200-2000-2400-2000-400-500-2000</f>
        <v>-37200</v>
      </c>
      <c r="K27" s="38">
        <v>-30550</v>
      </c>
      <c r="L27" s="38">
        <v>-32750</v>
      </c>
      <c r="M27" s="38">
        <v>-41400</v>
      </c>
      <c r="N27" s="38">
        <v>-35920</v>
      </c>
      <c r="O27" s="38">
        <v>-14840</v>
      </c>
      <c r="P27" s="38">
        <v>-30440</v>
      </c>
      <c r="Q27" s="38">
        <v>-32200</v>
      </c>
      <c r="R27" s="9">
        <v>-24300</v>
      </c>
      <c r="S27" s="190">
        <v>-25000</v>
      </c>
      <c r="T27" s="157"/>
      <c r="U27" s="197"/>
    </row>
    <row r="28" spans="1:22" x14ac:dyDescent="0.3">
      <c r="A28" s="4" t="s">
        <v>43</v>
      </c>
      <c r="B28" s="38">
        <v>-14470</v>
      </c>
      <c r="C28" s="38">
        <v>-10300</v>
      </c>
      <c r="D28" s="38">
        <v>-4860</v>
      </c>
      <c r="E28" s="38">
        <v>0</v>
      </c>
      <c r="F28" s="38">
        <v>-18405</v>
      </c>
      <c r="G28" s="38">
        <v>-10950</v>
      </c>
      <c r="H28" s="38">
        <v>-9515</v>
      </c>
      <c r="I28" s="38">
        <f>-300-8900+850-1250-3500</f>
        <v>-13100</v>
      </c>
      <c r="J28" s="38">
        <f>-4700-2390-8400</f>
        <v>-15490</v>
      </c>
      <c r="K28" s="38">
        <v>-14710</v>
      </c>
      <c r="L28" s="38">
        <v>-18980</v>
      </c>
      <c r="M28" s="38">
        <v>-15500</v>
      </c>
      <c r="N28" s="38">
        <v>-14350</v>
      </c>
      <c r="O28" s="38">
        <v>-15370</v>
      </c>
      <c r="P28" s="38">
        <v>-5340</v>
      </c>
      <c r="Q28" s="38">
        <v>-4080</v>
      </c>
      <c r="R28" s="9">
        <v>-23540</v>
      </c>
      <c r="S28" s="190">
        <v>-10000</v>
      </c>
      <c r="T28" s="155"/>
      <c r="U28" s="197"/>
    </row>
    <row r="29" spans="1:22" ht="21.6" x14ac:dyDescent="0.3">
      <c r="A29" s="4" t="s">
        <v>44</v>
      </c>
      <c r="B29" s="38">
        <v>-25000</v>
      </c>
      <c r="C29" s="38">
        <v>-15000</v>
      </c>
      <c r="D29" s="38">
        <v>-17500</v>
      </c>
      <c r="E29" s="38">
        <v>-30416</v>
      </c>
      <c r="F29" s="38">
        <v>-16000</v>
      </c>
      <c r="G29" s="38">
        <v>-34000</v>
      </c>
      <c r="H29" s="38">
        <v>-27000</v>
      </c>
      <c r="I29" s="38">
        <f>-12500-1000-2000-5000-3000</f>
        <v>-23500</v>
      </c>
      <c r="J29" s="38">
        <f>-1500-10000-500-4000</f>
        <v>-16000</v>
      </c>
      <c r="K29" s="38">
        <v>-39400</v>
      </c>
      <c r="L29" s="38">
        <v>-28600</v>
      </c>
      <c r="M29" s="38">
        <v>-18000</v>
      </c>
      <c r="N29" s="38">
        <v>-25600</v>
      </c>
      <c r="O29" s="38">
        <v>-53500</v>
      </c>
      <c r="P29" s="38">
        <v>-55750</v>
      </c>
      <c r="Q29" s="38">
        <v>-66350</v>
      </c>
      <c r="R29" s="9">
        <v>-80025</v>
      </c>
      <c r="S29" s="190">
        <v>-80000</v>
      </c>
      <c r="T29" s="217" t="s">
        <v>2817</v>
      </c>
      <c r="U29" s="197"/>
    </row>
    <row r="30" spans="1:22" x14ac:dyDescent="0.3">
      <c r="A30" s="4" t="s">
        <v>56</v>
      </c>
      <c r="B30" s="38">
        <v>-4459</v>
      </c>
      <c r="C30" s="38">
        <v>-12173</v>
      </c>
      <c r="D30" s="38">
        <v>0</v>
      </c>
      <c r="E30" s="38">
        <v>-180</v>
      </c>
      <c r="F30" s="38">
        <v>-1887</v>
      </c>
      <c r="G30" s="38">
        <v>0</v>
      </c>
      <c r="H30" s="38">
        <v>0</v>
      </c>
      <c r="I30" s="38">
        <v>0</v>
      </c>
      <c r="J30" s="38">
        <f>-500-2500-500-1000</f>
        <v>-4500</v>
      </c>
      <c r="K30" s="38">
        <v>-10000</v>
      </c>
      <c r="L30" s="38">
        <v>-14500</v>
      </c>
      <c r="M30" s="38">
        <v>-12500</v>
      </c>
      <c r="N30" s="38">
        <v>-14000</v>
      </c>
      <c r="O30" s="38">
        <v>-9500</v>
      </c>
      <c r="P30" s="38">
        <v>-23000</v>
      </c>
      <c r="Q30" s="38">
        <v>-19850</v>
      </c>
      <c r="R30" s="9">
        <v>-27630</v>
      </c>
      <c r="S30" s="190">
        <v>-36000</v>
      </c>
      <c r="T30" s="217" t="s">
        <v>2816</v>
      </c>
    </row>
    <row r="31" spans="1:22" x14ac:dyDescent="0.3">
      <c r="A31" s="4" t="s">
        <v>32</v>
      </c>
      <c r="B31" s="38">
        <f>-2650-3100-1600</f>
        <v>-7350</v>
      </c>
      <c r="C31" s="38">
        <f>-250-2500-1842</f>
        <v>-4592</v>
      </c>
      <c r="D31" s="38">
        <f>-250-4500-1899</f>
        <v>-6649</v>
      </c>
      <c r="E31" s="38">
        <v>-6338</v>
      </c>
      <c r="F31" s="38">
        <v>-6643</v>
      </c>
      <c r="G31" s="38">
        <v>-3530</v>
      </c>
      <c r="H31" s="38">
        <v>-1024</v>
      </c>
      <c r="I31" s="38">
        <f>-774-250</f>
        <v>-1024</v>
      </c>
      <c r="J31" s="38">
        <f>-771-500</f>
        <v>-1271</v>
      </c>
      <c r="K31" s="38">
        <v>-3000</v>
      </c>
      <c r="L31" s="38">
        <v>-500</v>
      </c>
      <c r="M31" s="38">
        <v>-500</v>
      </c>
      <c r="N31" s="38">
        <v>-500</v>
      </c>
      <c r="O31" s="38">
        <v>-500</v>
      </c>
      <c r="P31" s="38">
        <v>-500</v>
      </c>
      <c r="Q31" s="38">
        <v>-500</v>
      </c>
      <c r="R31" s="9">
        <v>-500</v>
      </c>
      <c r="S31" s="190">
        <v>-500</v>
      </c>
      <c r="T31" s="157"/>
    </row>
    <row r="32" spans="1:22" x14ac:dyDescent="0.3">
      <c r="A32" s="4" t="s">
        <v>491</v>
      </c>
      <c r="B32" s="38">
        <v>0</v>
      </c>
      <c r="C32" s="38">
        <f>-75994-6425</f>
        <v>-82419</v>
      </c>
      <c r="D32" s="38">
        <f>-29362-12800</f>
        <v>-42162</v>
      </c>
      <c r="E32" s="38">
        <v>0</v>
      </c>
      <c r="F32" s="38">
        <v>0</v>
      </c>
      <c r="G32" s="38">
        <v>-102305</v>
      </c>
      <c r="H32" s="38">
        <v>-94393</v>
      </c>
      <c r="I32" s="38">
        <f>-1824-(23*800)-34400-1130-45448</f>
        <v>-101202</v>
      </c>
      <c r="J32" s="38">
        <f>-268-800-800-800-800-800-800-800-800-800-800-800-800-800-800-800-800-800-264-800-800-28998-800-800-800-36777</f>
        <v>-83907</v>
      </c>
      <c r="K32" s="38">
        <v>-90569</v>
      </c>
      <c r="L32" s="38">
        <v>-87302</v>
      </c>
      <c r="M32" s="38">
        <v>-94382</v>
      </c>
      <c r="N32" s="38">
        <v>-111217</v>
      </c>
      <c r="O32" s="38">
        <v>-128246</v>
      </c>
      <c r="P32" s="38">
        <v>-166907</v>
      </c>
      <c r="Q32" s="38">
        <v>-161843</v>
      </c>
      <c r="R32" s="9">
        <v>-202575</v>
      </c>
      <c r="S32" s="190">
        <v>-200000</v>
      </c>
      <c r="T32" s="155"/>
      <c r="U32" s="197"/>
    </row>
    <row r="33" spans="1:21" x14ac:dyDescent="0.3">
      <c r="A33" s="4" t="s">
        <v>2814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9">
        <v>0</v>
      </c>
      <c r="S33" s="190">
        <v>-120000</v>
      </c>
      <c r="T33" s="155"/>
      <c r="U33" s="197"/>
    </row>
    <row r="34" spans="1:21" hidden="1" x14ac:dyDescent="0.3">
      <c r="A34" s="4" t="s">
        <v>33</v>
      </c>
      <c r="B34" s="38">
        <v>0</v>
      </c>
      <c r="C34" s="38">
        <v>0</v>
      </c>
      <c r="D34" s="38">
        <v>0</v>
      </c>
      <c r="E34" s="38">
        <v>-741</v>
      </c>
      <c r="F34" s="38">
        <v>-547</v>
      </c>
      <c r="G34" s="38">
        <v>-154</v>
      </c>
      <c r="H34" s="38">
        <v>-510</v>
      </c>
      <c r="I34" s="38">
        <v>0</v>
      </c>
      <c r="J34" s="38">
        <f>-160</f>
        <v>-160</v>
      </c>
      <c r="K34" s="38">
        <v>0</v>
      </c>
      <c r="L34" s="38">
        <v>0</v>
      </c>
      <c r="M34" s="38">
        <v>0</v>
      </c>
      <c r="N34" s="38">
        <v>0</v>
      </c>
      <c r="O34" s="38"/>
      <c r="P34" s="38"/>
      <c r="Q34" s="38"/>
      <c r="R34" s="9"/>
      <c r="S34" s="190">
        <v>0</v>
      </c>
      <c r="T34" s="155"/>
      <c r="U34" s="197"/>
    </row>
    <row r="35" spans="1:21" x14ac:dyDescent="0.3">
      <c r="A35" s="4" t="s">
        <v>493</v>
      </c>
      <c r="B35" s="38">
        <f>-635-7900</f>
        <v>-8535</v>
      </c>
      <c r="C35" s="38">
        <f>-1500-935-3800-2859-81</f>
        <v>-9175</v>
      </c>
      <c r="D35" s="38">
        <f>-755-1100</f>
        <v>-1855</v>
      </c>
      <c r="E35" s="38">
        <f>-2424-5850</f>
        <v>-8274</v>
      </c>
      <c r="F35" s="38">
        <v>-4637.7700000000004</v>
      </c>
      <c r="G35" s="38">
        <f>-2261-14329</f>
        <v>-16590</v>
      </c>
      <c r="H35" s="38">
        <v>-8129</v>
      </c>
      <c r="I35" s="38">
        <f>-469-740+140+140-4815-234</f>
        <v>-5978</v>
      </c>
      <c r="J35" s="38">
        <f>140-1170-608-2080-341</f>
        <v>-4059</v>
      </c>
      <c r="K35" s="38">
        <v>-11110</v>
      </c>
      <c r="L35" s="38">
        <f>-1688+-1553</f>
        <v>-3241</v>
      </c>
      <c r="M35" s="38">
        <v>-7179</v>
      </c>
      <c r="N35" s="38">
        <f>-2226-250-4352</f>
        <v>-6828</v>
      </c>
      <c r="O35" s="38">
        <f>-2835-250-1000</f>
        <v>-4085</v>
      </c>
      <c r="P35" s="38">
        <v>-5059</v>
      </c>
      <c r="Q35" s="38">
        <f>-750-1134-300-1094-78-365-350-711-1000-295-148</f>
        <v>-6225</v>
      </c>
      <c r="R35" s="9">
        <f>-750-65-1368-1000-308-1600-90-74-1368-187-130-75-500-800-100-132-500</f>
        <v>-9047</v>
      </c>
      <c r="S35" s="190">
        <v>-5000</v>
      </c>
      <c r="T35" s="155"/>
      <c r="U35" s="197"/>
    </row>
    <row r="36" spans="1:21" x14ac:dyDescent="0.3">
      <c r="A36" s="7" t="s">
        <v>2555</v>
      </c>
      <c r="B36" s="39">
        <f>SUM(B19:B35)</f>
        <v>-218877</v>
      </c>
      <c r="C36" s="39">
        <f t="shared" ref="C36:H36" si="2">SUM(C19:C35)</f>
        <v>-258934</v>
      </c>
      <c r="D36" s="39">
        <f t="shared" si="2"/>
        <v>-187844</v>
      </c>
      <c r="E36" s="39">
        <f t="shared" si="2"/>
        <v>-247088.42</v>
      </c>
      <c r="F36" s="39">
        <f t="shared" si="2"/>
        <v>-325572.77</v>
      </c>
      <c r="G36" s="39">
        <f t="shared" si="2"/>
        <v>-457445</v>
      </c>
      <c r="H36" s="39">
        <f t="shared" si="2"/>
        <v>-467066</v>
      </c>
      <c r="I36" s="39">
        <f>SUM(I19:I35)</f>
        <v>-618159</v>
      </c>
      <c r="J36" s="39">
        <f>SUM(J19:J35)</f>
        <v>-584733</v>
      </c>
      <c r="K36" s="39">
        <f>SUM(K19:K35)</f>
        <v>-734998</v>
      </c>
      <c r="L36" s="39">
        <f t="shared" ref="L36" si="3">SUM(L19:L35)</f>
        <v>-594086</v>
      </c>
      <c r="M36" s="39">
        <v>-638296</v>
      </c>
      <c r="N36" s="39">
        <f t="shared" ref="N36:Q36" si="4">SUM(N19:N35)</f>
        <v>-545616</v>
      </c>
      <c r="O36" s="39">
        <f t="shared" si="4"/>
        <v>-596955</v>
      </c>
      <c r="P36" s="39">
        <f t="shared" si="4"/>
        <v>-827607</v>
      </c>
      <c r="Q36" s="39">
        <f t="shared" si="4"/>
        <v>-1006287</v>
      </c>
      <c r="R36" s="11">
        <f t="shared" ref="R36" si="5">SUM(R19:R35)</f>
        <v>-910429</v>
      </c>
      <c r="S36" s="191">
        <f>SUM(S19:S35)</f>
        <v>-1071500</v>
      </c>
      <c r="T36" s="205"/>
      <c r="U36" s="206"/>
    </row>
    <row r="37" spans="1:21" hidden="1" x14ac:dyDescent="0.3">
      <c r="A37" s="7"/>
      <c r="B37" s="41"/>
      <c r="C37" s="41"/>
      <c r="D37" s="41"/>
      <c r="E37" s="39"/>
      <c r="F37" s="39"/>
      <c r="G37" s="39"/>
      <c r="H37" s="39"/>
      <c r="I37" s="259"/>
      <c r="J37" s="259"/>
      <c r="K37" s="259"/>
      <c r="L37" s="259"/>
      <c r="M37" s="259"/>
      <c r="N37" s="259"/>
      <c r="O37" s="259"/>
      <c r="P37" s="259"/>
      <c r="Q37" s="259"/>
      <c r="R37" s="113"/>
      <c r="S37" s="191"/>
      <c r="T37" s="158"/>
      <c r="U37" s="207"/>
    </row>
    <row r="38" spans="1:21" s="13" customFormat="1" hidden="1" x14ac:dyDescent="0.3">
      <c r="A38" s="7" t="s">
        <v>48</v>
      </c>
      <c r="B38" s="39">
        <f t="shared" ref="B38:K38" si="6">+B36+B16</f>
        <v>-24674</v>
      </c>
      <c r="C38" s="39">
        <f t="shared" si="6"/>
        <v>86791</v>
      </c>
      <c r="D38" s="39">
        <f t="shared" si="6"/>
        <v>32713</v>
      </c>
      <c r="E38" s="39">
        <f t="shared" si="6"/>
        <v>-5009.1400000000431</v>
      </c>
      <c r="F38" s="39">
        <f t="shared" si="6"/>
        <v>-25959.489999999991</v>
      </c>
      <c r="G38" s="39">
        <f t="shared" si="6"/>
        <v>-167525</v>
      </c>
      <c r="H38" s="39">
        <f t="shared" si="6"/>
        <v>13685</v>
      </c>
      <c r="I38" s="39">
        <f t="shared" si="6"/>
        <v>10177</v>
      </c>
      <c r="J38" s="39">
        <f t="shared" si="6"/>
        <v>36557</v>
      </c>
      <c r="K38" s="39">
        <f t="shared" si="6"/>
        <v>-84874</v>
      </c>
      <c r="L38" s="39">
        <f>+L36+L16</f>
        <v>8025</v>
      </c>
      <c r="M38" s="39">
        <v>-10322</v>
      </c>
      <c r="N38" s="39">
        <f>+N36+N16</f>
        <v>122284</v>
      </c>
      <c r="O38" s="39">
        <f t="shared" ref="O38:R38" si="7">+O36+O16</f>
        <v>104927</v>
      </c>
      <c r="P38" s="39">
        <f t="shared" si="7"/>
        <v>4017</v>
      </c>
      <c r="Q38" s="39">
        <f t="shared" si="7"/>
        <v>-67622</v>
      </c>
      <c r="R38" s="11">
        <f t="shared" si="7"/>
        <v>2288</v>
      </c>
      <c r="S38" s="191">
        <f>S16+S36</f>
        <v>10500</v>
      </c>
      <c r="T38" s="158"/>
      <c r="U38" s="207"/>
    </row>
    <row r="39" spans="1:21" s="13" customFormat="1" hidden="1" x14ac:dyDescent="0.3">
      <c r="A39" s="7"/>
      <c r="B39" s="41"/>
      <c r="C39" s="41"/>
      <c r="D39" s="41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11"/>
      <c r="S39" s="191"/>
      <c r="T39" s="158"/>
      <c r="U39" s="207"/>
    </row>
    <row r="40" spans="1:21" s="13" customFormat="1" hidden="1" x14ac:dyDescent="0.3">
      <c r="A40" s="7" t="s">
        <v>1530</v>
      </c>
      <c r="B40" s="39">
        <v>-10000</v>
      </c>
      <c r="C40" s="39">
        <v>-10000</v>
      </c>
      <c r="D40" s="39">
        <v>-10000</v>
      </c>
      <c r="E40" s="39">
        <v>-10000</v>
      </c>
      <c r="F40" s="39">
        <v>-10000</v>
      </c>
      <c r="G40" s="39">
        <v>-14449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11">
        <v>0</v>
      </c>
      <c r="S40" s="191">
        <v>0</v>
      </c>
      <c r="T40" s="155"/>
      <c r="U40" s="206"/>
    </row>
    <row r="41" spans="1:21" s="13" customFormat="1" ht="16.2" thickBot="1" x14ac:dyDescent="0.35">
      <c r="A41" s="7"/>
      <c r="B41" s="41"/>
      <c r="C41" s="41"/>
      <c r="D41" s="41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280"/>
      <c r="Q41" s="274"/>
      <c r="R41" s="14"/>
      <c r="S41" s="210"/>
      <c r="T41" s="205"/>
      <c r="U41" s="206"/>
    </row>
    <row r="42" spans="1:21" s="13" customFormat="1" ht="16.2" thickBot="1" x14ac:dyDescent="0.35">
      <c r="A42" s="7" t="s">
        <v>2556</v>
      </c>
      <c r="B42" s="39">
        <f t="shared" ref="B42:K42" si="8">+B40+B38</f>
        <v>-34674</v>
      </c>
      <c r="C42" s="39">
        <f t="shared" si="8"/>
        <v>76791</v>
      </c>
      <c r="D42" s="39">
        <f t="shared" si="8"/>
        <v>22713</v>
      </c>
      <c r="E42" s="39">
        <f t="shared" si="8"/>
        <v>-15009.140000000043</v>
      </c>
      <c r="F42" s="248">
        <f t="shared" si="8"/>
        <v>-35959.489999999991</v>
      </c>
      <c r="G42" s="248">
        <f t="shared" si="8"/>
        <v>-181974</v>
      </c>
      <c r="H42" s="248">
        <f t="shared" si="8"/>
        <v>13685</v>
      </c>
      <c r="I42" s="248">
        <f t="shared" si="8"/>
        <v>10177</v>
      </c>
      <c r="J42" s="248">
        <f t="shared" si="8"/>
        <v>36557</v>
      </c>
      <c r="K42" s="248">
        <f t="shared" si="8"/>
        <v>-84874</v>
      </c>
      <c r="L42" s="248">
        <f>+L40+L38</f>
        <v>8025</v>
      </c>
      <c r="M42" s="248">
        <v>-10322</v>
      </c>
      <c r="N42" s="248">
        <f>+N40+N38</f>
        <v>122284</v>
      </c>
      <c r="O42" s="248">
        <f t="shared" ref="O42:R42" si="9">+O40+O38</f>
        <v>104927</v>
      </c>
      <c r="P42" s="248">
        <f t="shared" si="9"/>
        <v>4017</v>
      </c>
      <c r="Q42" s="248">
        <f t="shared" si="9"/>
        <v>-67622</v>
      </c>
      <c r="R42" s="154">
        <f t="shared" si="9"/>
        <v>2288</v>
      </c>
      <c r="S42" s="192">
        <f>+S40+S38</f>
        <v>10500</v>
      </c>
      <c r="T42" s="155"/>
      <c r="U42" s="208"/>
    </row>
    <row r="43" spans="1:21" s="13" customFormat="1" x14ac:dyDescent="0.3">
      <c r="A43" s="4"/>
      <c r="B43" s="4"/>
      <c r="C43" s="4"/>
      <c r="D43" s="4"/>
      <c r="E43" s="4"/>
      <c r="F43" s="4"/>
      <c r="G43" s="4"/>
      <c r="H43" s="4"/>
      <c r="S43" s="58"/>
      <c r="T43" s="196"/>
      <c r="U43" s="155"/>
    </row>
    <row r="44" spans="1:21" x14ac:dyDescent="0.3">
      <c r="Q44" s="99"/>
    </row>
    <row r="45" spans="1:21" x14ac:dyDescent="0.3">
      <c r="Q45" s="99"/>
    </row>
    <row r="46" spans="1:21" x14ac:dyDescent="0.3">
      <c r="Q46" s="99"/>
    </row>
    <row r="47" spans="1:21" x14ac:dyDescent="0.3">
      <c r="Q47" s="99"/>
    </row>
    <row r="48" spans="1:21" x14ac:dyDescent="0.3">
      <c r="Q48" s="99"/>
    </row>
    <row r="49" spans="17:22" s="4" customFormat="1" x14ac:dyDescent="0.3">
      <c r="Q49" s="269"/>
      <c r="R49" s="1"/>
      <c r="T49" s="196"/>
      <c r="U49" s="155"/>
      <c r="V49" s="1"/>
    </row>
    <row r="50" spans="17:22" s="4" customFormat="1" x14ac:dyDescent="0.3">
      <c r="R50" s="1"/>
      <c r="T50" s="196"/>
      <c r="U50" s="155"/>
      <c r="V50" s="1"/>
    </row>
    <row r="51" spans="17:22" s="4" customFormat="1" x14ac:dyDescent="0.3">
      <c r="R51" s="1"/>
      <c r="T51" s="196"/>
      <c r="U51" s="155"/>
      <c r="V51" s="1"/>
    </row>
    <row r="52" spans="17:22" s="4" customFormat="1" x14ac:dyDescent="0.3">
      <c r="R52" s="1"/>
      <c r="T52" s="196"/>
      <c r="U52" s="155"/>
      <c r="V52" s="1"/>
    </row>
  </sheetData>
  <mergeCells count="1">
    <mergeCell ref="K1:S1"/>
  </mergeCells>
  <pageMargins left="0.7" right="0.7" top="0.75" bottom="0.75" header="0.3" footer="0.3"/>
  <pageSetup paperSize="9" scale="73" orientation="landscape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2:L32"/>
  <sheetViews>
    <sheetView workbookViewId="0">
      <selection activeCell="G2" sqref="G2"/>
    </sheetView>
  </sheetViews>
  <sheetFormatPr defaultRowHeight="14.4" x14ac:dyDescent="0.3"/>
  <cols>
    <col min="3" max="3" width="10.109375" bestFit="1" customWidth="1"/>
    <col min="4" max="4" width="9.109375" style="173"/>
    <col min="5" max="5" width="13.109375" style="173" bestFit="1" customWidth="1"/>
    <col min="6" max="6" width="19" bestFit="1" customWidth="1"/>
    <col min="7" max="7" width="14.6640625" style="174" customWidth="1"/>
    <col min="8" max="8" width="16.6640625" bestFit="1" customWidth="1"/>
    <col min="10" max="10" width="9.88671875" bestFit="1" customWidth="1"/>
  </cols>
  <sheetData>
    <row r="2" spans="2:12" x14ac:dyDescent="0.3">
      <c r="D2" s="173" t="s">
        <v>602</v>
      </c>
      <c r="E2" s="173" t="s">
        <v>1282</v>
      </c>
      <c r="F2" t="s">
        <v>1283</v>
      </c>
      <c r="G2" s="174" t="s">
        <v>598</v>
      </c>
    </row>
    <row r="3" spans="2:12" x14ac:dyDescent="0.3">
      <c r="B3" t="s">
        <v>1284</v>
      </c>
      <c r="C3" t="s">
        <v>1285</v>
      </c>
      <c r="D3" s="173">
        <v>5000</v>
      </c>
      <c r="E3" s="173">
        <f>F32</f>
        <v>1895.1400000000003</v>
      </c>
      <c r="F3" t="s">
        <v>1286</v>
      </c>
      <c r="G3" s="174" t="s">
        <v>1287</v>
      </c>
      <c r="H3" t="s">
        <v>1288</v>
      </c>
      <c r="I3" t="s">
        <v>878</v>
      </c>
      <c r="J3" t="s">
        <v>870</v>
      </c>
    </row>
    <row r="4" spans="2:12" x14ac:dyDescent="0.3">
      <c r="B4" t="s">
        <v>1289</v>
      </c>
      <c r="C4" t="s">
        <v>1290</v>
      </c>
      <c r="D4" s="173">
        <v>5000</v>
      </c>
      <c r="E4" s="173">
        <f>J32</f>
        <v>1625.41</v>
      </c>
      <c r="F4" t="s">
        <v>1286</v>
      </c>
      <c r="G4" s="174" t="s">
        <v>1291</v>
      </c>
      <c r="H4" t="s">
        <v>1292</v>
      </c>
      <c r="I4" t="s">
        <v>878</v>
      </c>
      <c r="J4" t="s">
        <v>870</v>
      </c>
    </row>
    <row r="5" spans="2:12" x14ac:dyDescent="0.3">
      <c r="B5" t="s">
        <v>1293</v>
      </c>
      <c r="C5" t="s">
        <v>1294</v>
      </c>
      <c r="D5" s="173">
        <v>5000</v>
      </c>
      <c r="E5" s="173">
        <f>H32</f>
        <v>1578.79</v>
      </c>
      <c r="F5" t="s">
        <v>1295</v>
      </c>
      <c r="G5" s="174" t="s">
        <v>1296</v>
      </c>
      <c r="H5" t="s">
        <v>1297</v>
      </c>
      <c r="I5" t="s">
        <v>1298</v>
      </c>
      <c r="J5" t="s">
        <v>870</v>
      </c>
      <c r="K5" t="s">
        <v>1299</v>
      </c>
    </row>
    <row r="6" spans="2:12" x14ac:dyDescent="0.3">
      <c r="B6" t="s">
        <v>1300</v>
      </c>
      <c r="C6" t="s">
        <v>1301</v>
      </c>
      <c r="D6" s="173">
        <v>5000</v>
      </c>
      <c r="E6" s="173">
        <f>L32</f>
        <v>1425.98</v>
      </c>
      <c r="F6" t="s">
        <v>1302</v>
      </c>
      <c r="G6" s="174" t="s">
        <v>1303</v>
      </c>
      <c r="H6" t="s">
        <v>1304</v>
      </c>
      <c r="I6" t="s">
        <v>881</v>
      </c>
      <c r="J6" t="s">
        <v>870</v>
      </c>
      <c r="K6" t="s">
        <v>1299</v>
      </c>
    </row>
    <row r="7" spans="2:12" x14ac:dyDescent="0.3">
      <c r="B7" t="s">
        <v>1305</v>
      </c>
      <c r="C7" t="s">
        <v>1306</v>
      </c>
      <c r="D7" s="173">
        <v>3000</v>
      </c>
      <c r="F7" t="s">
        <v>1307</v>
      </c>
      <c r="G7" s="174" t="s">
        <v>1308</v>
      </c>
      <c r="H7" t="s">
        <v>1309</v>
      </c>
      <c r="I7" t="s">
        <v>881</v>
      </c>
      <c r="J7" t="s">
        <v>870</v>
      </c>
      <c r="K7" t="s">
        <v>1299</v>
      </c>
    </row>
    <row r="8" spans="2:12" x14ac:dyDescent="0.3">
      <c r="B8" t="s">
        <v>1310</v>
      </c>
      <c r="C8" t="s">
        <v>1311</v>
      </c>
      <c r="D8" s="173">
        <v>1000</v>
      </c>
      <c r="F8" t="s">
        <v>1312</v>
      </c>
      <c r="G8" s="174">
        <v>198305241641</v>
      </c>
      <c r="H8" t="s">
        <v>1313</v>
      </c>
      <c r="I8" t="s">
        <v>878</v>
      </c>
      <c r="J8" t="s">
        <v>870</v>
      </c>
      <c r="K8" t="s">
        <v>1299</v>
      </c>
    </row>
    <row r="9" spans="2:12" x14ac:dyDescent="0.3">
      <c r="B9" t="s">
        <v>1314</v>
      </c>
      <c r="C9" t="s">
        <v>1083</v>
      </c>
      <c r="D9" s="173">
        <v>2000</v>
      </c>
      <c r="F9" t="s">
        <v>1315</v>
      </c>
      <c r="G9" s="174" t="s">
        <v>1316</v>
      </c>
      <c r="H9" t="s">
        <v>1085</v>
      </c>
      <c r="I9" t="s">
        <v>878</v>
      </c>
      <c r="J9" t="s">
        <v>870</v>
      </c>
      <c r="K9" t="s">
        <v>1299</v>
      </c>
    </row>
    <row r="10" spans="2:12" x14ac:dyDescent="0.3">
      <c r="B10" t="s">
        <v>1310</v>
      </c>
      <c r="C10" t="s">
        <v>1239</v>
      </c>
      <c r="D10" s="173">
        <v>1000</v>
      </c>
      <c r="F10" t="s">
        <v>1317</v>
      </c>
      <c r="G10" s="174" t="s">
        <v>1318</v>
      </c>
      <c r="H10" t="s">
        <v>1319</v>
      </c>
      <c r="I10" t="s">
        <v>881</v>
      </c>
      <c r="J10" t="s">
        <v>870</v>
      </c>
      <c r="K10" t="s">
        <v>1299</v>
      </c>
    </row>
    <row r="13" spans="2:12" ht="15" thickBot="1" x14ac:dyDescent="0.35"/>
    <row r="14" spans="2:12" ht="15" thickBot="1" x14ac:dyDescent="0.35">
      <c r="B14" t="s">
        <v>1320</v>
      </c>
      <c r="D14" s="173" t="s">
        <v>1321</v>
      </c>
      <c r="E14" s="298" t="s">
        <v>1284</v>
      </c>
      <c r="F14" s="299"/>
      <c r="G14" s="300" t="s">
        <v>1293</v>
      </c>
      <c r="H14" s="301"/>
      <c r="I14" s="302" t="s">
        <v>1289</v>
      </c>
      <c r="J14" s="303"/>
      <c r="K14" s="300" t="s">
        <v>1300</v>
      </c>
      <c r="L14" s="301"/>
    </row>
    <row r="15" spans="2:12" x14ac:dyDescent="0.3">
      <c r="B15" t="s">
        <v>1322</v>
      </c>
      <c r="D15" s="175">
        <v>22.8</v>
      </c>
      <c r="E15" s="173">
        <v>1</v>
      </c>
      <c r="F15" s="175">
        <f>2*D15*E15</f>
        <v>45.6</v>
      </c>
      <c r="G15" s="17">
        <v>1</v>
      </c>
      <c r="H15" s="17">
        <f>2*D15*G15</f>
        <v>45.6</v>
      </c>
      <c r="I15" s="176"/>
      <c r="J15" s="174"/>
      <c r="K15" s="17"/>
    </row>
    <row r="16" spans="2:12" x14ac:dyDescent="0.3">
      <c r="B16" t="s">
        <v>53</v>
      </c>
      <c r="D16" s="175">
        <v>22</v>
      </c>
      <c r="E16" s="173">
        <v>1</v>
      </c>
      <c r="F16" s="175">
        <f t="shared" ref="F16:F26" si="0">2*D16*E16</f>
        <v>44</v>
      </c>
      <c r="G16" s="17">
        <v>1</v>
      </c>
      <c r="H16" s="17">
        <f t="shared" ref="H16:H25" si="1">2*D16*G16</f>
        <v>44</v>
      </c>
      <c r="I16" s="176">
        <v>1</v>
      </c>
      <c r="J16" s="177">
        <f>2*D16*I16</f>
        <v>44</v>
      </c>
      <c r="K16" s="17"/>
    </row>
    <row r="17" spans="2:12" x14ac:dyDescent="0.3">
      <c r="B17" t="s">
        <v>1323</v>
      </c>
      <c r="D17" s="175">
        <v>41.1</v>
      </c>
      <c r="E17" s="173">
        <v>1</v>
      </c>
      <c r="F17" s="175">
        <f t="shared" si="0"/>
        <v>82.2</v>
      </c>
      <c r="G17" s="17">
        <v>1</v>
      </c>
      <c r="H17" s="17">
        <f t="shared" si="1"/>
        <v>82.2</v>
      </c>
      <c r="I17" s="176">
        <v>1</v>
      </c>
      <c r="J17" s="177">
        <f t="shared" ref="J17:J26" si="2">2*D17*I17</f>
        <v>82.2</v>
      </c>
      <c r="K17" s="17"/>
    </row>
    <row r="18" spans="2:12" x14ac:dyDescent="0.3">
      <c r="B18" t="s">
        <v>1324</v>
      </c>
      <c r="D18" s="175">
        <v>51.3</v>
      </c>
      <c r="E18" s="173">
        <v>1</v>
      </c>
      <c r="F18" s="175">
        <f t="shared" si="0"/>
        <v>102.6</v>
      </c>
      <c r="G18" s="17">
        <v>1</v>
      </c>
      <c r="H18" s="17">
        <f t="shared" si="1"/>
        <v>102.6</v>
      </c>
      <c r="I18" s="176">
        <v>1</v>
      </c>
      <c r="J18" s="177">
        <f t="shared" si="2"/>
        <v>102.6</v>
      </c>
      <c r="K18" s="17"/>
    </row>
    <row r="19" spans="2:12" x14ac:dyDescent="0.3">
      <c r="B19" t="s">
        <v>658</v>
      </c>
      <c r="D19" s="175">
        <v>9.1</v>
      </c>
      <c r="E19" s="173">
        <v>1</v>
      </c>
      <c r="F19" s="175">
        <f t="shared" si="0"/>
        <v>18.2</v>
      </c>
      <c r="G19" s="17">
        <v>1</v>
      </c>
      <c r="H19" s="17">
        <f t="shared" si="1"/>
        <v>18.2</v>
      </c>
      <c r="I19" s="176">
        <v>1</v>
      </c>
      <c r="J19" s="177">
        <f t="shared" si="2"/>
        <v>18.2</v>
      </c>
      <c r="K19" s="17"/>
    </row>
    <row r="20" spans="2:12" x14ac:dyDescent="0.3">
      <c r="B20" t="s">
        <v>1325</v>
      </c>
      <c r="D20" s="175">
        <v>55.6</v>
      </c>
      <c r="E20" s="173">
        <v>1</v>
      </c>
      <c r="F20" s="175">
        <f t="shared" si="0"/>
        <v>111.2</v>
      </c>
      <c r="G20" s="17">
        <v>1</v>
      </c>
      <c r="H20" s="17">
        <f t="shared" si="1"/>
        <v>111.2</v>
      </c>
      <c r="I20" s="176">
        <v>1</v>
      </c>
      <c r="J20" s="177">
        <f t="shared" si="2"/>
        <v>111.2</v>
      </c>
      <c r="K20" s="17">
        <v>1</v>
      </c>
      <c r="L20" s="17">
        <f>2*D20*K20</f>
        <v>111.2</v>
      </c>
    </row>
    <row r="21" spans="2:12" x14ac:dyDescent="0.3">
      <c r="B21" t="s">
        <v>1326</v>
      </c>
      <c r="D21" s="175">
        <v>51.1</v>
      </c>
      <c r="E21" s="173">
        <v>1</v>
      </c>
      <c r="F21" s="175">
        <f t="shared" si="0"/>
        <v>102.2</v>
      </c>
      <c r="G21" s="17">
        <v>1</v>
      </c>
      <c r="H21" s="17">
        <f t="shared" si="1"/>
        <v>102.2</v>
      </c>
      <c r="I21" s="176">
        <v>1</v>
      </c>
      <c r="J21" s="177">
        <f t="shared" si="2"/>
        <v>102.2</v>
      </c>
      <c r="K21" s="17"/>
      <c r="L21" s="17"/>
    </row>
    <row r="22" spans="2:12" x14ac:dyDescent="0.3">
      <c r="B22" t="s">
        <v>1327</v>
      </c>
      <c r="D22" s="175">
        <v>50.1</v>
      </c>
      <c r="E22" s="173">
        <v>1</v>
      </c>
      <c r="F22" s="175">
        <f t="shared" si="0"/>
        <v>100.2</v>
      </c>
      <c r="G22" s="17">
        <v>1</v>
      </c>
      <c r="H22" s="17">
        <f t="shared" si="1"/>
        <v>100.2</v>
      </c>
      <c r="I22" s="176"/>
      <c r="J22" s="177"/>
      <c r="K22" s="17"/>
      <c r="L22" s="17"/>
    </row>
    <row r="23" spans="2:12" x14ac:dyDescent="0.3">
      <c r="B23" t="s">
        <v>1328</v>
      </c>
      <c r="D23" s="175">
        <v>49.5</v>
      </c>
      <c r="E23" s="173">
        <v>1</v>
      </c>
      <c r="F23" s="175">
        <f t="shared" si="0"/>
        <v>99</v>
      </c>
      <c r="G23" s="17">
        <v>1</v>
      </c>
      <c r="H23" s="17">
        <f t="shared" si="1"/>
        <v>99</v>
      </c>
      <c r="I23" s="176">
        <v>1</v>
      </c>
      <c r="J23" s="177">
        <f t="shared" si="2"/>
        <v>99</v>
      </c>
      <c r="K23" s="17"/>
      <c r="L23" s="17"/>
    </row>
    <row r="24" spans="2:12" x14ac:dyDescent="0.3">
      <c r="B24" t="s">
        <v>1329</v>
      </c>
      <c r="D24" s="175">
        <v>41.1</v>
      </c>
      <c r="E24" s="173">
        <v>1</v>
      </c>
      <c r="F24" s="175">
        <f t="shared" si="0"/>
        <v>82.2</v>
      </c>
      <c r="G24" s="17">
        <v>1</v>
      </c>
      <c r="H24" s="17">
        <f t="shared" si="1"/>
        <v>82.2</v>
      </c>
      <c r="I24" s="176">
        <v>1</v>
      </c>
      <c r="J24" s="177">
        <f t="shared" si="2"/>
        <v>82.2</v>
      </c>
      <c r="K24" s="17"/>
      <c r="L24" s="17"/>
    </row>
    <row r="25" spans="2:12" x14ac:dyDescent="0.3">
      <c r="B25" t="s">
        <v>1330</v>
      </c>
      <c r="D25" s="175">
        <v>33</v>
      </c>
      <c r="E25" s="173">
        <v>1</v>
      </c>
      <c r="F25" s="175">
        <f t="shared" si="0"/>
        <v>66</v>
      </c>
      <c r="G25" s="17">
        <v>1</v>
      </c>
      <c r="H25" s="17">
        <f t="shared" si="1"/>
        <v>66</v>
      </c>
      <c r="I25" s="176">
        <v>1</v>
      </c>
      <c r="J25" s="177">
        <f t="shared" si="2"/>
        <v>66</v>
      </c>
      <c r="K25" s="17"/>
      <c r="L25" s="17"/>
    </row>
    <row r="26" spans="2:12" x14ac:dyDescent="0.3">
      <c r="B26" t="s">
        <v>1331</v>
      </c>
      <c r="D26" s="175">
        <v>85.5</v>
      </c>
      <c r="E26" s="173">
        <v>1</v>
      </c>
      <c r="F26" s="175">
        <f t="shared" si="0"/>
        <v>171</v>
      </c>
      <c r="G26" s="17"/>
      <c r="H26" s="17"/>
      <c r="I26" s="176">
        <v>1</v>
      </c>
      <c r="J26" s="177">
        <f t="shared" si="2"/>
        <v>171</v>
      </c>
      <c r="K26" s="17"/>
      <c r="L26" s="17"/>
    </row>
    <row r="27" spans="2:12" x14ac:dyDescent="0.3">
      <c r="B27" t="s">
        <v>1332</v>
      </c>
      <c r="D27" s="175">
        <v>37.799999999999997</v>
      </c>
      <c r="F27" s="175"/>
      <c r="G27"/>
      <c r="I27" s="176"/>
      <c r="J27" s="177"/>
      <c r="K27" s="17">
        <v>1</v>
      </c>
      <c r="L27" s="17">
        <f>2*D27*K27</f>
        <v>75.599999999999994</v>
      </c>
    </row>
    <row r="28" spans="2:12" x14ac:dyDescent="0.3">
      <c r="B28" s="178" t="s">
        <v>1333</v>
      </c>
      <c r="D28" s="175">
        <v>49.9</v>
      </c>
      <c r="F28" s="175"/>
      <c r="G28"/>
      <c r="I28" s="176"/>
      <c r="J28" s="177"/>
      <c r="K28" s="17">
        <v>2</v>
      </c>
      <c r="L28" s="17">
        <f>2*D28*K28</f>
        <v>199.6</v>
      </c>
    </row>
    <row r="29" spans="2:12" x14ac:dyDescent="0.3">
      <c r="B29" s="178" t="s">
        <v>1334</v>
      </c>
      <c r="D29" s="175">
        <v>39.299999999999997</v>
      </c>
      <c r="F29" s="175"/>
      <c r="G29"/>
      <c r="I29" s="176"/>
      <c r="J29" s="177"/>
      <c r="K29" s="17">
        <v>2</v>
      </c>
      <c r="L29" s="17">
        <f>2*D29*K29</f>
        <v>157.19999999999999</v>
      </c>
    </row>
    <row r="30" spans="2:12" ht="15" thickBot="1" x14ac:dyDescent="0.35">
      <c r="B30" s="65" t="s">
        <v>1335</v>
      </c>
      <c r="D30" s="175">
        <v>113.6</v>
      </c>
      <c r="F30" s="179"/>
      <c r="G30"/>
      <c r="H30" s="54"/>
      <c r="I30" s="176"/>
      <c r="J30" s="180"/>
      <c r="K30" s="17">
        <v>1</v>
      </c>
      <c r="L30" s="181">
        <f>2*D30*K30</f>
        <v>227.2</v>
      </c>
    </row>
    <row r="31" spans="2:12" x14ac:dyDescent="0.3">
      <c r="F31" s="175">
        <f>SUM(F15:F30)</f>
        <v>1024.4000000000001</v>
      </c>
      <c r="H31" s="17">
        <f>SUM(H15:H30)</f>
        <v>853.4</v>
      </c>
      <c r="J31" s="177">
        <f>SUM(J16:J30)</f>
        <v>878.6</v>
      </c>
      <c r="L31" s="17">
        <f>SUM(L20:L30)</f>
        <v>770.8</v>
      </c>
    </row>
    <row r="32" spans="2:12" x14ac:dyDescent="0.3">
      <c r="B32" t="s">
        <v>1336</v>
      </c>
      <c r="D32" s="182">
        <v>1.85</v>
      </c>
      <c r="F32" s="17">
        <f>D32*F31</f>
        <v>1895.1400000000003</v>
      </c>
      <c r="H32" s="17">
        <f>D32*H31</f>
        <v>1578.79</v>
      </c>
      <c r="I32" s="17"/>
      <c r="J32" s="17">
        <f>D32*J31</f>
        <v>1625.41</v>
      </c>
      <c r="K32" s="17"/>
      <c r="L32" s="17">
        <f>D32*L31</f>
        <v>1425.98</v>
      </c>
    </row>
  </sheetData>
  <mergeCells count="4">
    <mergeCell ref="E14:F14"/>
    <mergeCell ref="G14:H14"/>
    <mergeCell ref="I14:J14"/>
    <mergeCell ref="K14:L14"/>
  </mergeCells>
  <pageMargins left="0.7" right="0.7" top="0.75" bottom="0.75" header="0.3" footer="0.3"/>
  <pageSetup paperSize="9" orientation="portrait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J61"/>
  <sheetViews>
    <sheetView workbookViewId="0">
      <selection activeCell="A2" sqref="A2"/>
    </sheetView>
  </sheetViews>
  <sheetFormatPr defaultColWidth="9.109375" defaultRowHeight="15.6" x14ac:dyDescent="0.3"/>
  <cols>
    <col min="1" max="1" width="9.44140625" style="84" bestFit="1" customWidth="1"/>
    <col min="2" max="3" width="11.44140625" style="84" bestFit="1" customWidth="1"/>
    <col min="4" max="4" width="13.44140625" style="84" customWidth="1"/>
    <col min="5" max="5" width="22.33203125" style="84" bestFit="1" customWidth="1"/>
    <col min="6" max="6" width="7.88671875" style="93" bestFit="1" customWidth="1"/>
    <col min="7" max="7" width="16.6640625" style="84" bestFit="1" customWidth="1"/>
    <col min="8" max="8" width="13.6640625" style="94" bestFit="1" customWidth="1"/>
    <col min="9" max="9" width="12.109375" style="94" bestFit="1" customWidth="1"/>
    <col min="10" max="10" width="13.6640625" style="94" bestFit="1" customWidth="1"/>
    <col min="11" max="16384" width="9.109375" style="84"/>
  </cols>
  <sheetData>
    <row r="1" spans="1:10" ht="16.2" thickBot="1" x14ac:dyDescent="0.35">
      <c r="A1" s="95">
        <v>2014</v>
      </c>
      <c r="B1" s="83" t="s">
        <v>596</v>
      </c>
      <c r="C1" s="83" t="s">
        <v>597</v>
      </c>
      <c r="D1" s="83" t="s">
        <v>598</v>
      </c>
      <c r="E1" s="83" t="s">
        <v>599</v>
      </c>
      <c r="F1" s="83" t="s">
        <v>600</v>
      </c>
      <c r="G1" s="83" t="s">
        <v>601</v>
      </c>
      <c r="H1" s="83" t="s">
        <v>602</v>
      </c>
      <c r="I1" s="83" t="s">
        <v>603</v>
      </c>
      <c r="J1" s="83" t="s">
        <v>48</v>
      </c>
    </row>
    <row r="2" spans="1:10" customFormat="1" ht="14.4" x14ac:dyDescent="0.3">
      <c r="B2" t="s">
        <v>1270</v>
      </c>
      <c r="C2" t="s">
        <v>1269</v>
      </c>
      <c r="D2" s="17" t="s">
        <v>1271</v>
      </c>
      <c r="E2" s="162" t="s">
        <v>1272</v>
      </c>
      <c r="F2" s="163" t="s">
        <v>1273</v>
      </c>
      <c r="G2" t="s">
        <v>617</v>
      </c>
      <c r="H2">
        <v>615</v>
      </c>
      <c r="I2">
        <v>240</v>
      </c>
      <c r="J2">
        <v>855</v>
      </c>
    </row>
    <row r="3" spans="1:10" customFormat="1" ht="14.4" x14ac:dyDescent="0.3">
      <c r="B3" t="s">
        <v>1239</v>
      </c>
      <c r="C3" t="s">
        <v>652</v>
      </c>
      <c r="D3" s="17" t="s">
        <v>1339</v>
      </c>
      <c r="E3" s="164" t="s">
        <v>1240</v>
      </c>
      <c r="F3" s="163">
        <v>64561</v>
      </c>
      <c r="G3" s="164" t="s">
        <v>1136</v>
      </c>
      <c r="H3">
        <f>230</f>
        <v>230</v>
      </c>
      <c r="I3">
        <f>48</f>
        <v>48</v>
      </c>
      <c r="J3">
        <f t="shared" ref="J3:J11" si="0">H3+I3</f>
        <v>278</v>
      </c>
    </row>
    <row r="4" spans="1:10" customFormat="1" ht="14.4" x14ac:dyDescent="0.3">
      <c r="B4" t="s">
        <v>1072</v>
      </c>
      <c r="C4" t="s">
        <v>1071</v>
      </c>
      <c r="D4" s="17" t="s">
        <v>1073</v>
      </c>
      <c r="E4" s="162" t="s">
        <v>1074</v>
      </c>
      <c r="F4" s="163">
        <v>64735</v>
      </c>
      <c r="G4" s="162" t="s">
        <v>870</v>
      </c>
      <c r="H4">
        <f>195+125+170+170+125+125</f>
        <v>910</v>
      </c>
      <c r="J4">
        <f t="shared" si="0"/>
        <v>910</v>
      </c>
    </row>
    <row r="5" spans="1:10" customFormat="1" x14ac:dyDescent="0.3">
      <c r="B5" s="85" t="s">
        <v>718</v>
      </c>
      <c r="C5" s="85" t="s">
        <v>719</v>
      </c>
      <c r="D5" s="17" t="s">
        <v>720</v>
      </c>
      <c r="E5" s="164" t="s">
        <v>868</v>
      </c>
      <c r="F5" s="165" t="s">
        <v>869</v>
      </c>
      <c r="G5" s="85" t="s">
        <v>870</v>
      </c>
      <c r="H5">
        <f>130</f>
        <v>130</v>
      </c>
      <c r="J5">
        <f t="shared" si="0"/>
        <v>130</v>
      </c>
    </row>
    <row r="6" spans="1:10" customFormat="1" x14ac:dyDescent="0.3">
      <c r="B6" s="85" t="s">
        <v>628</v>
      </c>
      <c r="C6" s="85" t="s">
        <v>629</v>
      </c>
      <c r="D6" s="17" t="s">
        <v>630</v>
      </c>
      <c r="E6" s="164" t="s">
        <v>631</v>
      </c>
      <c r="F6" s="165" t="s">
        <v>689</v>
      </c>
      <c r="G6" s="85" t="s">
        <v>612</v>
      </c>
      <c r="H6">
        <f>165+165+165+370+130+230+230+230+230+230+230+230+230+230+230+610+230+230+365+230+230</f>
        <v>5190</v>
      </c>
      <c r="I6">
        <f>150+150+150+150+150+150+150+150+15+150+150+150+150+150+150+150</f>
        <v>2265</v>
      </c>
      <c r="J6">
        <f t="shared" si="0"/>
        <v>7455</v>
      </c>
    </row>
    <row r="7" spans="1:10" customFormat="1" ht="14.4" x14ac:dyDescent="0.3">
      <c r="B7" t="s">
        <v>1043</v>
      </c>
      <c r="C7" t="s">
        <v>1042</v>
      </c>
      <c r="D7" s="17" t="s">
        <v>1044</v>
      </c>
      <c r="E7" s="162" t="s">
        <v>1045</v>
      </c>
      <c r="F7" s="163">
        <v>64735</v>
      </c>
      <c r="G7" s="162" t="s">
        <v>870</v>
      </c>
      <c r="H7">
        <f>130+65+165+165+165+230+165+125+125+165+330+165</f>
        <v>1995</v>
      </c>
      <c r="J7">
        <f t="shared" si="0"/>
        <v>1995</v>
      </c>
    </row>
    <row r="8" spans="1:10" customFormat="1" x14ac:dyDescent="0.3">
      <c r="B8" s="85" t="s">
        <v>743</v>
      </c>
      <c r="C8" s="85" t="s">
        <v>744</v>
      </c>
      <c r="D8" s="17" t="s">
        <v>745</v>
      </c>
      <c r="E8" s="164" t="s">
        <v>751</v>
      </c>
      <c r="F8" s="165" t="s">
        <v>749</v>
      </c>
      <c r="G8" s="85" t="s">
        <v>750</v>
      </c>
      <c r="H8">
        <f>230</f>
        <v>230</v>
      </c>
      <c r="I8">
        <f>60</f>
        <v>60</v>
      </c>
      <c r="J8">
        <f t="shared" si="0"/>
        <v>290</v>
      </c>
    </row>
    <row r="9" spans="1:10" customFormat="1" x14ac:dyDescent="0.3">
      <c r="B9" s="85" t="s">
        <v>632</v>
      </c>
      <c r="C9" s="85" t="s">
        <v>746</v>
      </c>
      <c r="D9" s="17" t="s">
        <v>747</v>
      </c>
      <c r="E9" s="164" t="s">
        <v>748</v>
      </c>
      <c r="F9" s="165" t="s">
        <v>749</v>
      </c>
      <c r="G9" s="85" t="s">
        <v>750</v>
      </c>
      <c r="H9">
        <f>610</f>
        <v>610</v>
      </c>
      <c r="I9">
        <f>48</f>
        <v>48</v>
      </c>
      <c r="J9">
        <f t="shared" si="0"/>
        <v>658</v>
      </c>
    </row>
    <row r="10" spans="1:10" customFormat="1" ht="14.4" x14ac:dyDescent="0.3">
      <c r="B10" t="s">
        <v>1079</v>
      </c>
      <c r="C10" t="s">
        <v>1078</v>
      </c>
      <c r="D10" s="17" t="s">
        <v>1080</v>
      </c>
      <c r="E10" s="162" t="s">
        <v>1081</v>
      </c>
      <c r="F10" s="163">
        <v>64732</v>
      </c>
      <c r="G10" s="162" t="s">
        <v>870</v>
      </c>
      <c r="H10">
        <f>195+100+130+170</f>
        <v>595</v>
      </c>
      <c r="J10">
        <f t="shared" si="0"/>
        <v>595</v>
      </c>
    </row>
    <row r="11" spans="1:10" customFormat="1" ht="14.4" x14ac:dyDescent="0.3">
      <c r="B11" t="s">
        <v>1055</v>
      </c>
      <c r="C11" t="s">
        <v>1054</v>
      </c>
      <c r="D11" s="17" t="s">
        <v>1056</v>
      </c>
      <c r="E11" s="162" t="s">
        <v>1057</v>
      </c>
      <c r="F11" s="163">
        <v>64731</v>
      </c>
      <c r="G11" s="162" t="s">
        <v>870</v>
      </c>
      <c r="H11">
        <f>265+125+125+170</f>
        <v>685</v>
      </c>
      <c r="J11">
        <f t="shared" si="0"/>
        <v>685</v>
      </c>
    </row>
    <row r="12" spans="1:10" customFormat="1" ht="14.4" x14ac:dyDescent="0.3">
      <c r="B12" t="s">
        <v>1255</v>
      </c>
      <c r="C12" t="s">
        <v>1254</v>
      </c>
      <c r="D12" s="17" t="s">
        <v>1256</v>
      </c>
      <c r="E12" s="162" t="s">
        <v>1257</v>
      </c>
      <c r="F12" s="163" t="s">
        <v>1258</v>
      </c>
      <c r="G12" t="s">
        <v>617</v>
      </c>
      <c r="H12">
        <v>610</v>
      </c>
      <c r="I12">
        <v>240</v>
      </c>
      <c r="J12">
        <v>850</v>
      </c>
    </row>
    <row r="13" spans="1:10" customFormat="1" ht="14.4" x14ac:dyDescent="0.3">
      <c r="B13" t="s">
        <v>1047</v>
      </c>
      <c r="C13" t="s">
        <v>1046</v>
      </c>
      <c r="D13" s="17" t="s">
        <v>1048</v>
      </c>
      <c r="E13" s="162" t="s">
        <v>1049</v>
      </c>
      <c r="F13" s="163">
        <v>64731</v>
      </c>
      <c r="G13" s="162" t="s">
        <v>870</v>
      </c>
      <c r="H13">
        <f>125+170+165+165</f>
        <v>625</v>
      </c>
      <c r="J13">
        <f>H13+I13</f>
        <v>625</v>
      </c>
    </row>
    <row r="14" spans="1:10" customFormat="1" ht="14.4" x14ac:dyDescent="0.3">
      <c r="B14" t="s">
        <v>1260</v>
      </c>
      <c r="C14" t="s">
        <v>1259</v>
      </c>
      <c r="D14" s="17" t="s">
        <v>1261</v>
      </c>
      <c r="E14" s="162" t="s">
        <v>1262</v>
      </c>
      <c r="F14" s="163" t="s">
        <v>1263</v>
      </c>
      <c r="G14" t="s">
        <v>617</v>
      </c>
      <c r="H14">
        <v>1230</v>
      </c>
      <c r="I14">
        <v>480</v>
      </c>
      <c r="J14">
        <v>1710</v>
      </c>
    </row>
    <row r="15" spans="1:10" customFormat="1" ht="14.4" x14ac:dyDescent="0.3">
      <c r="B15" t="s">
        <v>1265</v>
      </c>
      <c r="C15" t="s">
        <v>1264</v>
      </c>
      <c r="D15" s="17" t="s">
        <v>1266</v>
      </c>
      <c r="E15" s="162" t="s">
        <v>1267</v>
      </c>
      <c r="F15" s="163" t="s">
        <v>1268</v>
      </c>
      <c r="G15" t="s">
        <v>617</v>
      </c>
      <c r="H15">
        <v>610</v>
      </c>
      <c r="I15">
        <v>240</v>
      </c>
      <c r="J15">
        <v>850</v>
      </c>
    </row>
    <row r="16" spans="1:10" customFormat="1" ht="14.4" x14ac:dyDescent="0.3">
      <c r="B16" t="s">
        <v>1017</v>
      </c>
      <c r="C16" t="s">
        <v>1016</v>
      </c>
      <c r="D16" s="17" t="s">
        <v>1018</v>
      </c>
      <c r="E16" s="162" t="s">
        <v>1019</v>
      </c>
      <c r="F16" s="163">
        <v>64791</v>
      </c>
      <c r="G16" s="162" t="s">
        <v>870</v>
      </c>
      <c r="H16">
        <f>165+125+125</f>
        <v>415</v>
      </c>
      <c r="J16">
        <f>H16+I16</f>
        <v>415</v>
      </c>
    </row>
    <row r="17" spans="2:10" customFormat="1" x14ac:dyDescent="0.3">
      <c r="B17" s="85" t="s">
        <v>1241</v>
      </c>
      <c r="C17" s="85" t="s">
        <v>1242</v>
      </c>
      <c r="D17" s="17" t="s">
        <v>1243</v>
      </c>
      <c r="E17" s="164" t="s">
        <v>1244</v>
      </c>
      <c r="F17" s="165" t="s">
        <v>1245</v>
      </c>
      <c r="G17" s="85" t="s">
        <v>888</v>
      </c>
      <c r="H17">
        <f>365+230</f>
        <v>595</v>
      </c>
      <c r="I17">
        <f>270+270</f>
        <v>540</v>
      </c>
      <c r="J17">
        <f>H17+I17</f>
        <v>1135</v>
      </c>
    </row>
    <row r="18" spans="2:10" customFormat="1" ht="14.4" x14ac:dyDescent="0.3">
      <c r="B18" t="s">
        <v>1039</v>
      </c>
      <c r="C18" t="s">
        <v>1038</v>
      </c>
      <c r="D18" s="17" t="s">
        <v>1040</v>
      </c>
      <c r="E18" s="164" t="s">
        <v>1041</v>
      </c>
      <c r="F18" s="163">
        <v>64731</v>
      </c>
      <c r="G18" s="164" t="s">
        <v>870</v>
      </c>
      <c r="H18">
        <f>125+150+60+165</f>
        <v>500</v>
      </c>
      <c r="J18">
        <f>H18+I18</f>
        <v>500</v>
      </c>
    </row>
    <row r="19" spans="2:10" customFormat="1" ht="14.4" x14ac:dyDescent="0.3">
      <c r="B19" t="s">
        <v>732</v>
      </c>
      <c r="C19" t="s">
        <v>733</v>
      </c>
      <c r="D19" s="17" t="s">
        <v>734</v>
      </c>
      <c r="E19" s="162" t="s">
        <v>1061</v>
      </c>
      <c r="F19" s="163">
        <v>64732</v>
      </c>
      <c r="G19" s="162" t="s">
        <v>870</v>
      </c>
      <c r="H19">
        <f>300+125+125+165+165</f>
        <v>880</v>
      </c>
      <c r="J19">
        <f>H19+I19</f>
        <v>880</v>
      </c>
    </row>
    <row r="20" spans="2:10" customFormat="1" ht="14.4" x14ac:dyDescent="0.3">
      <c r="B20" t="s">
        <v>1087</v>
      </c>
      <c r="C20" t="s">
        <v>1086</v>
      </c>
      <c r="D20" s="17" t="s">
        <v>1088</v>
      </c>
      <c r="E20" s="162" t="s">
        <v>1089</v>
      </c>
      <c r="F20" s="163">
        <v>64750</v>
      </c>
      <c r="G20" t="s">
        <v>750</v>
      </c>
      <c r="H20">
        <f>195+100+130+170+125</f>
        <v>720</v>
      </c>
      <c r="J20">
        <f>H20+I20</f>
        <v>720</v>
      </c>
    </row>
    <row r="21" spans="2:10" customFormat="1" ht="14.4" x14ac:dyDescent="0.3">
      <c r="B21" t="s">
        <v>666</v>
      </c>
      <c r="C21" t="s">
        <v>667</v>
      </c>
      <c r="D21" s="17" t="s">
        <v>1251</v>
      </c>
      <c r="E21" s="162" t="s">
        <v>1252</v>
      </c>
      <c r="F21" s="163" t="s">
        <v>1253</v>
      </c>
      <c r="G21" t="s">
        <v>617</v>
      </c>
      <c r="H21">
        <v>1220</v>
      </c>
      <c r="I21">
        <v>504</v>
      </c>
      <c r="J21">
        <v>1724</v>
      </c>
    </row>
    <row r="22" spans="2:10" customFormat="1" x14ac:dyDescent="0.3">
      <c r="B22" s="85" t="s">
        <v>671</v>
      </c>
      <c r="C22" s="85" t="s">
        <v>672</v>
      </c>
      <c r="D22" s="17" t="s">
        <v>673</v>
      </c>
      <c r="E22" s="164" t="s">
        <v>674</v>
      </c>
      <c r="F22" s="165" t="s">
        <v>752</v>
      </c>
      <c r="G22" s="85" t="s">
        <v>750</v>
      </c>
      <c r="H22">
        <f>230+230</f>
        <v>460</v>
      </c>
      <c r="I22">
        <f>60+60</f>
        <v>120</v>
      </c>
      <c r="J22">
        <f t="shared" ref="J22:J27" si="1">H22+I22</f>
        <v>580</v>
      </c>
    </row>
    <row r="23" spans="2:10" customFormat="1" ht="14.4" x14ac:dyDescent="0.3">
      <c r="B23" t="s">
        <v>1051</v>
      </c>
      <c r="C23" t="s">
        <v>1050</v>
      </c>
      <c r="D23" s="17" t="s">
        <v>1052</v>
      </c>
      <c r="E23" s="162" t="s">
        <v>1053</v>
      </c>
      <c r="F23" s="163">
        <v>64730</v>
      </c>
      <c r="G23" s="162" t="s">
        <v>870</v>
      </c>
      <c r="H23">
        <f>320+65+125+165</f>
        <v>675</v>
      </c>
      <c r="J23">
        <f t="shared" si="1"/>
        <v>675</v>
      </c>
    </row>
    <row r="24" spans="2:10" customFormat="1" ht="14.4" x14ac:dyDescent="0.3">
      <c r="B24" t="s">
        <v>1028</v>
      </c>
      <c r="C24" t="s">
        <v>1027</v>
      </c>
      <c r="D24" s="17" t="s">
        <v>1029</v>
      </c>
      <c r="E24" s="162" t="s">
        <v>1030</v>
      </c>
      <c r="F24" s="163">
        <v>64731</v>
      </c>
      <c r="G24" s="162" t="s">
        <v>870</v>
      </c>
      <c r="H24">
        <f>125+125+125</f>
        <v>375</v>
      </c>
      <c r="J24">
        <f t="shared" si="1"/>
        <v>375</v>
      </c>
    </row>
    <row r="25" spans="2:10" customFormat="1" ht="14.4" x14ac:dyDescent="0.3">
      <c r="B25" t="s">
        <v>723</v>
      </c>
      <c r="C25" t="s">
        <v>1024</v>
      </c>
      <c r="D25" s="17" t="s">
        <v>1025</v>
      </c>
      <c r="E25" s="162" t="s">
        <v>1026</v>
      </c>
      <c r="F25" s="163">
        <v>64731</v>
      </c>
      <c r="G25" s="162" t="s">
        <v>870</v>
      </c>
      <c r="H25">
        <f>165+125+150+170+125</f>
        <v>735</v>
      </c>
      <c r="J25">
        <f t="shared" si="1"/>
        <v>735</v>
      </c>
    </row>
    <row r="26" spans="2:10" customFormat="1" x14ac:dyDescent="0.3">
      <c r="B26" s="85" t="s">
        <v>723</v>
      </c>
      <c r="C26" s="85" t="s">
        <v>719</v>
      </c>
      <c r="D26" s="17" t="s">
        <v>724</v>
      </c>
      <c r="E26" s="164" t="s">
        <v>880</v>
      </c>
      <c r="F26" s="165" t="s">
        <v>878</v>
      </c>
      <c r="G26" s="85" t="s">
        <v>870</v>
      </c>
      <c r="H26">
        <f>130</f>
        <v>130</v>
      </c>
      <c r="J26">
        <f t="shared" si="1"/>
        <v>130</v>
      </c>
    </row>
    <row r="27" spans="2:10" customFormat="1" ht="14.4" x14ac:dyDescent="0.3">
      <c r="B27" t="s">
        <v>675</v>
      </c>
      <c r="C27" t="s">
        <v>1058</v>
      </c>
      <c r="D27" s="17" t="s">
        <v>1059</v>
      </c>
      <c r="E27" s="162" t="s">
        <v>1060</v>
      </c>
      <c r="F27" s="163">
        <v>64731</v>
      </c>
      <c r="G27" s="162" t="s">
        <v>870</v>
      </c>
      <c r="H27">
        <f>265+125+130+255</f>
        <v>775</v>
      </c>
      <c r="J27">
        <f t="shared" si="1"/>
        <v>775</v>
      </c>
    </row>
    <row r="28" spans="2:10" customFormat="1" x14ac:dyDescent="0.3">
      <c r="B28" s="85" t="s">
        <v>678</v>
      </c>
      <c r="C28" s="85" t="s">
        <v>885</v>
      </c>
      <c r="D28" s="17" t="s">
        <v>680</v>
      </c>
      <c r="E28" s="164" t="s">
        <v>886</v>
      </c>
      <c r="F28" s="165" t="s">
        <v>887</v>
      </c>
      <c r="G28" s="85" t="s">
        <v>888</v>
      </c>
      <c r="H28">
        <f>365+230+230+230+230</f>
        <v>1285</v>
      </c>
      <c r="I28">
        <f>300+300+300+300</f>
        <v>1200</v>
      </c>
      <c r="J28">
        <f>SUM(H28:I28)</f>
        <v>2485</v>
      </c>
    </row>
    <row r="29" spans="2:10" customFormat="1" x14ac:dyDescent="0.3">
      <c r="B29" s="85" t="s">
        <v>681</v>
      </c>
      <c r="C29" s="85" t="s">
        <v>686</v>
      </c>
      <c r="D29" s="17" t="s">
        <v>687</v>
      </c>
      <c r="E29" s="164" t="s">
        <v>688</v>
      </c>
      <c r="F29" s="165" t="s">
        <v>689</v>
      </c>
      <c r="G29" s="85" t="s">
        <v>612</v>
      </c>
      <c r="H29">
        <f>365</f>
        <v>365</v>
      </c>
      <c r="I29">
        <f>180</f>
        <v>180</v>
      </c>
      <c r="J29">
        <f t="shared" ref="J29:J38" si="2">H29+I29</f>
        <v>545</v>
      </c>
    </row>
    <row r="30" spans="2:10" customFormat="1" ht="14.4" x14ac:dyDescent="0.3">
      <c r="B30" t="s">
        <v>1021</v>
      </c>
      <c r="C30" t="s">
        <v>1020</v>
      </c>
      <c r="D30" s="17" t="s">
        <v>1022</v>
      </c>
      <c r="E30" s="162" t="s">
        <v>1023</v>
      </c>
      <c r="F30" s="163">
        <v>64791</v>
      </c>
      <c r="G30" s="162" t="s">
        <v>870</v>
      </c>
      <c r="H30">
        <f>320+125+125</f>
        <v>570</v>
      </c>
      <c r="J30">
        <f t="shared" si="2"/>
        <v>570</v>
      </c>
    </row>
    <row r="31" spans="2:10" customFormat="1" x14ac:dyDescent="0.3">
      <c r="B31" s="85" t="s">
        <v>1094</v>
      </c>
      <c r="C31" s="85" t="s">
        <v>1095</v>
      </c>
      <c r="D31" s="17" t="s">
        <v>1096</v>
      </c>
      <c r="E31" s="164" t="s">
        <v>1097</v>
      </c>
      <c r="F31" s="165" t="s">
        <v>1098</v>
      </c>
      <c r="G31" s="85" t="s">
        <v>888</v>
      </c>
      <c r="H31">
        <f>230</f>
        <v>230</v>
      </c>
      <c r="I31">
        <f>350</f>
        <v>350</v>
      </c>
      <c r="J31">
        <f t="shared" si="2"/>
        <v>580</v>
      </c>
    </row>
    <row r="32" spans="2:10" customFormat="1" ht="14.4" x14ac:dyDescent="0.3">
      <c r="B32" t="s">
        <v>1064</v>
      </c>
      <c r="C32" t="s">
        <v>1063</v>
      </c>
      <c r="D32" s="17" t="s">
        <v>1065</v>
      </c>
      <c r="E32" s="162" t="s">
        <v>1066</v>
      </c>
      <c r="F32" s="163">
        <v>64730</v>
      </c>
      <c r="G32" s="162" t="s">
        <v>870</v>
      </c>
      <c r="H32">
        <f>125+165</f>
        <v>290</v>
      </c>
      <c r="J32">
        <f t="shared" si="2"/>
        <v>290</v>
      </c>
    </row>
    <row r="33" spans="2:10" customFormat="1" ht="14.4" x14ac:dyDescent="0.3">
      <c r="B33" t="s">
        <v>1068</v>
      </c>
      <c r="C33" t="s">
        <v>1067</v>
      </c>
      <c r="D33" s="17" t="s">
        <v>1069</v>
      </c>
      <c r="E33" s="162" t="s">
        <v>1070</v>
      </c>
      <c r="F33" s="163">
        <v>64795</v>
      </c>
      <c r="G33" t="s">
        <v>750</v>
      </c>
      <c r="H33">
        <f>125</f>
        <v>125</v>
      </c>
      <c r="J33">
        <f t="shared" si="2"/>
        <v>125</v>
      </c>
    </row>
    <row r="34" spans="2:10" customFormat="1" ht="14.4" x14ac:dyDescent="0.3">
      <c r="B34" t="s">
        <v>1035</v>
      </c>
      <c r="C34" t="s">
        <v>1034</v>
      </c>
      <c r="D34" s="17" t="s">
        <v>1036</v>
      </c>
      <c r="E34" s="162" t="s">
        <v>1037</v>
      </c>
      <c r="F34" s="163">
        <v>64791</v>
      </c>
      <c r="G34" s="162" t="s">
        <v>870</v>
      </c>
      <c r="H34">
        <f>125+125</f>
        <v>250</v>
      </c>
      <c r="J34">
        <f t="shared" si="2"/>
        <v>250</v>
      </c>
    </row>
    <row r="35" spans="2:10" customFormat="1" ht="14.4" x14ac:dyDescent="0.3">
      <c r="B35" t="s">
        <v>693</v>
      </c>
      <c r="C35" t="s">
        <v>1031</v>
      </c>
      <c r="D35" s="17" t="s">
        <v>1032</v>
      </c>
      <c r="E35" s="164" t="s">
        <v>1033</v>
      </c>
      <c r="F35" s="163">
        <v>64731</v>
      </c>
      <c r="G35" s="164" t="s">
        <v>870</v>
      </c>
      <c r="H35">
        <f>125+170+60</f>
        <v>355</v>
      </c>
      <c r="J35">
        <f t="shared" si="2"/>
        <v>355</v>
      </c>
    </row>
    <row r="36" spans="2:10" customFormat="1" ht="14.4" x14ac:dyDescent="0.3">
      <c r="B36" t="s">
        <v>879</v>
      </c>
      <c r="C36" t="s">
        <v>1075</v>
      </c>
      <c r="D36" s="17" t="s">
        <v>1076</v>
      </c>
      <c r="E36" s="162" t="s">
        <v>1077</v>
      </c>
      <c r="F36" s="163">
        <v>64792</v>
      </c>
      <c r="G36" s="162" t="s">
        <v>870</v>
      </c>
      <c r="H36">
        <f>195+125+170+170+125</f>
        <v>785</v>
      </c>
      <c r="J36">
        <f t="shared" si="2"/>
        <v>785</v>
      </c>
    </row>
    <row r="37" spans="2:10" customFormat="1" x14ac:dyDescent="0.3">
      <c r="B37" s="85" t="s">
        <v>1090</v>
      </c>
      <c r="C37" s="85" t="s">
        <v>1091</v>
      </c>
      <c r="D37" s="17" t="s">
        <v>1092</v>
      </c>
      <c r="E37" s="164" t="s">
        <v>1093</v>
      </c>
      <c r="F37" s="165" t="s">
        <v>757</v>
      </c>
      <c r="G37" s="85" t="s">
        <v>612</v>
      </c>
      <c r="H37">
        <f>125+230+230+230+230+230+230</f>
        <v>1505</v>
      </c>
      <c r="I37">
        <f>180+180+150+150+150</f>
        <v>810</v>
      </c>
      <c r="J37">
        <f t="shared" si="2"/>
        <v>2315</v>
      </c>
    </row>
    <row r="38" spans="2:10" customFormat="1" ht="14.4" x14ac:dyDescent="0.3">
      <c r="B38" t="s">
        <v>738</v>
      </c>
      <c r="C38" t="s">
        <v>728</v>
      </c>
      <c r="D38" s="17" t="s">
        <v>739</v>
      </c>
      <c r="E38" s="162" t="s">
        <v>1062</v>
      </c>
      <c r="F38" s="163">
        <v>64730</v>
      </c>
      <c r="G38" s="162" t="s">
        <v>870</v>
      </c>
      <c r="H38">
        <f>300+255</f>
        <v>555</v>
      </c>
      <c r="J38">
        <f t="shared" si="2"/>
        <v>555</v>
      </c>
    </row>
    <row r="39" spans="2:10" customFormat="1" ht="14.4" x14ac:dyDescent="0.3">
      <c r="B39" t="s">
        <v>1278</v>
      </c>
      <c r="C39" t="s">
        <v>1277</v>
      </c>
      <c r="D39" s="17" t="s">
        <v>1279</v>
      </c>
      <c r="E39" s="162" t="s">
        <v>1280</v>
      </c>
      <c r="F39" s="163" t="s">
        <v>1281</v>
      </c>
      <c r="G39" t="s">
        <v>617</v>
      </c>
      <c r="H39">
        <v>610</v>
      </c>
      <c r="I39">
        <v>205</v>
      </c>
      <c r="J39">
        <v>815</v>
      </c>
    </row>
    <row r="40" spans="2:10" customFormat="1" ht="14.4" x14ac:dyDescent="0.3">
      <c r="B40" t="s">
        <v>710</v>
      </c>
      <c r="C40" t="s">
        <v>711</v>
      </c>
      <c r="D40" s="17" t="s">
        <v>1274</v>
      </c>
      <c r="E40" s="162" t="s">
        <v>1275</v>
      </c>
      <c r="F40" s="163" t="s">
        <v>1276</v>
      </c>
      <c r="G40" t="s">
        <v>617</v>
      </c>
      <c r="H40">
        <v>610</v>
      </c>
      <c r="I40">
        <v>210</v>
      </c>
      <c r="J40">
        <v>820</v>
      </c>
    </row>
    <row r="41" spans="2:10" customFormat="1" x14ac:dyDescent="0.3">
      <c r="B41" s="85" t="s">
        <v>1246</v>
      </c>
      <c r="C41" s="85" t="s">
        <v>1247</v>
      </c>
      <c r="D41" s="17" t="s">
        <v>1248</v>
      </c>
      <c r="E41" s="164" t="s">
        <v>1249</v>
      </c>
      <c r="F41" s="165" t="s">
        <v>1250</v>
      </c>
      <c r="G41" s="85" t="s">
        <v>617</v>
      </c>
      <c r="H41">
        <f>615</f>
        <v>615</v>
      </c>
      <c r="I41">
        <f>250</f>
        <v>250</v>
      </c>
      <c r="J41">
        <f>H41+I41</f>
        <v>865</v>
      </c>
    </row>
    <row r="42" spans="2:10" customFormat="1" ht="14.4" x14ac:dyDescent="0.3">
      <c r="B42" t="s">
        <v>1083</v>
      </c>
      <c r="C42" t="s">
        <v>1082</v>
      </c>
      <c r="D42" s="17" t="s">
        <v>1084</v>
      </c>
      <c r="E42" s="162" t="s">
        <v>1085</v>
      </c>
      <c r="F42" s="163">
        <v>64731</v>
      </c>
      <c r="G42" s="162" t="s">
        <v>870</v>
      </c>
      <c r="H42">
        <f>130</f>
        <v>130</v>
      </c>
      <c r="J42">
        <f>H42+I42</f>
        <v>130</v>
      </c>
    </row>
    <row r="43" spans="2:10" customFormat="1" x14ac:dyDescent="0.3">
      <c r="B43" s="85" t="s">
        <v>753</v>
      </c>
      <c r="C43" s="85" t="s">
        <v>754</v>
      </c>
      <c r="D43" s="17" t="s">
        <v>755</v>
      </c>
      <c r="E43" s="164" t="s">
        <v>756</v>
      </c>
      <c r="F43" s="165" t="s">
        <v>757</v>
      </c>
      <c r="G43" s="85" t="s">
        <v>612</v>
      </c>
      <c r="H43">
        <f>610+610+610</f>
        <v>1830</v>
      </c>
      <c r="I43">
        <f>180+180+120</f>
        <v>480</v>
      </c>
      <c r="J43">
        <f>H43+I43</f>
        <v>2310</v>
      </c>
    </row>
    <row r="44" spans="2:10" ht="16.2" thickBot="1" x14ac:dyDescent="0.35">
      <c r="B44" s="89"/>
      <c r="C44" s="89"/>
      <c r="D44" s="89"/>
      <c r="E44" s="89"/>
      <c r="F44" s="90"/>
      <c r="G44" s="89"/>
      <c r="H44" s="91">
        <f>SUM(H2:H43)</f>
        <v>31855</v>
      </c>
      <c r="I44" s="91">
        <f>SUM(I2:I43)</f>
        <v>8470</v>
      </c>
      <c r="J44" s="91">
        <f>SUM(J2:J43)</f>
        <v>40325</v>
      </c>
    </row>
    <row r="45" spans="2:10" customFormat="1" ht="16.2" thickTop="1" x14ac:dyDescent="0.3">
      <c r="B45" s="85"/>
      <c r="C45" s="85"/>
      <c r="D45" s="17"/>
      <c r="E45" s="164"/>
      <c r="F45" s="165"/>
      <c r="G45" s="85"/>
    </row>
    <row r="46" spans="2:10" customFormat="1" x14ac:dyDescent="0.3">
      <c r="B46" s="85"/>
      <c r="C46" s="85"/>
      <c r="D46" s="17"/>
      <c r="E46" s="164"/>
      <c r="F46" s="165"/>
      <c r="G46" s="85"/>
    </row>
    <row r="47" spans="2:10" customFormat="1" ht="14.4" x14ac:dyDescent="0.3">
      <c r="D47" s="17"/>
      <c r="E47" s="162"/>
      <c r="F47" s="163"/>
    </row>
    <row r="48" spans="2:10" s="89" customFormat="1" x14ac:dyDescent="0.3">
      <c r="B48" s="89" t="s">
        <v>623</v>
      </c>
      <c r="C48" s="89" t="s">
        <v>728</v>
      </c>
      <c r="D48" s="89" t="s">
        <v>729</v>
      </c>
      <c r="E48" s="89" t="s">
        <v>871</v>
      </c>
      <c r="F48" s="90" t="s">
        <v>749</v>
      </c>
      <c r="G48" s="89" t="s">
        <v>750</v>
      </c>
      <c r="H48" s="161"/>
      <c r="I48" s="161"/>
      <c r="J48" s="92">
        <f t="shared" ref="J48:J53" si="3">H48+I48</f>
        <v>0</v>
      </c>
    </row>
    <row r="49" spans="2:10" s="89" customFormat="1" x14ac:dyDescent="0.3">
      <c r="B49" s="89" t="s">
        <v>725</v>
      </c>
      <c r="C49" s="89" t="s">
        <v>726</v>
      </c>
      <c r="D49" s="89" t="s">
        <v>727</v>
      </c>
      <c r="E49" s="89" t="s">
        <v>872</v>
      </c>
      <c r="F49" s="90" t="s">
        <v>873</v>
      </c>
      <c r="G49" s="89" t="s">
        <v>874</v>
      </c>
      <c r="H49" s="161"/>
      <c r="I49" s="161"/>
      <c r="J49" s="92">
        <f t="shared" si="3"/>
        <v>0</v>
      </c>
    </row>
    <row r="50" spans="2:10" s="89" customFormat="1" x14ac:dyDescent="0.3">
      <c r="B50" s="89" t="s">
        <v>882</v>
      </c>
      <c r="C50" s="89" t="s">
        <v>883</v>
      </c>
      <c r="D50" s="89" t="s">
        <v>884</v>
      </c>
      <c r="F50" s="90"/>
      <c r="H50" s="161"/>
      <c r="I50" s="161"/>
      <c r="J50" s="92">
        <f t="shared" si="3"/>
        <v>0</v>
      </c>
    </row>
    <row r="51" spans="2:10" s="89" customFormat="1" x14ac:dyDescent="0.3">
      <c r="B51" s="89" t="s">
        <v>735</v>
      </c>
      <c r="C51" s="89" t="s">
        <v>736</v>
      </c>
      <c r="D51" s="89" t="s">
        <v>737</v>
      </c>
      <c r="F51" s="90"/>
      <c r="H51" s="161"/>
      <c r="I51" s="161"/>
      <c r="J51" s="92">
        <f t="shared" si="3"/>
        <v>0</v>
      </c>
    </row>
    <row r="52" spans="2:10" s="89" customFormat="1" x14ac:dyDescent="0.3">
      <c r="B52" s="89" t="s">
        <v>740</v>
      </c>
      <c r="C52" s="89" t="s">
        <v>741</v>
      </c>
      <c r="D52" s="89" t="s">
        <v>742</v>
      </c>
      <c r="F52" s="90"/>
      <c r="H52" s="161"/>
      <c r="I52" s="161"/>
      <c r="J52" s="92">
        <f t="shared" si="3"/>
        <v>0</v>
      </c>
    </row>
    <row r="53" spans="2:10" s="89" customFormat="1" x14ac:dyDescent="0.3">
      <c r="B53" s="89" t="s">
        <v>644</v>
      </c>
      <c r="C53" s="89" t="s">
        <v>645</v>
      </c>
      <c r="D53" s="89" t="s">
        <v>646</v>
      </c>
      <c r="E53" s="89" t="s">
        <v>647</v>
      </c>
      <c r="F53" s="90">
        <v>64540</v>
      </c>
      <c r="G53" s="89" t="s">
        <v>612</v>
      </c>
      <c r="H53" s="161"/>
      <c r="I53" s="161"/>
      <c r="J53" s="92">
        <f t="shared" si="3"/>
        <v>0</v>
      </c>
    </row>
    <row r="54" spans="2:10" s="89" customFormat="1" x14ac:dyDescent="0.3">
      <c r="B54" s="89" t="s">
        <v>715</v>
      </c>
      <c r="C54" s="89" t="s">
        <v>716</v>
      </c>
      <c r="D54" s="89" t="s">
        <v>717</v>
      </c>
      <c r="E54" s="89" t="s">
        <v>875</v>
      </c>
      <c r="F54" s="90" t="s">
        <v>876</v>
      </c>
      <c r="G54" s="89" t="s">
        <v>870</v>
      </c>
      <c r="H54" s="161"/>
      <c r="I54" s="161"/>
      <c r="J54" s="92">
        <f>H54+I54</f>
        <v>0</v>
      </c>
    </row>
    <row r="55" spans="2:10" s="89" customFormat="1" x14ac:dyDescent="0.3">
      <c r="B55" s="89" t="s">
        <v>651</v>
      </c>
      <c r="C55" s="89" t="s">
        <v>652</v>
      </c>
      <c r="D55" s="89" t="s">
        <v>653</v>
      </c>
      <c r="E55" s="89" t="s">
        <v>877</v>
      </c>
      <c r="F55" s="90" t="s">
        <v>878</v>
      </c>
      <c r="G55" s="89" t="s">
        <v>870</v>
      </c>
      <c r="H55" s="161"/>
      <c r="I55" s="161"/>
      <c r="J55" s="92">
        <f t="shared" ref="J55:J60" si="4">H55+I55</f>
        <v>0</v>
      </c>
    </row>
    <row r="56" spans="2:10" s="89" customFormat="1" x14ac:dyDescent="0.3">
      <c r="B56" s="89" t="s">
        <v>732</v>
      </c>
      <c r="C56" s="89" t="s">
        <v>733</v>
      </c>
      <c r="D56" s="89" t="s">
        <v>734</v>
      </c>
      <c r="F56" s="90"/>
      <c r="H56" s="161"/>
      <c r="I56" s="161"/>
      <c r="J56" s="92">
        <f t="shared" si="4"/>
        <v>0</v>
      </c>
    </row>
    <row r="57" spans="2:10" s="89" customFormat="1" x14ac:dyDescent="0.3">
      <c r="B57" s="89" t="s">
        <v>730</v>
      </c>
      <c r="C57" s="89" t="s">
        <v>716</v>
      </c>
      <c r="D57" s="89" t="s">
        <v>731</v>
      </c>
      <c r="F57" s="90"/>
      <c r="H57" s="161"/>
      <c r="I57" s="161"/>
      <c r="J57" s="92">
        <f t="shared" si="4"/>
        <v>0</v>
      </c>
    </row>
    <row r="58" spans="2:10" s="89" customFormat="1" x14ac:dyDescent="0.3">
      <c r="B58" s="89" t="s">
        <v>681</v>
      </c>
      <c r="C58" s="89" t="s">
        <v>690</v>
      </c>
      <c r="D58" s="89" t="s">
        <v>691</v>
      </c>
      <c r="E58" s="89" t="s">
        <v>692</v>
      </c>
      <c r="F58" s="90">
        <v>64542</v>
      </c>
      <c r="G58" s="89" t="s">
        <v>612</v>
      </c>
      <c r="H58" s="161"/>
      <c r="I58" s="161"/>
      <c r="J58" s="92">
        <f>SUM(H58:I58)</f>
        <v>0</v>
      </c>
    </row>
    <row r="59" spans="2:10" s="89" customFormat="1" x14ac:dyDescent="0.3">
      <c r="B59" s="89" t="s">
        <v>879</v>
      </c>
      <c r="C59" s="89" t="s">
        <v>721</v>
      </c>
      <c r="D59" s="89" t="s">
        <v>722</v>
      </c>
      <c r="E59" s="89" t="s">
        <v>889</v>
      </c>
      <c r="F59" s="90" t="s">
        <v>881</v>
      </c>
      <c r="G59" s="89" t="s">
        <v>870</v>
      </c>
      <c r="H59" s="161"/>
      <c r="I59" s="161"/>
      <c r="J59" s="92">
        <f t="shared" si="4"/>
        <v>0</v>
      </c>
    </row>
    <row r="60" spans="2:10" s="89" customFormat="1" x14ac:dyDescent="0.3">
      <c r="B60" s="89" t="s">
        <v>738</v>
      </c>
      <c r="C60" s="89" t="s">
        <v>728</v>
      </c>
      <c r="D60" s="89" t="s">
        <v>739</v>
      </c>
      <c r="F60" s="90"/>
      <c r="H60" s="161"/>
      <c r="I60" s="161"/>
      <c r="J60" s="92">
        <f t="shared" si="4"/>
        <v>0</v>
      </c>
    </row>
    <row r="61" spans="2:10" x14ac:dyDescent="0.3">
      <c r="B61" s="89"/>
      <c r="C61" s="89"/>
      <c r="D61" s="89"/>
      <c r="E61" s="89"/>
      <c r="F61" s="90"/>
      <c r="G61" s="89"/>
      <c r="H61" s="92"/>
      <c r="I61" s="92"/>
      <c r="J61" s="92"/>
    </row>
  </sheetData>
  <sortState xmlns:xlrd2="http://schemas.microsoft.com/office/spreadsheetml/2017/richdata2" ref="A2:J43">
    <sortCondition ref="B2:B43"/>
  </sortState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FF0000"/>
    <pageSetUpPr fitToPage="1"/>
  </sheetPr>
  <dimension ref="A1:M52"/>
  <sheetViews>
    <sheetView workbookViewId="0">
      <selection activeCell="I1" sqref="I1:I1048576"/>
    </sheetView>
  </sheetViews>
  <sheetFormatPr defaultColWidth="9.109375" defaultRowHeight="15.6" x14ac:dyDescent="0.3"/>
  <cols>
    <col min="1" max="1" width="30.6640625" style="4" bestFit="1" customWidth="1"/>
    <col min="2" max="7" width="14.33203125" style="4" customWidth="1"/>
    <col min="8" max="8" width="16.44140625" style="1" customWidth="1"/>
    <col min="9" max="9" width="18.5546875" style="1" bestFit="1" customWidth="1"/>
    <col min="10" max="10" width="27" style="196" customWidth="1"/>
    <col min="11" max="11" width="16" style="155" customWidth="1"/>
    <col min="12" max="16384" width="9.109375" style="1"/>
  </cols>
  <sheetData>
    <row r="1" spans="1:11" ht="31.8" thickBot="1" x14ac:dyDescent="0.65">
      <c r="A1" s="64" t="s">
        <v>486</v>
      </c>
      <c r="B1" s="61" t="s">
        <v>487</v>
      </c>
      <c r="C1" s="62"/>
      <c r="D1" s="63"/>
      <c r="E1" s="1"/>
    </row>
    <row r="2" spans="1:11" ht="16.2" thickBot="1" x14ac:dyDescent="0.35"/>
    <row r="3" spans="1:11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43" t="s">
        <v>971</v>
      </c>
      <c r="I3" s="44" t="s">
        <v>1346</v>
      </c>
      <c r="J3" s="156"/>
      <c r="K3" s="156"/>
    </row>
    <row r="4" spans="1:11" s="35" customFormat="1" ht="16.2" thickBot="1" x14ac:dyDescent="0.35">
      <c r="A4" s="34"/>
      <c r="B4" s="34"/>
      <c r="C4" s="34"/>
      <c r="D4" s="34"/>
      <c r="E4" s="34"/>
      <c r="F4" s="34"/>
      <c r="G4" s="34"/>
      <c r="H4" s="110">
        <v>42004</v>
      </c>
      <c r="I4" s="36"/>
      <c r="J4" s="156"/>
      <c r="K4" s="156"/>
    </row>
    <row r="5" spans="1:11" ht="16.2" thickBot="1" x14ac:dyDescent="0.35">
      <c r="A5" s="32" t="s">
        <v>19</v>
      </c>
      <c r="B5" s="10"/>
      <c r="C5" s="7"/>
      <c r="D5" s="7"/>
      <c r="H5" s="111"/>
      <c r="I5" s="8"/>
      <c r="J5" s="155"/>
    </row>
    <row r="6" spans="1:11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9">
        <f>86803-50000+10296+1600+71002+27247</f>
        <v>146948</v>
      </c>
      <c r="I6" s="190">
        <v>12000</v>
      </c>
      <c r="J6" s="157"/>
    </row>
    <row r="7" spans="1:11" x14ac:dyDescent="0.3">
      <c r="A7" s="4" t="s">
        <v>492</v>
      </c>
      <c r="B7" s="38">
        <v>500</v>
      </c>
      <c r="C7" s="38">
        <v>85850</v>
      </c>
      <c r="D7" s="38">
        <v>62250</v>
      </c>
      <c r="E7" s="38">
        <v>66900</v>
      </c>
      <c r="F7" s="38">
        <v>91100</v>
      </c>
      <c r="G7" s="38">
        <v>83700</v>
      </c>
      <c r="H7" s="9">
        <v>94424</v>
      </c>
      <c r="I7" s="190">
        <v>0</v>
      </c>
      <c r="J7" s="155"/>
    </row>
    <row r="8" spans="1:11" ht="55.2" x14ac:dyDescent="0.3">
      <c r="A8" s="4" t="s">
        <v>22</v>
      </c>
      <c r="B8" s="38">
        <v>46200</v>
      </c>
      <c r="C8" s="38">
        <v>38350</v>
      </c>
      <c r="D8" s="38">
        <v>45250</v>
      </c>
      <c r="E8" s="38">
        <v>41550</v>
      </c>
      <c r="F8" s="38">
        <v>70983</v>
      </c>
      <c r="G8" s="38">
        <v>67300</v>
      </c>
      <c r="H8" s="9">
        <f>8000+6000+4250+6550+8100+12400+3100+8100+300+6750+800+5250+4950+1600+2900+400+300+3200+2250+400+900+600+1200+150+300+400+750+17500-50</f>
        <v>107350</v>
      </c>
      <c r="I8" s="190">
        <v>17500</v>
      </c>
      <c r="J8" s="189" t="s">
        <v>1344</v>
      </c>
    </row>
    <row r="9" spans="1:11" x14ac:dyDescent="0.3">
      <c r="A9" s="4" t="s">
        <v>23</v>
      </c>
      <c r="B9" s="38">
        <v>34790</v>
      </c>
      <c r="C9" s="38">
        <f>54700+14100</f>
        <v>68800</v>
      </c>
      <c r="D9" s="38">
        <v>26025</v>
      </c>
      <c r="E9" s="38">
        <v>20105</v>
      </c>
      <c r="F9" s="38">
        <v>28901</v>
      </c>
      <c r="G9" s="38">
        <v>26546</v>
      </c>
      <c r="H9" s="9">
        <f>10000+10000+2500+5750+2175+1877+10000+520+6160+2080+1700+54+8170</f>
        <v>60986</v>
      </c>
      <c r="I9" s="190">
        <v>0</v>
      </c>
      <c r="J9" s="155"/>
    </row>
    <row r="10" spans="1:11" x14ac:dyDescent="0.3">
      <c r="A10" s="4" t="s">
        <v>24</v>
      </c>
      <c r="B10" s="38">
        <v>5000</v>
      </c>
      <c r="C10" s="38">
        <v>10000</v>
      </c>
      <c r="D10" s="38">
        <v>0</v>
      </c>
      <c r="E10" s="38">
        <v>14600</v>
      </c>
      <c r="F10" s="38">
        <v>3840</v>
      </c>
      <c r="G10" s="38">
        <v>11500</v>
      </c>
      <c r="H10" s="9">
        <f>10568+5000+8000+5000+5000+4000</f>
        <v>37568</v>
      </c>
      <c r="I10" s="190">
        <v>3000</v>
      </c>
      <c r="J10" s="158" t="s">
        <v>1347</v>
      </c>
    </row>
    <row r="11" spans="1:11" x14ac:dyDescent="0.3">
      <c r="A11" s="4" t="s">
        <v>489</v>
      </c>
      <c r="B11" s="38">
        <v>7200</v>
      </c>
      <c r="C11" s="38">
        <v>6866</v>
      </c>
      <c r="D11" s="38">
        <v>2515</v>
      </c>
      <c r="E11" s="38">
        <v>6728</v>
      </c>
      <c r="F11" s="38">
        <v>0</v>
      </c>
      <c r="G11" s="38">
        <v>2978</v>
      </c>
      <c r="H11" s="9">
        <f>12300+3240+23000+1280-23000</f>
        <v>16820</v>
      </c>
      <c r="I11" s="190">
        <v>0</v>
      </c>
      <c r="J11" s="155"/>
    </row>
    <row r="12" spans="1:11" x14ac:dyDescent="0.3">
      <c r="A12" s="4" t="s">
        <v>26</v>
      </c>
      <c r="B12" s="38">
        <v>0</v>
      </c>
      <c r="C12" s="38">
        <v>0</v>
      </c>
      <c r="D12" s="38">
        <v>0</v>
      </c>
      <c r="E12" s="38">
        <v>5600</v>
      </c>
      <c r="F12" s="38">
        <v>4050</v>
      </c>
      <c r="G12" s="38">
        <v>0</v>
      </c>
      <c r="H12" s="9">
        <v>0</v>
      </c>
      <c r="I12" s="190">
        <v>0</v>
      </c>
      <c r="J12" s="155"/>
    </row>
    <row r="13" spans="1:1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9">
        <f>101</f>
        <v>101</v>
      </c>
      <c r="I13" s="190">
        <v>0</v>
      </c>
      <c r="J13" s="155"/>
    </row>
    <row r="14" spans="1:1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v>4135</v>
      </c>
      <c r="F14" s="38">
        <v>1987</v>
      </c>
      <c r="G14" s="38">
        <v>1630</v>
      </c>
      <c r="H14" s="9">
        <f>1728+305+9454+5067</f>
        <v>16554</v>
      </c>
      <c r="I14" s="190">
        <v>0</v>
      </c>
      <c r="J14" s="155"/>
    </row>
    <row r="15" spans="1:11" x14ac:dyDescent="0.3">
      <c r="A15" s="7" t="s">
        <v>29</v>
      </c>
      <c r="B15" s="39">
        <f t="shared" ref="B15:I15" si="0">SUM(B6:B14)</f>
        <v>191729</v>
      </c>
      <c r="C15" s="39">
        <f t="shared" si="0"/>
        <v>345486</v>
      </c>
      <c r="D15" s="39">
        <f t="shared" si="0"/>
        <v>220107</v>
      </c>
      <c r="E15" s="39">
        <f t="shared" si="0"/>
        <v>239608.28999999998</v>
      </c>
      <c r="F15" s="39">
        <f t="shared" si="0"/>
        <v>299613.28000000003</v>
      </c>
      <c r="G15" s="39">
        <f t="shared" si="0"/>
        <v>289920</v>
      </c>
      <c r="H15" s="11">
        <f t="shared" si="0"/>
        <v>480751</v>
      </c>
      <c r="I15" s="191">
        <f t="shared" si="0"/>
        <v>32500</v>
      </c>
      <c r="J15" s="155"/>
    </row>
    <row r="16" spans="1:11" ht="16.2" thickBot="1" x14ac:dyDescent="0.35">
      <c r="B16" s="38"/>
      <c r="C16" s="40"/>
      <c r="D16" s="40"/>
      <c r="E16" s="38"/>
      <c r="F16" s="40"/>
      <c r="G16" s="40"/>
      <c r="H16" s="111"/>
      <c r="I16" s="190"/>
      <c r="J16" s="155"/>
    </row>
    <row r="17" spans="1:13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112"/>
      <c r="I17" s="190"/>
      <c r="J17" s="159"/>
      <c r="K17" s="159"/>
    </row>
    <row r="18" spans="1:13" x14ac:dyDescent="0.3">
      <c r="A18" s="4" t="s">
        <v>56</v>
      </c>
      <c r="B18" s="38">
        <v>-4459</v>
      </c>
      <c r="C18" s="38">
        <v>-12173</v>
      </c>
      <c r="D18" s="38">
        <v>0</v>
      </c>
      <c r="E18" s="38">
        <v>-180</v>
      </c>
      <c r="F18" s="38">
        <v>-1887</v>
      </c>
      <c r="G18" s="38">
        <v>0</v>
      </c>
      <c r="H18" s="9">
        <v>0</v>
      </c>
      <c r="I18" s="190">
        <v>0</v>
      </c>
      <c r="J18" s="155"/>
    </row>
    <row r="19" spans="1:13" x14ac:dyDescent="0.3">
      <c r="A19" s="4" t="s">
        <v>32</v>
      </c>
      <c r="B19" s="38">
        <f>-2650-3100-1600</f>
        <v>-7350</v>
      </c>
      <c r="C19" s="38">
        <f>-250-2500-1842</f>
        <v>-4592</v>
      </c>
      <c r="D19" s="38">
        <f>-250-4500-1899</f>
        <v>-6649</v>
      </c>
      <c r="E19" s="38">
        <v>-6338</v>
      </c>
      <c r="F19" s="38">
        <v>-6643</v>
      </c>
      <c r="G19" s="38">
        <v>-3530</v>
      </c>
      <c r="H19" s="9">
        <f>-774-250</f>
        <v>-1024</v>
      </c>
      <c r="I19" s="190">
        <v>0</v>
      </c>
      <c r="J19" s="155"/>
    </row>
    <row r="20" spans="1:13" x14ac:dyDescent="0.3">
      <c r="A20" s="4" t="s">
        <v>33</v>
      </c>
      <c r="B20" s="38">
        <v>0</v>
      </c>
      <c r="C20" s="38">
        <v>0</v>
      </c>
      <c r="D20" s="38">
        <v>0</v>
      </c>
      <c r="E20" s="38">
        <v>-741</v>
      </c>
      <c r="F20" s="38">
        <v>-547</v>
      </c>
      <c r="G20" s="38">
        <v>-154</v>
      </c>
      <c r="H20" s="9">
        <f>-480-30</f>
        <v>-510</v>
      </c>
      <c r="I20" s="190">
        <v>0</v>
      </c>
      <c r="J20" s="155"/>
      <c r="K20" s="197"/>
    </row>
    <row r="21" spans="1:13" x14ac:dyDescent="0.3">
      <c r="A21" s="4" t="s">
        <v>493</v>
      </c>
      <c r="B21" s="38">
        <v>-635</v>
      </c>
      <c r="C21" s="38">
        <f>-1500-935-3800-2859-81</f>
        <v>-9175</v>
      </c>
      <c r="D21" s="38">
        <f>-755-1100</f>
        <v>-1855</v>
      </c>
      <c r="E21" s="38">
        <v>-2424</v>
      </c>
      <c r="F21" s="38">
        <v>-4637.7700000000004</v>
      </c>
      <c r="G21" s="38">
        <v>-2261</v>
      </c>
      <c r="H21" s="9">
        <f>1300-570-5471+280+1412+280-1560-3800</f>
        <v>-8129</v>
      </c>
      <c r="I21" s="190">
        <v>0</v>
      </c>
      <c r="J21" s="155"/>
      <c r="K21" s="197"/>
    </row>
    <row r="22" spans="1:13" x14ac:dyDescent="0.3">
      <c r="A22" s="4" t="s">
        <v>35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9">
        <f>-1531-562-4500-200-200-527</f>
        <v>-7520</v>
      </c>
      <c r="I22" s="190">
        <v>0</v>
      </c>
      <c r="J22" s="155"/>
      <c r="K22" s="197"/>
    </row>
    <row r="23" spans="1:13" x14ac:dyDescent="0.3">
      <c r="A23" s="4" t="s">
        <v>36</v>
      </c>
      <c r="B23" s="38">
        <v>-5000</v>
      </c>
      <c r="C23" s="38">
        <v>-350</v>
      </c>
      <c r="D23" s="38">
        <v>0</v>
      </c>
      <c r="E23" s="38">
        <v>-3550</v>
      </c>
      <c r="F23" s="38">
        <v>-10190</v>
      </c>
      <c r="G23" s="38">
        <v>-27295</v>
      </c>
      <c r="H23" s="9">
        <f>-1400-1300-1400-800-1000-500-2000-950-800-1400-2000</f>
        <v>-13550</v>
      </c>
      <c r="I23" s="190">
        <v>-2800</v>
      </c>
      <c r="J23" s="157"/>
      <c r="K23" s="197"/>
    </row>
    <row r="24" spans="1:13" x14ac:dyDescent="0.3">
      <c r="A24" s="4" t="s">
        <v>37</v>
      </c>
      <c r="B24" s="38">
        <v>-7900</v>
      </c>
      <c r="C24" s="38">
        <v>0</v>
      </c>
      <c r="D24" s="38">
        <v>0</v>
      </c>
      <c r="E24" s="38">
        <v>-5850</v>
      </c>
      <c r="F24" s="38">
        <v>0</v>
      </c>
      <c r="G24" s="38">
        <v>0</v>
      </c>
      <c r="H24" s="9">
        <v>0</v>
      </c>
      <c r="I24" s="190">
        <v>0</v>
      </c>
      <c r="J24" s="155"/>
      <c r="K24" s="197"/>
    </row>
    <row r="25" spans="1:13" x14ac:dyDescent="0.3">
      <c r="A25" s="4" t="s">
        <v>38</v>
      </c>
      <c r="B25" s="38">
        <v>-4800</v>
      </c>
      <c r="C25" s="38">
        <v>-3398</v>
      </c>
      <c r="D25" s="38">
        <v>0</v>
      </c>
      <c r="E25" s="38">
        <v>-7138</v>
      </c>
      <c r="F25" s="38">
        <v>-3450</v>
      </c>
      <c r="G25" s="38">
        <v>-8100</v>
      </c>
      <c r="H25" s="9">
        <f>-300-1050-1390-3000-1050</f>
        <v>-6790</v>
      </c>
      <c r="I25" s="190">
        <v>0</v>
      </c>
      <c r="J25" s="155"/>
      <c r="K25" s="197"/>
    </row>
    <row r="26" spans="1:13" ht="43.2" x14ac:dyDescent="0.3">
      <c r="A26" s="4" t="s">
        <v>39</v>
      </c>
      <c r="B26" s="38">
        <v>-18016</v>
      </c>
      <c r="C26" s="38">
        <v>-18105</v>
      </c>
      <c r="D26" s="38">
        <v>-14387</v>
      </c>
      <c r="E26" s="38">
        <v>-7915</v>
      </c>
      <c r="F26" s="38">
        <v>-13828</v>
      </c>
      <c r="G26" s="38">
        <v>-24118</v>
      </c>
      <c r="H26" s="9">
        <f>-305-260-545-550-165-870-410-290-580-280-380-790-380-658-380-380-380-790-665-290-250-380-580-380-730-230-380-230-380-380-230-530-760-380-380-515-278-230-230-380-380-635-380-500-865-165-530-1225-8909</f>
        <v>-30770</v>
      </c>
      <c r="I26" s="190">
        <v>-10154</v>
      </c>
      <c r="J26" s="158" t="s">
        <v>1343</v>
      </c>
      <c r="K26" s="197"/>
    </row>
    <row r="27" spans="1:13" x14ac:dyDescent="0.3">
      <c r="A27" s="4" t="s">
        <v>40</v>
      </c>
      <c r="B27" s="38">
        <v>0</v>
      </c>
      <c r="C27" s="38">
        <v>-850</v>
      </c>
      <c r="D27" s="38">
        <v>-625</v>
      </c>
      <c r="E27" s="38">
        <v>-8200</v>
      </c>
      <c r="F27" s="38">
        <v>0</v>
      </c>
      <c r="G27" s="38">
        <v>0</v>
      </c>
      <c r="H27" s="9">
        <f>-2100</f>
        <v>-2100</v>
      </c>
      <c r="I27" s="190">
        <v>0</v>
      </c>
      <c r="J27" s="155"/>
      <c r="K27" s="197"/>
    </row>
    <row r="28" spans="1:13" x14ac:dyDescent="0.3">
      <c r="A28" s="4" t="s">
        <v>508</v>
      </c>
      <c r="B28" s="38">
        <v>-11755</v>
      </c>
      <c r="C28" s="38">
        <v>-20024</v>
      </c>
      <c r="D28" s="38">
        <v>-13297</v>
      </c>
      <c r="E28" s="38">
        <v>-14853.42</v>
      </c>
      <c r="F28" s="38">
        <v>-18717</v>
      </c>
      <c r="G28" s="38">
        <v>-4027</v>
      </c>
      <c r="H28" s="9">
        <f>-1785-800-765-8342-2145-3793-315-2288-71-1020+700</f>
        <v>-20624</v>
      </c>
      <c r="I28" s="190">
        <v>0</v>
      </c>
      <c r="J28" s="155"/>
      <c r="K28" s="197"/>
    </row>
    <row r="29" spans="1:13" x14ac:dyDescent="0.3">
      <c r="A29" s="4" t="s">
        <v>154</v>
      </c>
      <c r="B29" s="38">
        <v>-19050</v>
      </c>
      <c r="C29" s="38">
        <f>-13250-1750</f>
        <v>-15000</v>
      </c>
      <c r="D29" s="38">
        <v>-19650</v>
      </c>
      <c r="E29" s="38">
        <v>-15750</v>
      </c>
      <c r="F29" s="38">
        <v>-21750</v>
      </c>
      <c r="G29" s="38">
        <v>-30300</v>
      </c>
      <c r="H29" s="9">
        <f>-4750-12750-1950+1550-3500-1900-220</f>
        <v>-23520</v>
      </c>
      <c r="I29" s="190">
        <v>-5500</v>
      </c>
      <c r="J29" s="157"/>
      <c r="K29" s="197"/>
    </row>
    <row r="30" spans="1:13" x14ac:dyDescent="0.3">
      <c r="A30" s="4" t="s">
        <v>43</v>
      </c>
      <c r="B30" s="38">
        <v>-14470</v>
      </c>
      <c r="C30" s="38">
        <v>-10300</v>
      </c>
      <c r="D30" s="38">
        <v>-4860</v>
      </c>
      <c r="E30" s="38">
        <v>0</v>
      </c>
      <c r="F30" s="38">
        <v>-18405</v>
      </c>
      <c r="G30" s="38">
        <v>-10950</v>
      </c>
      <c r="H30" s="9">
        <f>-6400-1875-1240</f>
        <v>-9515</v>
      </c>
      <c r="I30" s="190">
        <f>-6400-1875</f>
        <v>-8275</v>
      </c>
      <c r="J30" s="155"/>
      <c r="K30" s="197"/>
    </row>
    <row r="31" spans="1:13" x14ac:dyDescent="0.3">
      <c r="A31" s="4" t="s">
        <v>44</v>
      </c>
      <c r="B31" s="38">
        <v>-25000</v>
      </c>
      <c r="C31" s="38">
        <v>-15000</v>
      </c>
      <c r="D31" s="38">
        <v>-17500</v>
      </c>
      <c r="E31" s="38">
        <v>-30416</v>
      </c>
      <c r="F31" s="38">
        <v>-16000</v>
      </c>
      <c r="G31" s="38">
        <v>-34000</v>
      </c>
      <c r="H31" s="9">
        <f>-10000-2000-1000-5000-1000-5000-3000</f>
        <v>-27000</v>
      </c>
      <c r="I31" s="190">
        <v>-13500</v>
      </c>
      <c r="J31" s="158"/>
      <c r="K31" s="197"/>
    </row>
    <row r="32" spans="1:13" x14ac:dyDescent="0.3">
      <c r="A32" s="4" t="s">
        <v>45</v>
      </c>
      <c r="B32" s="38">
        <v>-32646</v>
      </c>
      <c r="C32" s="38">
        <v>-42437</v>
      </c>
      <c r="D32" s="38">
        <v>-26923</v>
      </c>
      <c r="E32" s="38">
        <v>-32572</v>
      </c>
      <c r="F32" s="38">
        <v>-50743</v>
      </c>
      <c r="G32" s="38">
        <v>-52811</v>
      </c>
      <c r="H32" s="9">
        <f>-48644-17258-12025-10021-38638-230</f>
        <v>-126816</v>
      </c>
      <c r="I32" s="190">
        <v>-41600</v>
      </c>
      <c r="J32" s="155"/>
      <c r="K32" s="197"/>
      <c r="L32" s="55"/>
      <c r="M32" s="55"/>
    </row>
    <row r="33" spans="1:11" ht="24.6" x14ac:dyDescent="0.3">
      <c r="A33" s="4" t="s">
        <v>46</v>
      </c>
      <c r="B33" s="38">
        <f>-60296-7500</f>
        <v>-67796</v>
      </c>
      <c r="C33" s="38">
        <f>-18276-5135</f>
        <v>-23411</v>
      </c>
      <c r="D33" s="38">
        <v>-39936</v>
      </c>
      <c r="E33" s="38">
        <v>-107761</v>
      </c>
      <c r="F33" s="38">
        <v>-154875</v>
      </c>
      <c r="G33" s="38">
        <v>-138715</v>
      </c>
      <c r="H33" s="9">
        <f>-200-666-47-321-535-268-1053-65-438-412-4725-149-976-1260-10825-3487-549-326-549-1236-549-1795-5436-549-3500-118-666-980-1098-104-1995-1521-874-10282-649-1098-838-293+12490-410+19690-392-134-151-13139-19587-348-4041-702-88-403-362+6800-530-6632-358-629-499-320-2990-450-540-484-52-320-195-494-51-3000-376-1000-329-13113-782-125-106-221</f>
        <v>-94805</v>
      </c>
      <c r="I33" s="190">
        <f>-18434-4000</f>
        <v>-22434</v>
      </c>
      <c r="J33" s="157" t="s">
        <v>1238</v>
      </c>
      <c r="K33" s="197"/>
    </row>
    <row r="34" spans="1:11" ht="16.2" thickBot="1" x14ac:dyDescent="0.35">
      <c r="A34" s="4" t="s">
        <v>491</v>
      </c>
      <c r="B34" s="38">
        <v>0</v>
      </c>
      <c r="C34" s="38">
        <f>-75994-6425</f>
        <v>-82419</v>
      </c>
      <c r="D34" s="38">
        <f>-29362-12800</f>
        <v>-42162</v>
      </c>
      <c r="E34" s="38">
        <v>0</v>
      </c>
      <c r="F34" s="38">
        <v>0</v>
      </c>
      <c r="G34" s="38">
        <v>-102305</v>
      </c>
      <c r="H34" s="9">
        <f>-800-668-800-800-800-800-800-800-800-800-800-800-800-800-800-800-800-800-800-400-800-800-1875-30600-44850</f>
        <v>-94393</v>
      </c>
      <c r="I34" s="190">
        <v>0</v>
      </c>
      <c r="J34" s="155"/>
      <c r="K34" s="197"/>
    </row>
    <row r="35" spans="1:11" x14ac:dyDescent="0.3">
      <c r="A35" s="4" t="s">
        <v>488</v>
      </c>
      <c r="G35" s="38">
        <v>-14329</v>
      </c>
      <c r="H35" s="9">
        <v>0</v>
      </c>
      <c r="I35" s="190">
        <v>0</v>
      </c>
      <c r="J35" s="198" t="s">
        <v>916</v>
      </c>
      <c r="K35" s="199"/>
    </row>
    <row r="36" spans="1:11" x14ac:dyDescent="0.3">
      <c r="A36" s="7" t="s">
        <v>47</v>
      </c>
      <c r="B36" s="39">
        <f>SUM(B18:B34)</f>
        <v>-218877</v>
      </c>
      <c r="C36" s="39">
        <f>SUM(C18:C34)</f>
        <v>-258934</v>
      </c>
      <c r="D36" s="39">
        <f>SUM(D18:D34)</f>
        <v>-187844</v>
      </c>
      <c r="E36" s="39">
        <f>SUM(E18:E34)</f>
        <v>-247088.41999999998</v>
      </c>
      <c r="F36" s="39">
        <f>SUM(F18:F34)</f>
        <v>-325572.77</v>
      </c>
      <c r="G36" s="39">
        <f>SUM(G18:G35)</f>
        <v>-457445</v>
      </c>
      <c r="H36" s="11">
        <f>SUM(H18:H35)</f>
        <v>-467066</v>
      </c>
      <c r="I36" s="191">
        <f>SUM(I18:I35)</f>
        <v>-104263</v>
      </c>
      <c r="J36" s="200" t="s">
        <v>917</v>
      </c>
      <c r="K36" s="201"/>
    </row>
    <row r="37" spans="1:11" x14ac:dyDescent="0.3">
      <c r="A37" s="7"/>
      <c r="B37" s="41"/>
      <c r="C37" s="41"/>
      <c r="D37" s="41"/>
      <c r="E37" s="39"/>
      <c r="F37" s="39"/>
      <c r="G37" s="39"/>
      <c r="H37" s="113"/>
      <c r="I37" s="191"/>
      <c r="J37" s="172"/>
      <c r="K37" s="169"/>
    </row>
    <row r="38" spans="1:11" s="13" customFormat="1" ht="38.25" customHeight="1" x14ac:dyDescent="0.3">
      <c r="A38" s="7" t="s">
        <v>48</v>
      </c>
      <c r="B38" s="39">
        <f t="shared" ref="B38:H38" si="1">+B36+B15</f>
        <v>-27148</v>
      </c>
      <c r="C38" s="39">
        <f t="shared" si="1"/>
        <v>86552</v>
      </c>
      <c r="D38" s="39">
        <f t="shared" si="1"/>
        <v>32263</v>
      </c>
      <c r="E38" s="39">
        <f t="shared" si="1"/>
        <v>-7480.1300000000047</v>
      </c>
      <c r="F38" s="39">
        <f t="shared" si="1"/>
        <v>-25959.489999999991</v>
      </c>
      <c r="G38" s="39">
        <f t="shared" si="1"/>
        <v>-167525</v>
      </c>
      <c r="H38" s="11">
        <f t="shared" si="1"/>
        <v>13685</v>
      </c>
      <c r="I38" s="191">
        <f>I15+I36</f>
        <v>-71763</v>
      </c>
      <c r="J38" s="172"/>
      <c r="K38" s="169"/>
    </row>
    <row r="39" spans="1:11" s="13" customFormat="1" x14ac:dyDescent="0.3">
      <c r="A39" s="7"/>
      <c r="B39" s="41"/>
      <c r="C39" s="41"/>
      <c r="D39" s="41"/>
      <c r="E39" s="39"/>
      <c r="F39" s="39"/>
      <c r="G39" s="39"/>
      <c r="H39" s="11"/>
      <c r="I39" s="191"/>
      <c r="J39" s="172"/>
      <c r="K39" s="169"/>
    </row>
    <row r="40" spans="1:11" s="13" customFormat="1" x14ac:dyDescent="0.3">
      <c r="A40" s="7" t="s">
        <v>49</v>
      </c>
      <c r="B40" s="39">
        <v>-10000</v>
      </c>
      <c r="C40" s="39">
        <v>-10000</v>
      </c>
      <c r="D40" s="39">
        <v>-10000</v>
      </c>
      <c r="E40" s="39">
        <v>-10000</v>
      </c>
      <c r="F40" s="39">
        <v>-10000</v>
      </c>
      <c r="G40" s="39">
        <v>-14449</v>
      </c>
      <c r="H40" s="11">
        <v>0</v>
      </c>
      <c r="I40" s="191">
        <v>0</v>
      </c>
      <c r="J40" s="202"/>
      <c r="K40" s="201"/>
    </row>
    <row r="41" spans="1:11" s="13" customFormat="1" ht="16.2" thickBot="1" x14ac:dyDescent="0.35">
      <c r="A41" s="7"/>
      <c r="B41" s="41"/>
      <c r="C41" s="41"/>
      <c r="D41" s="41"/>
      <c r="E41" s="39"/>
      <c r="F41" s="39"/>
      <c r="G41" s="39"/>
      <c r="H41" s="11"/>
      <c r="I41" s="191"/>
      <c r="J41" s="200" t="s">
        <v>918</v>
      </c>
      <c r="K41" s="201"/>
    </row>
    <row r="42" spans="1:11" s="13" customFormat="1" ht="16.2" thickBot="1" x14ac:dyDescent="0.35">
      <c r="A42" s="7" t="s">
        <v>88</v>
      </c>
      <c r="B42" s="39">
        <f t="shared" ref="B42:H42" si="2">+B40+B38</f>
        <v>-37148</v>
      </c>
      <c r="C42" s="39">
        <f t="shared" si="2"/>
        <v>76552</v>
      </c>
      <c r="D42" s="39">
        <f t="shared" si="2"/>
        <v>22263</v>
      </c>
      <c r="E42" s="39">
        <f t="shared" si="2"/>
        <v>-17480.130000000005</v>
      </c>
      <c r="F42" s="39">
        <f t="shared" si="2"/>
        <v>-35959.489999999991</v>
      </c>
      <c r="G42" s="39">
        <f t="shared" si="2"/>
        <v>-181974</v>
      </c>
      <c r="H42" s="154">
        <f t="shared" si="2"/>
        <v>13685</v>
      </c>
      <c r="I42" s="192">
        <f>+I40+I38</f>
        <v>-71763</v>
      </c>
      <c r="J42" s="203"/>
      <c r="K42" s="204">
        <f>SUM(K36:K41)</f>
        <v>0</v>
      </c>
    </row>
    <row r="43" spans="1:11" s="13" customFormat="1" x14ac:dyDescent="0.3">
      <c r="A43" s="4"/>
      <c r="B43" s="4"/>
      <c r="C43" s="4"/>
      <c r="D43" s="4"/>
      <c r="E43" s="4"/>
      <c r="F43" s="4"/>
      <c r="G43" s="4"/>
      <c r="I43" s="58"/>
      <c r="J43" s="196"/>
      <c r="K43" s="155"/>
    </row>
    <row r="49" spans="10:13" s="4" customFormat="1" x14ac:dyDescent="0.3">
      <c r="J49" s="196"/>
      <c r="K49" s="155"/>
      <c r="L49" s="1"/>
      <c r="M49" s="1"/>
    </row>
    <row r="50" spans="10:13" s="4" customFormat="1" x14ac:dyDescent="0.3">
      <c r="J50" s="196"/>
      <c r="K50" s="155"/>
      <c r="L50" s="1"/>
      <c r="M50" s="1"/>
    </row>
    <row r="51" spans="10:13" s="4" customFormat="1" x14ac:dyDescent="0.3">
      <c r="J51" s="196"/>
      <c r="K51" s="155"/>
      <c r="L51" s="1"/>
      <c r="M51" s="1"/>
    </row>
    <row r="52" spans="10:13" s="4" customFormat="1" x14ac:dyDescent="0.3">
      <c r="J52" s="196"/>
      <c r="K52" s="155"/>
      <c r="L52" s="1"/>
      <c r="M52" s="1"/>
    </row>
  </sheetData>
  <pageMargins left="0.25" right="0.25" top="0.75" bottom="0.75" header="0.3" footer="0.3"/>
  <pageSetup paperSize="9" scale="60" orientation="landscape"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I285"/>
  <sheetViews>
    <sheetView workbookViewId="0">
      <selection activeCell="E1" sqref="E1"/>
    </sheetView>
  </sheetViews>
  <sheetFormatPr defaultColWidth="9.109375" defaultRowHeight="13.2" x14ac:dyDescent="0.25"/>
  <cols>
    <col min="1" max="1" width="8.109375" style="148" bestFit="1" customWidth="1"/>
    <col min="2" max="2" width="10.44140625" style="148" bestFit="1" customWidth="1"/>
    <col min="3" max="3" width="21.109375" style="149" customWidth="1"/>
    <col min="4" max="4" width="22.6640625" style="148" customWidth="1"/>
    <col min="5" max="5" width="13" style="148" customWidth="1"/>
    <col min="6" max="6" width="19.109375" style="148" bestFit="1" customWidth="1"/>
    <col min="7" max="7" width="13.44140625" style="148" bestFit="1" customWidth="1"/>
    <col min="8" max="8" width="15" style="148" bestFit="1" customWidth="1"/>
    <col min="9" max="9" width="36.109375" style="150" customWidth="1"/>
    <col min="10" max="16384" width="9.109375" style="148"/>
  </cols>
  <sheetData>
    <row r="1" spans="1:9" x14ac:dyDescent="0.25">
      <c r="A1" s="148" t="s">
        <v>89</v>
      </c>
      <c r="B1" s="148" t="s">
        <v>90</v>
      </c>
      <c r="C1" s="149" t="s">
        <v>91</v>
      </c>
      <c r="D1" s="148" t="s">
        <v>92</v>
      </c>
      <c r="E1" s="148" t="s">
        <v>93</v>
      </c>
      <c r="F1" s="148" t="s">
        <v>94</v>
      </c>
      <c r="G1" s="148" t="s">
        <v>95</v>
      </c>
      <c r="H1" s="148" t="s">
        <v>96</v>
      </c>
      <c r="I1" s="150" t="s">
        <v>97</v>
      </c>
    </row>
    <row r="2" spans="1:9" customFormat="1" ht="14.4" x14ac:dyDescent="0.3">
      <c r="A2">
        <v>241</v>
      </c>
      <c r="B2" s="183">
        <v>42004</v>
      </c>
      <c r="C2" t="s">
        <v>33</v>
      </c>
      <c r="E2" s="45">
        <v>-30</v>
      </c>
      <c r="F2" t="s">
        <v>33</v>
      </c>
      <c r="G2" t="s">
        <v>33</v>
      </c>
      <c r="I2" s="152"/>
    </row>
    <row r="3" spans="1:9" customFormat="1" ht="14.4" x14ac:dyDescent="0.3">
      <c r="A3">
        <v>241</v>
      </c>
      <c r="B3" s="183">
        <v>42004</v>
      </c>
      <c r="C3" t="s">
        <v>1338</v>
      </c>
      <c r="E3" s="45">
        <v>-101.47</v>
      </c>
      <c r="F3" t="s">
        <v>27</v>
      </c>
      <c r="H3" t="s">
        <v>342</v>
      </c>
      <c r="I3" s="152"/>
    </row>
    <row r="4" spans="1:9" customFormat="1" ht="14.4" x14ac:dyDescent="0.3">
      <c r="A4">
        <v>240</v>
      </c>
      <c r="B4" t="s">
        <v>1214</v>
      </c>
      <c r="C4" t="s">
        <v>1341</v>
      </c>
      <c r="D4" t="s">
        <v>285</v>
      </c>
      <c r="E4" s="45">
        <v>-480</v>
      </c>
      <c r="F4" t="s">
        <v>33</v>
      </c>
      <c r="G4" t="s">
        <v>33</v>
      </c>
      <c r="I4" s="152"/>
    </row>
    <row r="5" spans="1:9" customFormat="1" ht="14.4" x14ac:dyDescent="0.3">
      <c r="A5">
        <v>239</v>
      </c>
      <c r="B5" t="s">
        <v>1215</v>
      </c>
      <c r="C5" t="s">
        <v>950</v>
      </c>
      <c r="D5" t="s">
        <v>101</v>
      </c>
      <c r="E5" s="45">
        <v>-1050</v>
      </c>
      <c r="F5" t="s">
        <v>38</v>
      </c>
      <c r="G5" t="s">
        <v>580</v>
      </c>
      <c r="H5" t="s">
        <v>342</v>
      </c>
      <c r="I5" s="152"/>
    </row>
    <row r="6" spans="1:9" customFormat="1" ht="14.4" x14ac:dyDescent="0.3">
      <c r="A6">
        <v>238</v>
      </c>
      <c r="B6" t="s">
        <v>1215</v>
      </c>
      <c r="C6" t="s">
        <v>35</v>
      </c>
      <c r="D6" t="s">
        <v>101</v>
      </c>
      <c r="E6" s="45">
        <v>-527</v>
      </c>
      <c r="F6" t="s">
        <v>35</v>
      </c>
      <c r="G6" t="s">
        <v>580</v>
      </c>
      <c r="I6" s="152"/>
    </row>
    <row r="7" spans="1:9" customFormat="1" ht="14.4" x14ac:dyDescent="0.3">
      <c r="A7">
        <v>237</v>
      </c>
      <c r="B7" t="s">
        <v>1215</v>
      </c>
      <c r="C7" t="s">
        <v>978</v>
      </c>
      <c r="D7" t="s">
        <v>101</v>
      </c>
      <c r="E7" s="45">
        <v>-1240</v>
      </c>
      <c r="F7" t="s">
        <v>43</v>
      </c>
      <c r="G7" t="s">
        <v>107</v>
      </c>
      <c r="H7" t="s">
        <v>586</v>
      </c>
      <c r="I7" s="152"/>
    </row>
    <row r="8" spans="1:9" customFormat="1" ht="14.4" x14ac:dyDescent="0.3">
      <c r="A8">
        <v>236</v>
      </c>
      <c r="B8" t="s">
        <v>1215</v>
      </c>
      <c r="C8" t="s">
        <v>838</v>
      </c>
      <c r="D8" t="s">
        <v>101</v>
      </c>
      <c r="E8" s="45">
        <v>-221</v>
      </c>
      <c r="F8" t="s">
        <v>46</v>
      </c>
      <c r="G8" t="s">
        <v>586</v>
      </c>
      <c r="H8" t="s">
        <v>586</v>
      </c>
      <c r="I8" s="152"/>
    </row>
    <row r="9" spans="1:9" customFormat="1" ht="14.4" x14ac:dyDescent="0.3">
      <c r="A9">
        <v>235</v>
      </c>
      <c r="B9" t="s">
        <v>1216</v>
      </c>
      <c r="C9" t="s">
        <v>838</v>
      </c>
      <c r="D9" t="s">
        <v>101</v>
      </c>
      <c r="E9" s="45">
        <v>-106</v>
      </c>
      <c r="F9" t="s">
        <v>46</v>
      </c>
      <c r="G9" t="s">
        <v>586</v>
      </c>
      <c r="H9" t="s">
        <v>586</v>
      </c>
      <c r="I9" s="152"/>
    </row>
    <row r="10" spans="1:9" customFormat="1" ht="14.4" x14ac:dyDescent="0.3">
      <c r="A10" s="166"/>
      <c r="B10" s="166" t="s">
        <v>1216</v>
      </c>
      <c r="C10" s="166" t="s">
        <v>1144</v>
      </c>
      <c r="D10" s="166" t="s">
        <v>126</v>
      </c>
      <c r="E10" s="167">
        <v>-800</v>
      </c>
      <c r="F10" s="166" t="s">
        <v>1205</v>
      </c>
      <c r="G10" s="166"/>
      <c r="H10" s="166"/>
      <c r="I10" s="152"/>
    </row>
    <row r="11" spans="1:9" customFormat="1" ht="14.4" x14ac:dyDescent="0.3">
      <c r="A11" s="166"/>
      <c r="B11" s="166" t="s">
        <v>1217</v>
      </c>
      <c r="C11" s="166" t="s">
        <v>144</v>
      </c>
      <c r="D11" s="166" t="s">
        <v>145</v>
      </c>
      <c r="E11" s="167">
        <v>800</v>
      </c>
      <c r="F11" s="166" t="s">
        <v>1205</v>
      </c>
      <c r="G11" s="166"/>
      <c r="H11" s="166"/>
      <c r="I11" s="152"/>
    </row>
    <row r="12" spans="1:9" customFormat="1" ht="14.4" x14ac:dyDescent="0.3">
      <c r="A12">
        <v>234</v>
      </c>
      <c r="B12" t="s">
        <v>1218</v>
      </c>
      <c r="C12" t="s">
        <v>1219</v>
      </c>
      <c r="D12" t="s">
        <v>101</v>
      </c>
      <c r="E12" s="45">
        <v>-220</v>
      </c>
      <c r="F12" t="s">
        <v>154</v>
      </c>
      <c r="G12" t="s">
        <v>580</v>
      </c>
      <c r="H12" t="s">
        <v>590</v>
      </c>
      <c r="I12" s="152"/>
    </row>
    <row r="13" spans="1:9" customFormat="1" ht="14.4" x14ac:dyDescent="0.3">
      <c r="A13">
        <v>233</v>
      </c>
      <c r="B13" t="s">
        <v>1218</v>
      </c>
      <c r="C13" t="s">
        <v>838</v>
      </c>
      <c r="D13" t="s">
        <v>101</v>
      </c>
      <c r="E13" s="45">
        <v>-125</v>
      </c>
      <c r="F13" t="s">
        <v>46</v>
      </c>
      <c r="G13" t="s">
        <v>586</v>
      </c>
      <c r="H13" t="s">
        <v>586</v>
      </c>
      <c r="I13" s="152"/>
    </row>
    <row r="14" spans="1:9" customFormat="1" ht="14.4" x14ac:dyDescent="0.3">
      <c r="A14">
        <v>232</v>
      </c>
      <c r="B14" t="s">
        <v>1218</v>
      </c>
      <c r="C14" t="s">
        <v>38</v>
      </c>
      <c r="D14" t="s">
        <v>101</v>
      </c>
      <c r="E14" s="45">
        <v>-3000</v>
      </c>
      <c r="F14" t="s">
        <v>38</v>
      </c>
      <c r="G14" t="s">
        <v>580</v>
      </c>
      <c r="H14" t="s">
        <v>1230</v>
      </c>
      <c r="I14" s="152"/>
    </row>
    <row r="15" spans="1:9" customFormat="1" ht="14.4" x14ac:dyDescent="0.3">
      <c r="A15">
        <v>231</v>
      </c>
      <c r="B15" t="s">
        <v>1220</v>
      </c>
      <c r="C15" t="s">
        <v>144</v>
      </c>
      <c r="D15" t="s">
        <v>145</v>
      </c>
      <c r="E15" s="45">
        <v>32314</v>
      </c>
      <c r="F15" t="s">
        <v>1157</v>
      </c>
      <c r="I15" s="171" t="s">
        <v>1231</v>
      </c>
    </row>
    <row r="16" spans="1:9" customFormat="1" ht="14.4" x14ac:dyDescent="0.3">
      <c r="A16" s="166"/>
      <c r="B16" s="166" t="s">
        <v>1220</v>
      </c>
      <c r="C16" s="166" t="s">
        <v>1144</v>
      </c>
      <c r="D16" s="166" t="s">
        <v>126</v>
      </c>
      <c r="E16" s="167">
        <v>-600</v>
      </c>
      <c r="F16" s="166" t="s">
        <v>1205</v>
      </c>
      <c r="G16" s="166"/>
      <c r="H16" s="166"/>
      <c r="I16" s="152"/>
    </row>
    <row r="17" spans="1:9" customFormat="1" ht="14.4" x14ac:dyDescent="0.3">
      <c r="A17" s="166"/>
      <c r="B17" s="166" t="s">
        <v>1221</v>
      </c>
      <c r="C17" s="166" t="s">
        <v>144</v>
      </c>
      <c r="D17" s="166" t="s">
        <v>145</v>
      </c>
      <c r="E17" s="167">
        <v>600</v>
      </c>
      <c r="F17" s="166" t="s">
        <v>1205</v>
      </c>
      <c r="G17" s="166"/>
      <c r="H17" s="166"/>
      <c r="I17" s="152"/>
    </row>
    <row r="18" spans="1:9" customFormat="1" ht="14.4" x14ac:dyDescent="0.3">
      <c r="A18">
        <v>230</v>
      </c>
      <c r="B18" t="s">
        <v>1222</v>
      </c>
      <c r="C18" t="s">
        <v>856</v>
      </c>
      <c r="D18" t="s">
        <v>101</v>
      </c>
      <c r="E18" s="45">
        <v>-1900</v>
      </c>
      <c r="F18" t="s">
        <v>154</v>
      </c>
      <c r="G18" t="s">
        <v>580</v>
      </c>
      <c r="H18" t="s">
        <v>251</v>
      </c>
      <c r="I18" s="152"/>
    </row>
    <row r="19" spans="1:9" customFormat="1" ht="14.4" x14ac:dyDescent="0.3">
      <c r="A19">
        <v>229</v>
      </c>
      <c r="B19" t="s">
        <v>1223</v>
      </c>
      <c r="C19" t="s">
        <v>154</v>
      </c>
      <c r="D19" t="s">
        <v>101</v>
      </c>
      <c r="E19" s="45">
        <v>-3500</v>
      </c>
      <c r="F19" t="s">
        <v>154</v>
      </c>
      <c r="H19" t="s">
        <v>1232</v>
      </c>
      <c r="I19" s="152"/>
    </row>
    <row r="20" spans="1:9" customFormat="1" ht="14.4" x14ac:dyDescent="0.3">
      <c r="A20" s="166"/>
      <c r="B20" s="166" t="s">
        <v>1223</v>
      </c>
      <c r="C20" s="166" t="s">
        <v>794</v>
      </c>
      <c r="D20" s="166" t="s">
        <v>126</v>
      </c>
      <c r="E20" s="167">
        <v>20000</v>
      </c>
      <c r="F20" s="166" t="s">
        <v>794</v>
      </c>
      <c r="G20" s="166"/>
      <c r="H20" s="166"/>
      <c r="I20" s="152"/>
    </row>
    <row r="21" spans="1:9" customFormat="1" ht="14.4" x14ac:dyDescent="0.3">
      <c r="A21">
        <v>228</v>
      </c>
      <c r="B21" t="s">
        <v>1223</v>
      </c>
      <c r="C21" t="s">
        <v>44</v>
      </c>
      <c r="D21" t="s">
        <v>126</v>
      </c>
      <c r="E21" s="45">
        <v>-3000</v>
      </c>
      <c r="F21" t="s">
        <v>44</v>
      </c>
      <c r="G21" t="s">
        <v>1002</v>
      </c>
      <c r="I21" s="152"/>
    </row>
    <row r="22" spans="1:9" customFormat="1" ht="14.4" x14ac:dyDescent="0.3">
      <c r="A22">
        <v>228</v>
      </c>
      <c r="B22" t="s">
        <v>1223</v>
      </c>
      <c r="C22" t="s">
        <v>44</v>
      </c>
      <c r="D22" t="s">
        <v>126</v>
      </c>
      <c r="E22" s="45">
        <v>-5000</v>
      </c>
      <c r="F22" t="s">
        <v>44</v>
      </c>
      <c r="G22" t="s">
        <v>586</v>
      </c>
      <c r="I22" s="152"/>
    </row>
    <row r="23" spans="1:9" customFormat="1" ht="14.4" x14ac:dyDescent="0.3">
      <c r="A23">
        <v>228</v>
      </c>
      <c r="B23" t="s">
        <v>1223</v>
      </c>
      <c r="C23" t="s">
        <v>44</v>
      </c>
      <c r="D23" t="s">
        <v>126</v>
      </c>
      <c r="E23" s="45">
        <v>-1000</v>
      </c>
      <c r="F23" t="s">
        <v>44</v>
      </c>
      <c r="G23" t="s">
        <v>1002</v>
      </c>
      <c r="I23" s="152"/>
    </row>
    <row r="24" spans="1:9" customFormat="1" ht="14.4" x14ac:dyDescent="0.3">
      <c r="A24">
        <v>228</v>
      </c>
      <c r="B24" t="s">
        <v>1223</v>
      </c>
      <c r="C24" t="s">
        <v>44</v>
      </c>
      <c r="D24" t="s">
        <v>126</v>
      </c>
      <c r="E24" s="45">
        <v>-5000</v>
      </c>
      <c r="F24" t="s">
        <v>44</v>
      </c>
      <c r="G24" t="s">
        <v>1002</v>
      </c>
      <c r="I24" s="152"/>
    </row>
    <row r="25" spans="1:9" customFormat="1" ht="14.4" x14ac:dyDescent="0.3">
      <c r="A25">
        <v>228</v>
      </c>
      <c r="B25" t="s">
        <v>1223</v>
      </c>
      <c r="C25" t="s">
        <v>44</v>
      </c>
      <c r="D25" t="s">
        <v>126</v>
      </c>
      <c r="E25" s="45">
        <v>-1000</v>
      </c>
      <c r="F25" t="s">
        <v>44</v>
      </c>
      <c r="G25" t="s">
        <v>1002</v>
      </c>
      <c r="I25" s="152"/>
    </row>
    <row r="26" spans="1:9" customFormat="1" ht="14.4" x14ac:dyDescent="0.3">
      <c r="A26">
        <v>228</v>
      </c>
      <c r="B26" t="s">
        <v>1223</v>
      </c>
      <c r="C26" t="s">
        <v>44</v>
      </c>
      <c r="D26" t="s">
        <v>126</v>
      </c>
      <c r="E26" s="45">
        <v>-2000</v>
      </c>
      <c r="F26" t="s">
        <v>44</v>
      </c>
      <c r="G26" t="s">
        <v>1002</v>
      </c>
      <c r="I26" s="152"/>
    </row>
    <row r="27" spans="1:9" customFormat="1" ht="43.2" x14ac:dyDescent="0.3">
      <c r="A27">
        <v>227</v>
      </c>
      <c r="B27" t="s">
        <v>1224</v>
      </c>
      <c r="C27" t="s">
        <v>1225</v>
      </c>
      <c r="D27" t="s">
        <v>126</v>
      </c>
      <c r="E27" s="45">
        <v>-8644</v>
      </c>
      <c r="F27" t="s">
        <v>1229</v>
      </c>
      <c r="G27" t="s">
        <v>586</v>
      </c>
      <c r="I27" s="171" t="s">
        <v>1237</v>
      </c>
    </row>
    <row r="28" spans="1:9" customFormat="1" ht="14.4" x14ac:dyDescent="0.3">
      <c r="A28">
        <v>226</v>
      </c>
      <c r="B28" t="s">
        <v>1226</v>
      </c>
      <c r="C28" t="s">
        <v>1227</v>
      </c>
      <c r="D28" t="s">
        <v>101</v>
      </c>
      <c r="E28" s="45">
        <v>-2000</v>
      </c>
      <c r="F28" t="s">
        <v>36</v>
      </c>
      <c r="G28" t="s">
        <v>1002</v>
      </c>
      <c r="I28" s="152"/>
    </row>
    <row r="29" spans="1:9" customFormat="1" ht="14.4" x14ac:dyDescent="0.3">
      <c r="A29">
        <v>225</v>
      </c>
      <c r="B29" t="s">
        <v>1228</v>
      </c>
      <c r="C29" t="s">
        <v>838</v>
      </c>
      <c r="D29" t="s">
        <v>101</v>
      </c>
      <c r="E29" s="45">
        <v>-782</v>
      </c>
      <c r="F29" t="s">
        <v>46</v>
      </c>
      <c r="G29" t="s">
        <v>586</v>
      </c>
      <c r="I29" s="152"/>
    </row>
    <row r="30" spans="1:9" customFormat="1" ht="15" thickBot="1" x14ac:dyDescent="0.35">
      <c r="A30" s="54">
        <v>224</v>
      </c>
      <c r="B30" s="54" t="s">
        <v>1228</v>
      </c>
      <c r="C30" s="54" t="s">
        <v>975</v>
      </c>
      <c r="D30" s="54" t="s">
        <v>101</v>
      </c>
      <c r="E30" s="153">
        <v>-13113</v>
      </c>
      <c r="F30" s="54" t="s">
        <v>46</v>
      </c>
      <c r="G30" s="54" t="s">
        <v>107</v>
      </c>
      <c r="H30" s="54" t="s">
        <v>1350</v>
      </c>
      <c r="I30" s="170"/>
    </row>
    <row r="31" spans="1:9" customFormat="1" ht="14.4" x14ac:dyDescent="0.3">
      <c r="A31">
        <v>223</v>
      </c>
      <c r="B31" t="s">
        <v>1173</v>
      </c>
      <c r="C31" t="s">
        <v>962</v>
      </c>
      <c r="D31" t="s">
        <v>101</v>
      </c>
      <c r="E31" s="45">
        <v>-1400</v>
      </c>
      <c r="F31" t="s">
        <v>36</v>
      </c>
      <c r="G31" t="s">
        <v>580</v>
      </c>
      <c r="H31" t="s">
        <v>342</v>
      </c>
      <c r="I31" s="152"/>
    </row>
    <row r="32" spans="1:9" customFormat="1" ht="14.4" x14ac:dyDescent="0.3">
      <c r="A32">
        <v>222</v>
      </c>
      <c r="B32" t="s">
        <v>1174</v>
      </c>
      <c r="C32" t="s">
        <v>144</v>
      </c>
      <c r="D32" t="s">
        <v>145</v>
      </c>
      <c r="E32" s="45">
        <v>700</v>
      </c>
      <c r="F32" t="s">
        <v>508</v>
      </c>
      <c r="I32" s="152" t="s">
        <v>1206</v>
      </c>
    </row>
    <row r="33" spans="1:9" customFormat="1" ht="14.4" x14ac:dyDescent="0.3">
      <c r="A33">
        <v>221</v>
      </c>
      <c r="B33" t="s">
        <v>1175</v>
      </c>
      <c r="C33" t="s">
        <v>1176</v>
      </c>
      <c r="D33" t="s">
        <v>101</v>
      </c>
      <c r="E33" s="45">
        <v>-329</v>
      </c>
      <c r="F33" t="s">
        <v>46</v>
      </c>
      <c r="G33" t="s">
        <v>1002</v>
      </c>
      <c r="H33" t="s">
        <v>1002</v>
      </c>
      <c r="I33" s="152"/>
    </row>
    <row r="34" spans="1:9" customFormat="1" ht="14.4" x14ac:dyDescent="0.3">
      <c r="A34">
        <v>220</v>
      </c>
      <c r="B34" t="s">
        <v>1177</v>
      </c>
      <c r="C34" t="s">
        <v>144</v>
      </c>
      <c r="D34" t="s">
        <v>145</v>
      </c>
      <c r="E34" s="45">
        <v>4280</v>
      </c>
      <c r="F34" t="s">
        <v>24</v>
      </c>
      <c r="I34" s="171" t="s">
        <v>1207</v>
      </c>
    </row>
    <row r="35" spans="1:9" customFormat="1" ht="14.4" x14ac:dyDescent="0.3">
      <c r="A35" s="166"/>
      <c r="B35" s="166" t="s">
        <v>1177</v>
      </c>
      <c r="C35" s="166" t="s">
        <v>794</v>
      </c>
      <c r="D35" s="166" t="s">
        <v>126</v>
      </c>
      <c r="E35" s="167">
        <v>-50000</v>
      </c>
      <c r="F35" s="166" t="s">
        <v>794</v>
      </c>
      <c r="G35" s="166"/>
      <c r="H35" s="166"/>
      <c r="I35" s="152"/>
    </row>
    <row r="36" spans="1:9" customFormat="1" ht="14.4" x14ac:dyDescent="0.3">
      <c r="A36">
        <v>219</v>
      </c>
      <c r="B36" t="s">
        <v>1178</v>
      </c>
      <c r="C36" t="s">
        <v>144</v>
      </c>
      <c r="D36" t="s">
        <v>145</v>
      </c>
      <c r="E36" s="45">
        <v>5000</v>
      </c>
      <c r="F36" t="s">
        <v>24</v>
      </c>
      <c r="G36" t="s">
        <v>107</v>
      </c>
      <c r="I36" s="171" t="s">
        <v>1340</v>
      </c>
    </row>
    <row r="37" spans="1:9" customFormat="1" ht="14.4" x14ac:dyDescent="0.3">
      <c r="A37">
        <v>218</v>
      </c>
      <c r="B37" t="s">
        <v>1179</v>
      </c>
      <c r="C37" t="s">
        <v>513</v>
      </c>
      <c r="D37" t="s">
        <v>101</v>
      </c>
      <c r="E37" s="45">
        <v>-1000</v>
      </c>
      <c r="F37" t="s">
        <v>46</v>
      </c>
      <c r="G37" t="s">
        <v>586</v>
      </c>
      <c r="H37" t="s">
        <v>586</v>
      </c>
      <c r="I37" s="152"/>
    </row>
    <row r="38" spans="1:9" customFormat="1" ht="14.4" x14ac:dyDescent="0.3">
      <c r="A38" s="166"/>
      <c r="B38" s="166" t="s">
        <v>1178</v>
      </c>
      <c r="C38" s="166" t="s">
        <v>1144</v>
      </c>
      <c r="D38" s="166" t="s">
        <v>126</v>
      </c>
      <c r="E38" s="167">
        <v>-2400</v>
      </c>
      <c r="F38" s="166" t="s">
        <v>1205</v>
      </c>
      <c r="G38" s="166"/>
      <c r="H38" s="166"/>
      <c r="I38" s="152"/>
    </row>
    <row r="39" spans="1:9" customFormat="1" ht="14.4" x14ac:dyDescent="0.3">
      <c r="A39" s="166"/>
      <c r="B39" s="166" t="s">
        <v>1180</v>
      </c>
      <c r="C39" s="166" t="s">
        <v>144</v>
      </c>
      <c r="D39" s="166" t="s">
        <v>145</v>
      </c>
      <c r="E39" s="167">
        <v>2400</v>
      </c>
      <c r="F39" s="166" t="s">
        <v>1205</v>
      </c>
      <c r="G39" s="166"/>
      <c r="H39" s="166"/>
      <c r="I39" s="152"/>
    </row>
    <row r="40" spans="1:9" customFormat="1" ht="14.4" x14ac:dyDescent="0.3">
      <c r="A40">
        <v>217</v>
      </c>
      <c r="B40" t="s">
        <v>1181</v>
      </c>
      <c r="C40" t="s">
        <v>508</v>
      </c>
      <c r="D40" t="s">
        <v>101</v>
      </c>
      <c r="E40" s="45">
        <v>-70.7</v>
      </c>
      <c r="F40" t="s">
        <v>508</v>
      </c>
      <c r="I40" s="152"/>
    </row>
    <row r="41" spans="1:9" customFormat="1" ht="14.4" x14ac:dyDescent="0.3">
      <c r="A41">
        <v>216</v>
      </c>
      <c r="B41" t="s">
        <v>1182</v>
      </c>
      <c r="C41" t="s">
        <v>38</v>
      </c>
      <c r="D41" t="s">
        <v>101</v>
      </c>
      <c r="E41" s="45">
        <v>-1390</v>
      </c>
      <c r="F41" t="s">
        <v>38</v>
      </c>
      <c r="I41" s="152"/>
    </row>
    <row r="42" spans="1:9" customFormat="1" ht="14.4" x14ac:dyDescent="0.3">
      <c r="A42">
        <v>215</v>
      </c>
      <c r="B42" t="s">
        <v>1183</v>
      </c>
      <c r="C42" t="s">
        <v>144</v>
      </c>
      <c r="D42" t="s">
        <v>145</v>
      </c>
      <c r="E42" s="45">
        <v>280</v>
      </c>
      <c r="F42" t="s">
        <v>493</v>
      </c>
      <c r="I42" s="152"/>
    </row>
    <row r="43" spans="1:9" customFormat="1" ht="14.4" x14ac:dyDescent="0.3">
      <c r="A43">
        <v>214</v>
      </c>
      <c r="B43" t="s">
        <v>1183</v>
      </c>
      <c r="C43" t="s">
        <v>1184</v>
      </c>
      <c r="D43" t="s">
        <v>1185</v>
      </c>
      <c r="E43" s="45">
        <v>8170</v>
      </c>
      <c r="F43" t="s">
        <v>804</v>
      </c>
      <c r="I43" s="152"/>
    </row>
    <row r="44" spans="1:9" customFormat="1" ht="14.4" x14ac:dyDescent="0.3">
      <c r="A44">
        <v>213</v>
      </c>
      <c r="B44" t="s">
        <v>1186</v>
      </c>
      <c r="C44" t="s">
        <v>838</v>
      </c>
      <c r="D44" t="s">
        <v>101</v>
      </c>
      <c r="E44" s="45">
        <v>-376</v>
      </c>
      <c r="F44" t="s">
        <v>46</v>
      </c>
      <c r="G44" t="s">
        <v>586</v>
      </c>
      <c r="H44" t="s">
        <v>586</v>
      </c>
      <c r="I44" s="152"/>
    </row>
    <row r="45" spans="1:9" customFormat="1" ht="14.4" x14ac:dyDescent="0.3">
      <c r="A45">
        <v>212</v>
      </c>
      <c r="B45" t="s">
        <v>1187</v>
      </c>
      <c r="C45" t="s">
        <v>1184</v>
      </c>
      <c r="D45" t="s">
        <v>1188</v>
      </c>
      <c r="E45" s="45">
        <v>54</v>
      </c>
      <c r="F45" t="s">
        <v>804</v>
      </c>
      <c r="I45" s="152"/>
    </row>
    <row r="46" spans="1:9" customFormat="1" ht="14.4" x14ac:dyDescent="0.3">
      <c r="A46">
        <v>211</v>
      </c>
      <c r="B46" t="s">
        <v>1187</v>
      </c>
      <c r="C46" t="s">
        <v>1184</v>
      </c>
      <c r="D46" t="s">
        <v>1185</v>
      </c>
      <c r="E46" s="45">
        <v>1700</v>
      </c>
      <c r="F46" t="s">
        <v>804</v>
      </c>
      <c r="I46" s="152"/>
    </row>
    <row r="47" spans="1:9" customFormat="1" ht="14.4" x14ac:dyDescent="0.3">
      <c r="A47">
        <v>210</v>
      </c>
      <c r="B47" t="s">
        <v>1189</v>
      </c>
      <c r="C47" t="s">
        <v>1190</v>
      </c>
      <c r="D47" t="s">
        <v>101</v>
      </c>
      <c r="E47" s="45">
        <v>-5471</v>
      </c>
      <c r="F47" t="s">
        <v>493</v>
      </c>
      <c r="I47" s="152"/>
    </row>
    <row r="48" spans="1:9" customFormat="1" ht="14.4" x14ac:dyDescent="0.3">
      <c r="A48">
        <v>209</v>
      </c>
      <c r="B48" t="s">
        <v>1191</v>
      </c>
      <c r="C48" t="s">
        <v>1141</v>
      </c>
      <c r="D48" t="s">
        <v>122</v>
      </c>
      <c r="E48" s="45">
        <v>-800</v>
      </c>
      <c r="F48" t="s">
        <v>36</v>
      </c>
      <c r="G48" t="s">
        <v>586</v>
      </c>
      <c r="H48" t="s">
        <v>586</v>
      </c>
      <c r="I48" s="152"/>
    </row>
    <row r="49" spans="1:9" customFormat="1" ht="14.4" x14ac:dyDescent="0.3">
      <c r="A49">
        <v>208</v>
      </c>
      <c r="B49" t="s">
        <v>1192</v>
      </c>
      <c r="C49" t="s">
        <v>144</v>
      </c>
      <c r="D49" t="s">
        <v>145</v>
      </c>
      <c r="E49" s="45">
        <v>1412</v>
      </c>
      <c r="F49" t="s">
        <v>493</v>
      </c>
      <c r="I49" s="152"/>
    </row>
    <row r="50" spans="1:9" customFormat="1" ht="14.4" x14ac:dyDescent="0.3">
      <c r="A50">
        <v>207</v>
      </c>
      <c r="B50" t="s">
        <v>1192</v>
      </c>
      <c r="C50" t="s">
        <v>1193</v>
      </c>
      <c r="D50" t="s">
        <v>1185</v>
      </c>
      <c r="E50" s="45">
        <v>2080</v>
      </c>
      <c r="F50" t="s">
        <v>804</v>
      </c>
      <c r="I50" s="152"/>
    </row>
    <row r="51" spans="1:9" customFormat="1" ht="14.4" x14ac:dyDescent="0.3">
      <c r="A51">
        <v>206</v>
      </c>
      <c r="B51" t="s">
        <v>1192</v>
      </c>
      <c r="C51" t="s">
        <v>1193</v>
      </c>
      <c r="D51" t="s">
        <v>1185</v>
      </c>
      <c r="E51" s="45">
        <v>6160</v>
      </c>
      <c r="F51" t="s">
        <v>804</v>
      </c>
      <c r="I51" s="152"/>
    </row>
    <row r="52" spans="1:9" customFormat="1" ht="14.4" x14ac:dyDescent="0.3">
      <c r="A52">
        <v>205</v>
      </c>
      <c r="B52" t="s">
        <v>1192</v>
      </c>
      <c r="C52" t="s">
        <v>1194</v>
      </c>
      <c r="D52" t="s">
        <v>284</v>
      </c>
      <c r="E52" s="45">
        <v>520</v>
      </c>
      <c r="F52" t="s">
        <v>804</v>
      </c>
      <c r="I52" s="152"/>
    </row>
    <row r="53" spans="1:9" customFormat="1" ht="14.4" x14ac:dyDescent="0.3">
      <c r="A53">
        <v>204</v>
      </c>
      <c r="B53" t="s">
        <v>1195</v>
      </c>
      <c r="C53" t="s">
        <v>1148</v>
      </c>
      <c r="D53" t="s">
        <v>284</v>
      </c>
      <c r="E53" s="45">
        <v>10000</v>
      </c>
      <c r="F53" t="s">
        <v>804</v>
      </c>
      <c r="I53" s="152"/>
    </row>
    <row r="54" spans="1:9" customFormat="1" ht="14.4" x14ac:dyDescent="0.3">
      <c r="A54">
        <v>203</v>
      </c>
      <c r="B54" t="s">
        <v>1195</v>
      </c>
      <c r="C54" t="s">
        <v>975</v>
      </c>
      <c r="D54" t="s">
        <v>101</v>
      </c>
      <c r="E54" s="45">
        <v>-3000</v>
      </c>
      <c r="F54" t="s">
        <v>46</v>
      </c>
      <c r="G54" t="s">
        <v>107</v>
      </c>
      <c r="H54" t="s">
        <v>1349</v>
      </c>
      <c r="I54" s="152"/>
    </row>
    <row r="55" spans="1:9" customFormat="1" ht="14.4" x14ac:dyDescent="0.3">
      <c r="A55">
        <v>202</v>
      </c>
      <c r="B55" t="s">
        <v>1196</v>
      </c>
      <c r="C55" t="s">
        <v>1197</v>
      </c>
      <c r="D55" t="s">
        <v>122</v>
      </c>
      <c r="E55" s="45">
        <v>-1225</v>
      </c>
      <c r="F55" t="s">
        <v>39</v>
      </c>
      <c r="G55" t="s">
        <v>107</v>
      </c>
      <c r="I55" s="152"/>
    </row>
    <row r="56" spans="1:9" customFormat="1" ht="14.4" x14ac:dyDescent="0.3">
      <c r="A56">
        <v>201</v>
      </c>
      <c r="B56" t="s">
        <v>1196</v>
      </c>
      <c r="C56" t="s">
        <v>927</v>
      </c>
      <c r="D56" t="s">
        <v>126</v>
      </c>
      <c r="E56" s="45">
        <v>-530</v>
      </c>
      <c r="F56" t="s">
        <v>39</v>
      </c>
      <c r="G56" t="s">
        <v>580</v>
      </c>
      <c r="I56" s="152"/>
    </row>
    <row r="57" spans="1:9" customFormat="1" ht="14.4" x14ac:dyDescent="0.3">
      <c r="A57">
        <v>200</v>
      </c>
      <c r="B57" t="s">
        <v>1196</v>
      </c>
      <c r="C57" t="s">
        <v>941</v>
      </c>
      <c r="D57" t="s">
        <v>126</v>
      </c>
      <c r="E57" s="45">
        <v>-165</v>
      </c>
      <c r="F57" t="s">
        <v>39</v>
      </c>
      <c r="G57" t="s">
        <v>580</v>
      </c>
      <c r="I57" s="152"/>
    </row>
    <row r="58" spans="1:9" customFormat="1" ht="14.4" x14ac:dyDescent="0.3">
      <c r="A58">
        <v>199</v>
      </c>
      <c r="B58" t="s">
        <v>1198</v>
      </c>
      <c r="C58" t="s">
        <v>1172</v>
      </c>
      <c r="D58" t="s">
        <v>101</v>
      </c>
      <c r="E58" s="45">
        <v>-51</v>
      </c>
      <c r="F58" t="s">
        <v>46</v>
      </c>
      <c r="G58" t="s">
        <v>580</v>
      </c>
      <c r="H58" t="s">
        <v>1005</v>
      </c>
      <c r="I58" s="152"/>
    </row>
    <row r="59" spans="1:9" customFormat="1" ht="14.4" x14ac:dyDescent="0.3">
      <c r="A59">
        <v>198</v>
      </c>
      <c r="B59" t="s">
        <v>1198</v>
      </c>
      <c r="C59" t="s">
        <v>513</v>
      </c>
      <c r="D59" t="s">
        <v>101</v>
      </c>
      <c r="E59" s="45">
        <v>-494</v>
      </c>
      <c r="F59" t="s">
        <v>46</v>
      </c>
      <c r="G59" t="s">
        <v>586</v>
      </c>
      <c r="H59" t="s">
        <v>586</v>
      </c>
      <c r="I59" s="152"/>
    </row>
    <row r="60" spans="1:9" customFormat="1" ht="14.4" x14ac:dyDescent="0.3">
      <c r="A60">
        <v>197</v>
      </c>
      <c r="B60" t="s">
        <v>1198</v>
      </c>
      <c r="C60" t="s">
        <v>496</v>
      </c>
      <c r="D60" t="s">
        <v>101</v>
      </c>
      <c r="E60" s="45">
        <v>-195</v>
      </c>
      <c r="F60" t="s">
        <v>46</v>
      </c>
      <c r="G60" t="s">
        <v>580</v>
      </c>
      <c r="H60" t="s">
        <v>107</v>
      </c>
      <c r="I60" s="152"/>
    </row>
    <row r="61" spans="1:9" customFormat="1" ht="14.4" x14ac:dyDescent="0.3">
      <c r="A61">
        <v>196</v>
      </c>
      <c r="B61" t="s">
        <v>1199</v>
      </c>
      <c r="C61" t="s">
        <v>1200</v>
      </c>
      <c r="D61" t="s">
        <v>1188</v>
      </c>
      <c r="E61" s="45">
        <v>1877</v>
      </c>
      <c r="F61" t="s">
        <v>804</v>
      </c>
      <c r="I61" s="152"/>
    </row>
    <row r="62" spans="1:9" customFormat="1" ht="14.4" x14ac:dyDescent="0.3">
      <c r="A62">
        <v>195</v>
      </c>
      <c r="B62" t="s">
        <v>1199</v>
      </c>
      <c r="C62" t="s">
        <v>1200</v>
      </c>
      <c r="D62" t="s">
        <v>1188</v>
      </c>
      <c r="E62" s="45">
        <v>2175</v>
      </c>
      <c r="F62" t="s">
        <v>804</v>
      </c>
      <c r="I62" s="152"/>
    </row>
    <row r="63" spans="1:9" customFormat="1" ht="14.4" x14ac:dyDescent="0.3">
      <c r="A63">
        <v>194</v>
      </c>
      <c r="B63" t="s">
        <v>1199</v>
      </c>
      <c r="C63" t="s">
        <v>1200</v>
      </c>
      <c r="D63" t="s">
        <v>1185</v>
      </c>
      <c r="E63" s="45">
        <v>5750</v>
      </c>
      <c r="F63" t="s">
        <v>804</v>
      </c>
      <c r="I63" s="152"/>
    </row>
    <row r="64" spans="1:9" customFormat="1" ht="14.4" x14ac:dyDescent="0.3">
      <c r="A64">
        <v>193</v>
      </c>
      <c r="B64" t="s">
        <v>1199</v>
      </c>
      <c r="C64" t="s">
        <v>1148</v>
      </c>
      <c r="D64" t="s">
        <v>284</v>
      </c>
      <c r="E64" s="45">
        <v>2500</v>
      </c>
      <c r="F64" t="s">
        <v>804</v>
      </c>
      <c r="I64" s="152"/>
    </row>
    <row r="65" spans="1:9" customFormat="1" ht="14.4" x14ac:dyDescent="0.3">
      <c r="A65">
        <v>192</v>
      </c>
      <c r="B65" t="s">
        <v>1201</v>
      </c>
      <c r="C65" t="s">
        <v>995</v>
      </c>
      <c r="D65" t="s">
        <v>126</v>
      </c>
      <c r="E65" s="45">
        <v>-865</v>
      </c>
      <c r="F65" t="s">
        <v>39</v>
      </c>
      <c r="G65" t="s">
        <v>586</v>
      </c>
      <c r="H65" t="s">
        <v>586</v>
      </c>
      <c r="I65" s="152"/>
    </row>
    <row r="66" spans="1:9" customFormat="1" ht="14.4" x14ac:dyDescent="0.3">
      <c r="A66">
        <v>191</v>
      </c>
      <c r="B66" t="s">
        <v>1201</v>
      </c>
      <c r="C66" t="s">
        <v>838</v>
      </c>
      <c r="D66" t="s">
        <v>101</v>
      </c>
      <c r="E66" s="45">
        <v>-320</v>
      </c>
      <c r="F66" t="s">
        <v>46</v>
      </c>
      <c r="G66" t="s">
        <v>586</v>
      </c>
      <c r="H66" t="s">
        <v>586</v>
      </c>
      <c r="I66" s="152"/>
    </row>
    <row r="67" spans="1:9" customFormat="1" ht="14.4" x14ac:dyDescent="0.3">
      <c r="A67">
        <v>190</v>
      </c>
      <c r="B67" t="s">
        <v>1201</v>
      </c>
      <c r="C67" t="s">
        <v>981</v>
      </c>
      <c r="D67" t="s">
        <v>101</v>
      </c>
      <c r="E67" s="45">
        <v>-52</v>
      </c>
      <c r="F67" t="s">
        <v>46</v>
      </c>
      <c r="G67" t="s">
        <v>580</v>
      </c>
      <c r="H67" t="s">
        <v>807</v>
      </c>
      <c r="I67" s="152"/>
    </row>
    <row r="68" spans="1:9" customFormat="1" ht="14.4" x14ac:dyDescent="0.3">
      <c r="A68">
        <v>189</v>
      </c>
      <c r="B68" t="s">
        <v>1202</v>
      </c>
      <c r="C68" t="s">
        <v>928</v>
      </c>
      <c r="D68" t="s">
        <v>126</v>
      </c>
      <c r="E68" s="45">
        <v>-500</v>
      </c>
      <c r="F68" t="s">
        <v>39</v>
      </c>
      <c r="G68" t="s">
        <v>580</v>
      </c>
      <c r="H68" t="s">
        <v>594</v>
      </c>
      <c r="I68" s="152"/>
    </row>
    <row r="69" spans="1:9" customFormat="1" ht="14.4" x14ac:dyDescent="0.3">
      <c r="A69">
        <v>188</v>
      </c>
      <c r="B69" t="s">
        <v>1202</v>
      </c>
      <c r="C69" t="s">
        <v>998</v>
      </c>
      <c r="D69" t="s">
        <v>126</v>
      </c>
      <c r="E69" s="45">
        <v>-380</v>
      </c>
      <c r="F69" t="s">
        <v>39</v>
      </c>
      <c r="G69" t="s">
        <v>580</v>
      </c>
      <c r="H69" t="s">
        <v>438</v>
      </c>
      <c r="I69" s="152"/>
    </row>
    <row r="70" spans="1:9" customFormat="1" ht="14.4" x14ac:dyDescent="0.3">
      <c r="A70">
        <v>187</v>
      </c>
      <c r="B70" t="s">
        <v>1202</v>
      </c>
      <c r="C70" t="s">
        <v>976</v>
      </c>
      <c r="D70" t="s">
        <v>101</v>
      </c>
      <c r="E70" s="45">
        <v>-484</v>
      </c>
      <c r="F70" t="s">
        <v>46</v>
      </c>
      <c r="G70" t="s">
        <v>580</v>
      </c>
      <c r="H70" t="s">
        <v>1003</v>
      </c>
      <c r="I70" s="152"/>
    </row>
    <row r="71" spans="1:9" customFormat="1" ht="14.4" x14ac:dyDescent="0.3">
      <c r="A71">
        <v>186</v>
      </c>
      <c r="B71" t="s">
        <v>1203</v>
      </c>
      <c r="C71" t="s">
        <v>45</v>
      </c>
      <c r="D71" t="s">
        <v>101</v>
      </c>
      <c r="E71" s="45">
        <v>-230</v>
      </c>
      <c r="F71" t="s">
        <v>45</v>
      </c>
      <c r="G71" t="s">
        <v>580</v>
      </c>
      <c r="I71" s="152"/>
    </row>
    <row r="72" spans="1:9" customFormat="1" ht="15" thickBot="1" x14ac:dyDescent="0.35">
      <c r="A72" s="54">
        <v>185</v>
      </c>
      <c r="B72" s="54" t="s">
        <v>1204</v>
      </c>
      <c r="C72" s="54" t="s">
        <v>1184</v>
      </c>
      <c r="D72" s="54" t="s">
        <v>1185</v>
      </c>
      <c r="E72" s="153">
        <v>10000</v>
      </c>
      <c r="F72" s="54" t="s">
        <v>804</v>
      </c>
      <c r="G72" s="54"/>
      <c r="H72" s="54"/>
      <c r="I72" s="152"/>
    </row>
    <row r="73" spans="1:9" customFormat="1" ht="14.4" x14ac:dyDescent="0.3">
      <c r="A73">
        <v>184</v>
      </c>
      <c r="B73" t="s">
        <v>1160</v>
      </c>
      <c r="C73" t="s">
        <v>940</v>
      </c>
      <c r="D73" t="s">
        <v>101</v>
      </c>
      <c r="E73" s="45">
        <v>-200</v>
      </c>
      <c r="F73" t="s">
        <v>35</v>
      </c>
      <c r="G73" t="s">
        <v>580</v>
      </c>
    </row>
    <row r="74" spans="1:9" customFormat="1" ht="15" thickBot="1" x14ac:dyDescent="0.35">
      <c r="A74" s="54">
        <v>183</v>
      </c>
      <c r="B74" s="54" t="s">
        <v>1160</v>
      </c>
      <c r="C74" s="54" t="s">
        <v>508</v>
      </c>
      <c r="D74" s="54" t="s">
        <v>101</v>
      </c>
      <c r="E74" s="153">
        <v>-1020</v>
      </c>
      <c r="F74" s="54" t="s">
        <v>508</v>
      </c>
      <c r="G74" s="54"/>
      <c r="H74" s="54"/>
    </row>
    <row r="75" spans="1:9" customFormat="1" ht="14.4" x14ac:dyDescent="0.3">
      <c r="A75">
        <v>182</v>
      </c>
      <c r="B75" t="s">
        <v>1160</v>
      </c>
      <c r="C75" t="s">
        <v>929</v>
      </c>
      <c r="D75" t="s">
        <v>126</v>
      </c>
      <c r="E75" s="45">
        <v>-635</v>
      </c>
      <c r="F75" t="s">
        <v>39</v>
      </c>
      <c r="G75" t="s">
        <v>580</v>
      </c>
      <c r="H75" t="s">
        <v>251</v>
      </c>
      <c r="I75" s="152"/>
    </row>
    <row r="76" spans="1:9" customFormat="1" ht="14.4" x14ac:dyDescent="0.3">
      <c r="A76">
        <v>181</v>
      </c>
      <c r="B76" t="s">
        <v>1161</v>
      </c>
      <c r="C76" t="s">
        <v>1162</v>
      </c>
      <c r="D76" t="s">
        <v>126</v>
      </c>
      <c r="E76" s="45">
        <v>-950</v>
      </c>
      <c r="F76" t="s">
        <v>36</v>
      </c>
      <c r="G76" t="s">
        <v>580</v>
      </c>
      <c r="H76" t="s">
        <v>438</v>
      </c>
      <c r="I76" s="152"/>
    </row>
    <row r="77" spans="1:9" customFormat="1" ht="14.4" x14ac:dyDescent="0.3">
      <c r="A77">
        <v>180</v>
      </c>
      <c r="B77" t="s">
        <v>1161</v>
      </c>
      <c r="C77" t="s">
        <v>1163</v>
      </c>
      <c r="D77" t="s">
        <v>101</v>
      </c>
      <c r="E77" s="45">
        <v>-38638</v>
      </c>
      <c r="F77" t="s">
        <v>45</v>
      </c>
      <c r="G77" t="s">
        <v>107</v>
      </c>
      <c r="I77" s="152"/>
    </row>
    <row r="78" spans="1:9" customFormat="1" ht="14.4" x14ac:dyDescent="0.3">
      <c r="A78">
        <v>179</v>
      </c>
      <c r="B78" t="s">
        <v>1161</v>
      </c>
      <c r="C78" t="s">
        <v>838</v>
      </c>
      <c r="D78" t="s">
        <v>101</v>
      </c>
      <c r="E78" s="45">
        <v>-540</v>
      </c>
      <c r="F78" t="s">
        <v>46</v>
      </c>
      <c r="G78" t="s">
        <v>586</v>
      </c>
      <c r="H78" t="s">
        <v>586</v>
      </c>
      <c r="I78" s="152"/>
    </row>
    <row r="79" spans="1:9" customFormat="1" ht="14.4" x14ac:dyDescent="0.3">
      <c r="A79">
        <v>178</v>
      </c>
      <c r="B79" t="s">
        <v>1161</v>
      </c>
      <c r="C79" t="s">
        <v>1128</v>
      </c>
      <c r="D79" t="s">
        <v>101</v>
      </c>
      <c r="E79" s="45">
        <v>-450</v>
      </c>
      <c r="F79" t="s">
        <v>46</v>
      </c>
      <c r="G79" t="s">
        <v>580</v>
      </c>
      <c r="H79" t="s">
        <v>438</v>
      </c>
      <c r="I79" s="152"/>
    </row>
    <row r="80" spans="1:9" customFormat="1" ht="14.4" x14ac:dyDescent="0.3">
      <c r="A80">
        <v>177</v>
      </c>
      <c r="B80" t="s">
        <v>1164</v>
      </c>
      <c r="C80" t="s">
        <v>998</v>
      </c>
      <c r="D80" t="s">
        <v>126</v>
      </c>
      <c r="E80" s="45">
        <v>-380</v>
      </c>
      <c r="F80" t="s">
        <v>39</v>
      </c>
      <c r="G80" t="s">
        <v>580</v>
      </c>
      <c r="H80" t="s">
        <v>438</v>
      </c>
      <c r="I80" s="152"/>
    </row>
    <row r="81" spans="1:9" customFormat="1" ht="14.4" x14ac:dyDescent="0.3">
      <c r="A81">
        <v>176</v>
      </c>
      <c r="B81" t="s">
        <v>1165</v>
      </c>
      <c r="C81" t="s">
        <v>929</v>
      </c>
      <c r="D81" t="s">
        <v>126</v>
      </c>
      <c r="E81" s="45">
        <v>-380</v>
      </c>
      <c r="F81" t="s">
        <v>39</v>
      </c>
      <c r="G81" t="s">
        <v>580</v>
      </c>
      <c r="H81" t="s">
        <v>251</v>
      </c>
      <c r="I81" s="152"/>
    </row>
    <row r="82" spans="1:9" customFormat="1" ht="14.4" x14ac:dyDescent="0.3">
      <c r="A82">
        <v>175</v>
      </c>
      <c r="B82" t="s">
        <v>1165</v>
      </c>
      <c r="C82" t="s">
        <v>997</v>
      </c>
      <c r="D82" t="s">
        <v>126</v>
      </c>
      <c r="E82" s="45">
        <v>-230</v>
      </c>
      <c r="F82" t="s">
        <v>39</v>
      </c>
      <c r="G82" t="s">
        <v>580</v>
      </c>
      <c r="H82" t="s">
        <v>1001</v>
      </c>
      <c r="I82" s="152"/>
    </row>
    <row r="83" spans="1:9" customFormat="1" ht="14.4" x14ac:dyDescent="0.3">
      <c r="A83">
        <v>174</v>
      </c>
      <c r="B83" t="s">
        <v>1165</v>
      </c>
      <c r="C83" t="s">
        <v>998</v>
      </c>
      <c r="D83" t="s">
        <v>126</v>
      </c>
      <c r="E83" s="45">
        <v>-230</v>
      </c>
      <c r="F83" t="s">
        <v>39</v>
      </c>
      <c r="G83" t="s">
        <v>580</v>
      </c>
      <c r="H83" t="s">
        <v>438</v>
      </c>
      <c r="I83" s="152"/>
    </row>
    <row r="84" spans="1:9" customFormat="1" ht="14.4" x14ac:dyDescent="0.3">
      <c r="A84">
        <v>173</v>
      </c>
      <c r="B84" t="s">
        <v>1166</v>
      </c>
      <c r="C84" t="s">
        <v>838</v>
      </c>
      <c r="D84" t="s">
        <v>101</v>
      </c>
      <c r="E84" s="45">
        <v>-2990</v>
      </c>
      <c r="F84" t="s">
        <v>46</v>
      </c>
      <c r="G84" t="s">
        <v>586</v>
      </c>
      <c r="H84" t="s">
        <v>586</v>
      </c>
      <c r="I84" s="152"/>
    </row>
    <row r="85" spans="1:9" customFormat="1" ht="14.4" x14ac:dyDescent="0.3">
      <c r="A85">
        <v>172</v>
      </c>
      <c r="B85" t="s">
        <v>1166</v>
      </c>
      <c r="C85" t="s">
        <v>838</v>
      </c>
      <c r="D85" t="s">
        <v>101</v>
      </c>
      <c r="E85" s="45">
        <v>-320</v>
      </c>
      <c r="F85" t="s">
        <v>46</v>
      </c>
      <c r="G85" t="s">
        <v>586</v>
      </c>
      <c r="H85" t="s">
        <v>586</v>
      </c>
      <c r="I85" s="152"/>
    </row>
    <row r="86" spans="1:9" customFormat="1" ht="14.4" x14ac:dyDescent="0.3">
      <c r="A86">
        <v>171</v>
      </c>
      <c r="B86" t="s">
        <v>1167</v>
      </c>
      <c r="C86" t="s">
        <v>838</v>
      </c>
      <c r="D86" t="s">
        <v>101</v>
      </c>
      <c r="E86" s="45">
        <v>-499</v>
      </c>
      <c r="F86" t="s">
        <v>46</v>
      </c>
      <c r="G86" t="s">
        <v>586</v>
      </c>
      <c r="H86" t="s">
        <v>586</v>
      </c>
      <c r="I86" s="152"/>
    </row>
    <row r="87" spans="1:9" customFormat="1" ht="14.4" x14ac:dyDescent="0.3">
      <c r="A87">
        <v>170</v>
      </c>
      <c r="B87" t="s">
        <v>1168</v>
      </c>
      <c r="C87" t="s">
        <v>992</v>
      </c>
      <c r="D87" t="s">
        <v>284</v>
      </c>
      <c r="E87" s="45">
        <v>750</v>
      </c>
      <c r="F87" t="s">
        <v>52</v>
      </c>
      <c r="G87" t="s">
        <v>580</v>
      </c>
      <c r="H87" t="s">
        <v>342</v>
      </c>
      <c r="I87" s="152"/>
    </row>
    <row r="88" spans="1:9" customFormat="1" ht="14.4" x14ac:dyDescent="0.3">
      <c r="A88">
        <v>169</v>
      </c>
      <c r="B88" t="s">
        <v>1169</v>
      </c>
      <c r="C88" t="s">
        <v>1170</v>
      </c>
      <c r="D88" t="s">
        <v>126</v>
      </c>
      <c r="E88" s="45">
        <v>-278</v>
      </c>
      <c r="F88" t="s">
        <v>39</v>
      </c>
      <c r="G88" t="s">
        <v>580</v>
      </c>
      <c r="H88" t="s">
        <v>438</v>
      </c>
      <c r="I88" s="152"/>
    </row>
    <row r="89" spans="1:9" customFormat="1" ht="14.4" x14ac:dyDescent="0.3">
      <c r="A89">
        <v>168</v>
      </c>
      <c r="B89" t="s">
        <v>1169</v>
      </c>
      <c r="C89" t="s">
        <v>1171</v>
      </c>
      <c r="D89" t="s">
        <v>126</v>
      </c>
      <c r="E89" s="45">
        <v>-515</v>
      </c>
      <c r="F89" t="s">
        <v>39</v>
      </c>
      <c r="G89" t="s">
        <v>580</v>
      </c>
      <c r="H89" t="s">
        <v>590</v>
      </c>
      <c r="I89" s="152"/>
    </row>
    <row r="90" spans="1:9" customFormat="1" ht="14.4" x14ac:dyDescent="0.3">
      <c r="A90">
        <v>167</v>
      </c>
      <c r="B90" t="s">
        <v>1169</v>
      </c>
      <c r="C90" t="s">
        <v>838</v>
      </c>
      <c r="D90" t="s">
        <v>101</v>
      </c>
      <c r="E90" s="45">
        <v>-629</v>
      </c>
      <c r="F90" t="s">
        <v>46</v>
      </c>
      <c r="G90" t="s">
        <v>586</v>
      </c>
      <c r="H90" t="s">
        <v>586</v>
      </c>
      <c r="I90" s="152"/>
    </row>
    <row r="91" spans="1:9" customFormat="1" ht="15" thickBot="1" x14ac:dyDescent="0.35">
      <c r="A91">
        <v>166</v>
      </c>
      <c r="B91" s="54" t="s">
        <v>1169</v>
      </c>
      <c r="C91" s="54" t="s">
        <v>1172</v>
      </c>
      <c r="D91" s="54" t="s">
        <v>101</v>
      </c>
      <c r="E91" s="153">
        <v>-358</v>
      </c>
      <c r="F91" s="54" t="s">
        <v>46</v>
      </c>
      <c r="G91" s="54" t="s">
        <v>580</v>
      </c>
      <c r="H91" s="54" t="s">
        <v>1005</v>
      </c>
      <c r="I91" s="152"/>
    </row>
    <row r="92" spans="1:9" customFormat="1" ht="14.4" x14ac:dyDescent="0.3">
      <c r="A92">
        <v>165</v>
      </c>
      <c r="B92" t="s">
        <v>1139</v>
      </c>
      <c r="C92" t="s">
        <v>144</v>
      </c>
      <c r="D92" t="s">
        <v>145</v>
      </c>
      <c r="E92" s="45">
        <v>71002</v>
      </c>
      <c r="F92" t="s">
        <v>1157</v>
      </c>
      <c r="G92" t="s">
        <v>107</v>
      </c>
      <c r="I92" s="152"/>
    </row>
    <row r="93" spans="1:9" customFormat="1" ht="14.4" x14ac:dyDescent="0.3">
      <c r="A93">
        <v>164</v>
      </c>
      <c r="B93" t="s">
        <v>1140</v>
      </c>
      <c r="C93" t="s">
        <v>1141</v>
      </c>
      <c r="D93" t="s">
        <v>122</v>
      </c>
      <c r="E93" s="45">
        <v>-2000</v>
      </c>
      <c r="F93" t="s">
        <v>36</v>
      </c>
      <c r="G93" t="s">
        <v>586</v>
      </c>
      <c r="I93" s="152"/>
    </row>
    <row r="94" spans="1:9" customFormat="1" ht="14.4" x14ac:dyDescent="0.3">
      <c r="A94">
        <v>163</v>
      </c>
      <c r="B94" t="s">
        <v>1142</v>
      </c>
      <c r="C94" t="s">
        <v>144</v>
      </c>
      <c r="D94" t="s">
        <v>145</v>
      </c>
      <c r="E94" s="45">
        <v>400</v>
      </c>
      <c r="F94" t="s">
        <v>52</v>
      </c>
      <c r="G94" t="s">
        <v>580</v>
      </c>
      <c r="H94" t="s">
        <v>590</v>
      </c>
      <c r="I94" s="152"/>
    </row>
    <row r="95" spans="1:9" customFormat="1" ht="14.4" x14ac:dyDescent="0.3">
      <c r="A95">
        <v>162</v>
      </c>
      <c r="B95" t="s">
        <v>1142</v>
      </c>
      <c r="C95" t="s">
        <v>997</v>
      </c>
      <c r="D95" t="s">
        <v>126</v>
      </c>
      <c r="E95" s="45">
        <v>-380</v>
      </c>
      <c r="F95" t="s">
        <v>39</v>
      </c>
      <c r="G95" t="s">
        <v>580</v>
      </c>
      <c r="H95" t="s">
        <v>1001</v>
      </c>
      <c r="I95" s="152"/>
    </row>
    <row r="96" spans="1:9" customFormat="1" ht="14.4" x14ac:dyDescent="0.3">
      <c r="A96">
        <v>161</v>
      </c>
      <c r="B96" t="s">
        <v>1142</v>
      </c>
      <c r="C96" t="s">
        <v>997</v>
      </c>
      <c r="D96" t="s">
        <v>126</v>
      </c>
      <c r="E96" s="45">
        <v>-380</v>
      </c>
      <c r="F96" t="s">
        <v>39</v>
      </c>
      <c r="G96" t="s">
        <v>580</v>
      </c>
      <c r="H96" t="s">
        <v>1001</v>
      </c>
      <c r="I96" s="152"/>
    </row>
    <row r="97" spans="1:9" customFormat="1" ht="14.4" x14ac:dyDescent="0.3">
      <c r="A97">
        <v>160</v>
      </c>
      <c r="B97" t="s">
        <v>1142</v>
      </c>
      <c r="C97" t="s">
        <v>994</v>
      </c>
      <c r="D97" t="s">
        <v>101</v>
      </c>
      <c r="E97" s="45">
        <v>-6632</v>
      </c>
      <c r="F97" t="s">
        <v>46</v>
      </c>
      <c r="G97" t="s">
        <v>1002</v>
      </c>
      <c r="H97" t="s">
        <v>1002</v>
      </c>
      <c r="I97" s="152"/>
    </row>
    <row r="98" spans="1:9" customFormat="1" ht="14.4" x14ac:dyDescent="0.3">
      <c r="A98">
        <v>159</v>
      </c>
      <c r="B98" t="s">
        <v>1142</v>
      </c>
      <c r="C98" t="s">
        <v>513</v>
      </c>
      <c r="D98" t="s">
        <v>101</v>
      </c>
      <c r="E98" s="45">
        <v>-530</v>
      </c>
      <c r="F98" t="s">
        <v>46</v>
      </c>
      <c r="G98" t="s">
        <v>586</v>
      </c>
      <c r="H98" t="s">
        <v>586</v>
      </c>
      <c r="I98" s="152"/>
    </row>
    <row r="99" spans="1:9" customFormat="1" ht="14.4" x14ac:dyDescent="0.3">
      <c r="A99">
        <v>158</v>
      </c>
      <c r="B99" t="s">
        <v>1142</v>
      </c>
      <c r="C99" t="s">
        <v>984</v>
      </c>
      <c r="D99" t="s">
        <v>126</v>
      </c>
      <c r="E99" s="45">
        <v>-760</v>
      </c>
      <c r="F99" t="s">
        <v>39</v>
      </c>
      <c r="G99" t="s">
        <v>1002</v>
      </c>
      <c r="I99" s="152"/>
    </row>
    <row r="100" spans="1:9" customFormat="1" ht="14.4" x14ac:dyDescent="0.3">
      <c r="A100">
        <v>157</v>
      </c>
      <c r="B100" t="s">
        <v>1143</v>
      </c>
      <c r="C100" t="s">
        <v>144</v>
      </c>
      <c r="D100" t="s">
        <v>145</v>
      </c>
      <c r="E100" s="45">
        <v>6800</v>
      </c>
      <c r="F100" t="s">
        <v>46</v>
      </c>
      <c r="G100" t="s">
        <v>1002</v>
      </c>
      <c r="H100" t="s">
        <v>1002</v>
      </c>
      <c r="I100" s="152"/>
    </row>
    <row r="101" spans="1:9" customFormat="1" ht="14.4" x14ac:dyDescent="0.3">
      <c r="A101" s="166"/>
      <c r="B101" s="166" t="s">
        <v>1143</v>
      </c>
      <c r="C101" s="166" t="s">
        <v>1144</v>
      </c>
      <c r="D101" s="166" t="s">
        <v>126</v>
      </c>
      <c r="E101" s="167">
        <v>-1400</v>
      </c>
      <c r="F101" s="187" t="s">
        <v>1132</v>
      </c>
      <c r="G101" s="166"/>
      <c r="H101" s="166"/>
      <c r="I101" s="152"/>
    </row>
    <row r="102" spans="1:9" customFormat="1" ht="14.4" x14ac:dyDescent="0.3">
      <c r="A102" s="166"/>
      <c r="B102" s="166" t="s">
        <v>1145</v>
      </c>
      <c r="C102" s="166" t="s">
        <v>144</v>
      </c>
      <c r="D102" s="166" t="s">
        <v>145</v>
      </c>
      <c r="E102" s="167">
        <v>1400</v>
      </c>
      <c r="F102" s="187" t="s">
        <v>1132</v>
      </c>
      <c r="G102" s="166"/>
      <c r="H102" s="166"/>
      <c r="I102" s="152"/>
    </row>
    <row r="103" spans="1:9" customFormat="1" ht="14.4" x14ac:dyDescent="0.3">
      <c r="A103">
        <v>156</v>
      </c>
      <c r="B103" t="s">
        <v>1146</v>
      </c>
      <c r="C103" t="s">
        <v>35</v>
      </c>
      <c r="D103" t="s">
        <v>101</v>
      </c>
      <c r="E103" s="45">
        <v>-200</v>
      </c>
      <c r="F103" t="s">
        <v>35</v>
      </c>
      <c r="G103" t="s">
        <v>580</v>
      </c>
      <c r="I103" s="152"/>
    </row>
    <row r="104" spans="1:9" customFormat="1" ht="14.4" x14ac:dyDescent="0.3">
      <c r="A104">
        <v>155</v>
      </c>
      <c r="B104" t="s">
        <v>1147</v>
      </c>
      <c r="C104" t="s">
        <v>144</v>
      </c>
      <c r="D104" t="s">
        <v>145</v>
      </c>
      <c r="E104" s="45">
        <v>300</v>
      </c>
      <c r="F104" t="s">
        <v>52</v>
      </c>
      <c r="G104" t="s">
        <v>580</v>
      </c>
      <c r="H104" t="s">
        <v>1158</v>
      </c>
      <c r="I104" s="152"/>
    </row>
    <row r="105" spans="1:9" customFormat="1" ht="14.4" x14ac:dyDescent="0.3">
      <c r="A105">
        <v>154</v>
      </c>
      <c r="B105" t="s">
        <v>1147</v>
      </c>
      <c r="C105" t="s">
        <v>927</v>
      </c>
      <c r="D105" t="s">
        <v>126</v>
      </c>
      <c r="E105" s="45">
        <v>-530</v>
      </c>
      <c r="F105" t="s">
        <v>39</v>
      </c>
      <c r="G105" t="s">
        <v>580</v>
      </c>
      <c r="H105" t="s">
        <v>590</v>
      </c>
      <c r="I105" s="152"/>
    </row>
    <row r="106" spans="1:9" customFormat="1" ht="14.4" x14ac:dyDescent="0.3">
      <c r="A106">
        <v>153</v>
      </c>
      <c r="B106" t="s">
        <v>1147</v>
      </c>
      <c r="C106" t="s">
        <v>1148</v>
      </c>
      <c r="D106" t="s">
        <v>284</v>
      </c>
      <c r="E106" s="45">
        <v>10000</v>
      </c>
      <c r="F106" t="s">
        <v>804</v>
      </c>
      <c r="I106" s="152"/>
    </row>
    <row r="107" spans="1:9" customFormat="1" ht="14.4" x14ac:dyDescent="0.3">
      <c r="A107">
        <v>152</v>
      </c>
      <c r="B107" t="s">
        <v>1147</v>
      </c>
      <c r="C107" t="s">
        <v>838</v>
      </c>
      <c r="D107" t="s">
        <v>101</v>
      </c>
      <c r="E107" s="45">
        <v>-362</v>
      </c>
      <c r="F107" t="s">
        <v>46</v>
      </c>
      <c r="G107" t="s">
        <v>586</v>
      </c>
      <c r="H107" t="s">
        <v>586</v>
      </c>
      <c r="I107" s="152"/>
    </row>
    <row r="108" spans="1:9" customFormat="1" ht="14.4" x14ac:dyDescent="0.3">
      <c r="A108">
        <v>151</v>
      </c>
      <c r="B108" t="s">
        <v>1147</v>
      </c>
      <c r="C108" t="s">
        <v>975</v>
      </c>
      <c r="D108" t="s">
        <v>101</v>
      </c>
      <c r="E108" s="45">
        <v>-403</v>
      </c>
      <c r="F108" t="s">
        <v>46</v>
      </c>
      <c r="G108" t="s">
        <v>107</v>
      </c>
      <c r="H108" t="s">
        <v>107</v>
      </c>
      <c r="I108" s="152"/>
    </row>
    <row r="109" spans="1:9" customFormat="1" ht="14.4" x14ac:dyDescent="0.3">
      <c r="A109">
        <v>150</v>
      </c>
      <c r="B109" t="s">
        <v>1147</v>
      </c>
      <c r="C109" t="s">
        <v>988</v>
      </c>
      <c r="D109" t="s">
        <v>126</v>
      </c>
      <c r="E109" s="45">
        <v>-230</v>
      </c>
      <c r="F109" t="s">
        <v>39</v>
      </c>
      <c r="G109" t="s">
        <v>580</v>
      </c>
      <c r="H109" t="s">
        <v>118</v>
      </c>
      <c r="I109" s="152"/>
    </row>
    <row r="110" spans="1:9" customFormat="1" ht="14.4" x14ac:dyDescent="0.3">
      <c r="A110">
        <v>149</v>
      </c>
      <c r="B110" t="s">
        <v>1147</v>
      </c>
      <c r="C110" t="s">
        <v>997</v>
      </c>
      <c r="D110" t="s">
        <v>126</v>
      </c>
      <c r="E110" s="45">
        <v>-380</v>
      </c>
      <c r="F110" t="s">
        <v>39</v>
      </c>
      <c r="G110" t="s">
        <v>580</v>
      </c>
      <c r="H110" t="s">
        <v>1001</v>
      </c>
      <c r="I110" s="152"/>
    </row>
    <row r="111" spans="1:9" customFormat="1" ht="14.4" x14ac:dyDescent="0.3">
      <c r="A111">
        <v>148</v>
      </c>
      <c r="B111" t="s">
        <v>1149</v>
      </c>
      <c r="C111" t="s">
        <v>759</v>
      </c>
      <c r="D111" t="s">
        <v>101</v>
      </c>
      <c r="E111" s="45">
        <v>-44850</v>
      </c>
      <c r="F111" t="s">
        <v>759</v>
      </c>
      <c r="G111" t="s">
        <v>580</v>
      </c>
      <c r="I111" s="152"/>
    </row>
    <row r="112" spans="1:9" customFormat="1" ht="14.4" x14ac:dyDescent="0.3">
      <c r="A112">
        <v>147</v>
      </c>
      <c r="B112" t="s">
        <v>1150</v>
      </c>
      <c r="C112" t="s">
        <v>504</v>
      </c>
      <c r="D112" t="s">
        <v>101</v>
      </c>
      <c r="E112" s="45">
        <v>-88</v>
      </c>
      <c r="F112" t="s">
        <v>46</v>
      </c>
      <c r="G112" t="s">
        <v>580</v>
      </c>
      <c r="H112" t="s">
        <v>342</v>
      </c>
      <c r="I112" s="152"/>
    </row>
    <row r="113" spans="1:9" customFormat="1" ht="14.4" x14ac:dyDescent="0.3">
      <c r="A113">
        <v>146</v>
      </c>
      <c r="B113" t="s">
        <v>1150</v>
      </c>
      <c r="C113" t="s">
        <v>976</v>
      </c>
      <c r="D113" t="s">
        <v>101</v>
      </c>
      <c r="E113" s="45">
        <v>-702</v>
      </c>
      <c r="F113" t="s">
        <v>46</v>
      </c>
      <c r="G113" t="s">
        <v>580</v>
      </c>
      <c r="H113" t="s">
        <v>1003</v>
      </c>
      <c r="I113" s="152"/>
    </row>
    <row r="114" spans="1:9" customFormat="1" ht="14.4" x14ac:dyDescent="0.3">
      <c r="A114" s="166"/>
      <c r="B114" s="166" t="s">
        <v>1150</v>
      </c>
      <c r="C114" s="166" t="s">
        <v>794</v>
      </c>
      <c r="D114" s="166" t="s">
        <v>126</v>
      </c>
      <c r="E114" s="167">
        <v>20000</v>
      </c>
      <c r="F114" s="187" t="s">
        <v>285</v>
      </c>
      <c r="G114" s="166"/>
      <c r="H114" s="166"/>
      <c r="I114" s="152"/>
    </row>
    <row r="115" spans="1:9" customFormat="1" ht="14.4" x14ac:dyDescent="0.3">
      <c r="A115" s="166"/>
      <c r="B115" s="166" t="s">
        <v>1151</v>
      </c>
      <c r="C115" s="166" t="s">
        <v>1144</v>
      </c>
      <c r="D115" s="166" t="s">
        <v>126</v>
      </c>
      <c r="E115" s="167">
        <v>-1200</v>
      </c>
      <c r="F115" s="187" t="s">
        <v>1132</v>
      </c>
      <c r="G115" s="166"/>
      <c r="H115" s="166"/>
      <c r="I115" s="152"/>
    </row>
    <row r="116" spans="1:9" customFormat="1" ht="14.4" x14ac:dyDescent="0.3">
      <c r="A116" s="166"/>
      <c r="B116" s="166" t="s">
        <v>1152</v>
      </c>
      <c r="C116" s="166" t="s">
        <v>144</v>
      </c>
      <c r="D116" s="166" t="s">
        <v>145</v>
      </c>
      <c r="E116" s="167">
        <v>1200</v>
      </c>
      <c r="F116" s="187" t="s">
        <v>1132</v>
      </c>
      <c r="G116" s="166"/>
      <c r="H116" s="166"/>
      <c r="I116" s="152"/>
    </row>
    <row r="117" spans="1:9" customFormat="1" ht="14.4" x14ac:dyDescent="0.3">
      <c r="A117">
        <v>145</v>
      </c>
      <c r="B117" t="s">
        <v>1153</v>
      </c>
      <c r="C117" t="s">
        <v>144</v>
      </c>
      <c r="D117" t="s">
        <v>145</v>
      </c>
      <c r="E117" s="45">
        <v>150</v>
      </c>
      <c r="F117" s="65" t="s">
        <v>52</v>
      </c>
      <c r="G117" t="s">
        <v>580</v>
      </c>
      <c r="H117" t="s">
        <v>1158</v>
      </c>
      <c r="I117" s="152"/>
    </row>
    <row r="118" spans="1:9" customFormat="1" ht="14.4" x14ac:dyDescent="0.3">
      <c r="A118">
        <v>144</v>
      </c>
      <c r="B118" t="s">
        <v>1154</v>
      </c>
      <c r="C118" t="s">
        <v>998</v>
      </c>
      <c r="D118" t="s">
        <v>126</v>
      </c>
      <c r="E118" s="45">
        <v>-380</v>
      </c>
      <c r="F118" t="s">
        <v>39</v>
      </c>
      <c r="G118" t="s">
        <v>580</v>
      </c>
      <c r="H118" t="s">
        <v>438</v>
      </c>
      <c r="I118" s="152"/>
    </row>
    <row r="119" spans="1:9" customFormat="1" ht="14.4" x14ac:dyDescent="0.3">
      <c r="A119">
        <v>143</v>
      </c>
      <c r="B119" t="s">
        <v>1154</v>
      </c>
      <c r="C119" t="s">
        <v>998</v>
      </c>
      <c r="D119" t="s">
        <v>126</v>
      </c>
      <c r="E119" s="45">
        <v>-230</v>
      </c>
      <c r="F119" t="s">
        <v>39</v>
      </c>
      <c r="G119" t="s">
        <v>580</v>
      </c>
      <c r="H119" t="s">
        <v>438</v>
      </c>
      <c r="I119" s="152"/>
    </row>
    <row r="120" spans="1:9" customFormat="1" ht="14.4" x14ac:dyDescent="0.3">
      <c r="A120">
        <v>142</v>
      </c>
      <c r="B120" t="s">
        <v>1154</v>
      </c>
      <c r="C120" t="s">
        <v>997</v>
      </c>
      <c r="D120" t="s">
        <v>126</v>
      </c>
      <c r="E120" s="45">
        <v>-380</v>
      </c>
      <c r="F120" t="s">
        <v>39</v>
      </c>
      <c r="G120" t="s">
        <v>580</v>
      </c>
      <c r="H120" t="s">
        <v>1001</v>
      </c>
      <c r="I120" s="152"/>
    </row>
    <row r="121" spans="1:9" customFormat="1" ht="14.4" x14ac:dyDescent="0.3">
      <c r="A121">
        <v>141</v>
      </c>
      <c r="B121" t="s">
        <v>1154</v>
      </c>
      <c r="C121" t="s">
        <v>997</v>
      </c>
      <c r="D121" t="s">
        <v>126</v>
      </c>
      <c r="E121" s="45">
        <v>-230</v>
      </c>
      <c r="F121" t="s">
        <v>39</v>
      </c>
      <c r="G121" t="s">
        <v>580</v>
      </c>
      <c r="H121" t="s">
        <v>1001</v>
      </c>
      <c r="I121" s="152"/>
    </row>
    <row r="122" spans="1:9" customFormat="1" ht="14.4" x14ac:dyDescent="0.3">
      <c r="A122">
        <v>140</v>
      </c>
      <c r="B122" t="s">
        <v>1155</v>
      </c>
      <c r="C122" t="s">
        <v>144</v>
      </c>
      <c r="D122" t="s">
        <v>145</v>
      </c>
      <c r="E122" s="45">
        <v>1200</v>
      </c>
      <c r="F122" t="s">
        <v>52</v>
      </c>
      <c r="G122" t="s">
        <v>580</v>
      </c>
      <c r="H122" t="s">
        <v>858</v>
      </c>
      <c r="I122" s="152"/>
    </row>
    <row r="123" spans="1:9" customFormat="1" ht="14.4" x14ac:dyDescent="0.3">
      <c r="A123" s="166"/>
      <c r="B123" s="166" t="s">
        <v>1155</v>
      </c>
      <c r="C123" s="166" t="s">
        <v>1144</v>
      </c>
      <c r="D123" s="166" t="s">
        <v>126</v>
      </c>
      <c r="E123" s="167">
        <v>-2600</v>
      </c>
      <c r="F123" s="187" t="s">
        <v>1132</v>
      </c>
      <c r="G123" s="166"/>
      <c r="H123" s="166"/>
      <c r="I123" s="152"/>
    </row>
    <row r="124" spans="1:9" customFormat="1" ht="15" thickBot="1" x14ac:dyDescent="0.35">
      <c r="A124" s="185"/>
      <c r="B124" s="185" t="s">
        <v>1156</v>
      </c>
      <c r="C124" s="185" t="s">
        <v>144</v>
      </c>
      <c r="D124" s="185" t="s">
        <v>145</v>
      </c>
      <c r="E124" s="186">
        <v>2600</v>
      </c>
      <c r="F124" s="188" t="s">
        <v>1132</v>
      </c>
      <c r="G124" s="185"/>
      <c r="H124" s="185"/>
      <c r="I124" s="152"/>
    </row>
    <row r="125" spans="1:9" customFormat="1" ht="14.4" x14ac:dyDescent="0.3">
      <c r="A125">
        <v>139</v>
      </c>
      <c r="B125" t="s">
        <v>1099</v>
      </c>
      <c r="C125" t="s">
        <v>975</v>
      </c>
      <c r="D125" t="s">
        <v>101</v>
      </c>
      <c r="E125" s="45">
        <v>-4041</v>
      </c>
      <c r="F125" t="s">
        <v>46</v>
      </c>
      <c r="G125" t="s">
        <v>107</v>
      </c>
      <c r="H125" t="s">
        <v>1348</v>
      </c>
      <c r="I125" s="152"/>
    </row>
    <row r="126" spans="1:9" customFormat="1" ht="14.4" x14ac:dyDescent="0.3">
      <c r="A126">
        <v>138</v>
      </c>
      <c r="B126" t="s">
        <v>1100</v>
      </c>
      <c r="C126" t="s">
        <v>508</v>
      </c>
      <c r="D126" t="s">
        <v>101</v>
      </c>
      <c r="E126" s="45">
        <v>-2288</v>
      </c>
      <c r="F126" t="s">
        <v>508</v>
      </c>
      <c r="G126" t="s">
        <v>107</v>
      </c>
      <c r="I126" s="152"/>
    </row>
    <row r="127" spans="1:9" customFormat="1" ht="14.4" x14ac:dyDescent="0.3">
      <c r="A127">
        <v>137</v>
      </c>
      <c r="B127" t="s">
        <v>1101</v>
      </c>
      <c r="C127" t="s">
        <v>504</v>
      </c>
      <c r="D127" t="s">
        <v>101</v>
      </c>
      <c r="E127" s="45">
        <v>-348</v>
      </c>
      <c r="F127" t="s">
        <v>46</v>
      </c>
      <c r="G127" t="s">
        <v>580</v>
      </c>
      <c r="H127" t="s">
        <v>342</v>
      </c>
      <c r="I127" s="152"/>
    </row>
    <row r="128" spans="1:9" customFormat="1" ht="14.4" x14ac:dyDescent="0.3">
      <c r="A128">
        <v>136</v>
      </c>
      <c r="B128" t="s">
        <v>1102</v>
      </c>
      <c r="C128" t="s">
        <v>508</v>
      </c>
      <c r="D128" t="s">
        <v>122</v>
      </c>
      <c r="E128" s="45">
        <v>-314.75</v>
      </c>
      <c r="F128" t="s">
        <v>508</v>
      </c>
      <c r="G128" t="s">
        <v>107</v>
      </c>
      <c r="I128" s="152"/>
    </row>
    <row r="129" spans="1:9" customFormat="1" ht="14.4" x14ac:dyDescent="0.3">
      <c r="A129">
        <v>135</v>
      </c>
      <c r="B129" t="s">
        <v>1103</v>
      </c>
      <c r="C129" t="s">
        <v>513</v>
      </c>
      <c r="D129" t="s">
        <v>101</v>
      </c>
      <c r="E129" s="45">
        <v>-19587</v>
      </c>
      <c r="F129" t="s">
        <v>46</v>
      </c>
      <c r="G129" t="s">
        <v>586</v>
      </c>
      <c r="H129" t="s">
        <v>586</v>
      </c>
      <c r="I129" s="152"/>
    </row>
    <row r="130" spans="1:9" customFormat="1" ht="14.4" x14ac:dyDescent="0.3">
      <c r="A130">
        <v>134</v>
      </c>
      <c r="B130" t="s">
        <v>1103</v>
      </c>
      <c r="C130" t="s">
        <v>1104</v>
      </c>
      <c r="D130" t="s">
        <v>101</v>
      </c>
      <c r="E130" s="45">
        <v>-13139</v>
      </c>
      <c r="F130" t="s">
        <v>46</v>
      </c>
      <c r="G130" t="s">
        <v>580</v>
      </c>
      <c r="H130" t="s">
        <v>858</v>
      </c>
      <c r="I130" s="152"/>
    </row>
    <row r="131" spans="1:9" customFormat="1" ht="14.4" x14ac:dyDescent="0.3">
      <c r="A131">
        <v>133</v>
      </c>
      <c r="B131" t="s">
        <v>1105</v>
      </c>
      <c r="C131" t="s">
        <v>508</v>
      </c>
      <c r="D131" t="s">
        <v>101</v>
      </c>
      <c r="E131" s="45">
        <v>-3793.03</v>
      </c>
      <c r="F131" t="s">
        <v>508</v>
      </c>
      <c r="G131" t="s">
        <v>107</v>
      </c>
      <c r="I131" s="152"/>
    </row>
    <row r="132" spans="1:9" customFormat="1" ht="14.4" x14ac:dyDescent="0.3">
      <c r="A132">
        <v>132</v>
      </c>
      <c r="B132" t="s">
        <v>1106</v>
      </c>
      <c r="C132" t="s">
        <v>982</v>
      </c>
      <c r="D132" t="s">
        <v>101</v>
      </c>
      <c r="E132" s="45">
        <v>-151</v>
      </c>
      <c r="F132" t="s">
        <v>46</v>
      </c>
      <c r="G132" t="s">
        <v>580</v>
      </c>
      <c r="H132" t="s">
        <v>594</v>
      </c>
      <c r="I132" s="152"/>
    </row>
    <row r="133" spans="1:9" customFormat="1" ht="14.4" x14ac:dyDescent="0.3">
      <c r="A133">
        <v>131</v>
      </c>
      <c r="B133" t="s">
        <v>1106</v>
      </c>
      <c r="C133" t="s">
        <v>759</v>
      </c>
      <c r="D133" t="s">
        <v>101</v>
      </c>
      <c r="E133" s="45">
        <v>-30600</v>
      </c>
      <c r="F133" t="s">
        <v>759</v>
      </c>
      <c r="G133" t="s">
        <v>580</v>
      </c>
      <c r="I133" s="152"/>
    </row>
    <row r="134" spans="1:9" customFormat="1" ht="14.4" x14ac:dyDescent="0.3">
      <c r="A134">
        <v>130</v>
      </c>
      <c r="B134" t="s">
        <v>1106</v>
      </c>
      <c r="C134" t="s">
        <v>513</v>
      </c>
      <c r="D134" t="s">
        <v>101</v>
      </c>
      <c r="E134" s="45">
        <v>-134</v>
      </c>
      <c r="F134" t="s">
        <v>46</v>
      </c>
      <c r="G134" t="s">
        <v>586</v>
      </c>
      <c r="H134" t="s">
        <v>586</v>
      </c>
      <c r="I134" s="152"/>
    </row>
    <row r="135" spans="1:9" customFormat="1" ht="14.4" x14ac:dyDescent="0.3">
      <c r="A135">
        <v>129</v>
      </c>
      <c r="B135" t="s">
        <v>1107</v>
      </c>
      <c r="C135" t="s">
        <v>838</v>
      </c>
      <c r="D135" t="s">
        <v>101</v>
      </c>
      <c r="E135" s="45">
        <v>-392</v>
      </c>
      <c r="F135" t="s">
        <v>46</v>
      </c>
      <c r="G135" t="s">
        <v>586</v>
      </c>
      <c r="H135" t="s">
        <v>586</v>
      </c>
      <c r="I135" s="152"/>
    </row>
    <row r="136" spans="1:9" customFormat="1" ht="14.4" x14ac:dyDescent="0.3">
      <c r="A136">
        <v>128</v>
      </c>
      <c r="B136" t="s">
        <v>1108</v>
      </c>
      <c r="C136" t="s">
        <v>759</v>
      </c>
      <c r="D136" t="s">
        <v>101</v>
      </c>
      <c r="E136" s="45">
        <v>-1875</v>
      </c>
      <c r="F136" t="s">
        <v>759</v>
      </c>
      <c r="G136" t="s">
        <v>580</v>
      </c>
      <c r="I136" s="152"/>
    </row>
    <row r="137" spans="1:9" customFormat="1" ht="14.4" x14ac:dyDescent="0.3">
      <c r="A137">
        <v>127</v>
      </c>
      <c r="B137" t="s">
        <v>1109</v>
      </c>
      <c r="C137" t="s">
        <v>759</v>
      </c>
      <c r="D137" t="s">
        <v>126</v>
      </c>
      <c r="E137" s="45">
        <v>-800</v>
      </c>
      <c r="F137" t="s">
        <v>759</v>
      </c>
      <c r="G137" t="s">
        <v>580</v>
      </c>
      <c r="I137" s="152"/>
    </row>
    <row r="138" spans="1:9" customFormat="1" ht="14.4" x14ac:dyDescent="0.3">
      <c r="A138">
        <v>126</v>
      </c>
      <c r="B138" t="s">
        <v>1110</v>
      </c>
      <c r="C138" t="s">
        <v>144</v>
      </c>
      <c r="D138" t="s">
        <v>145</v>
      </c>
      <c r="E138" s="45">
        <v>19990</v>
      </c>
      <c r="F138" t="s">
        <v>46</v>
      </c>
      <c r="G138" t="s">
        <v>586</v>
      </c>
      <c r="H138" t="s">
        <v>586</v>
      </c>
      <c r="I138" s="171" t="s">
        <v>1236</v>
      </c>
    </row>
    <row r="139" spans="1:9" customFormat="1" ht="14.4" x14ac:dyDescent="0.3">
      <c r="A139">
        <v>125</v>
      </c>
      <c r="B139" t="s">
        <v>1111</v>
      </c>
      <c r="C139" t="s">
        <v>144</v>
      </c>
      <c r="D139" t="s">
        <v>145</v>
      </c>
      <c r="E139" s="45">
        <v>1550</v>
      </c>
      <c r="F139" s="151" t="s">
        <v>154</v>
      </c>
      <c r="G139" s="151" t="s">
        <v>580</v>
      </c>
      <c r="I139" s="152" t="s">
        <v>1136</v>
      </c>
    </row>
    <row r="140" spans="1:9" customFormat="1" ht="14.4" x14ac:dyDescent="0.3">
      <c r="A140">
        <v>124</v>
      </c>
      <c r="B140" t="s">
        <v>1111</v>
      </c>
      <c r="C140" t="s">
        <v>508</v>
      </c>
      <c r="D140" t="s">
        <v>101</v>
      </c>
      <c r="E140" s="45">
        <v>-2145</v>
      </c>
      <c r="F140" t="s">
        <v>508</v>
      </c>
      <c r="G140" t="s">
        <v>107</v>
      </c>
      <c r="I140" s="152"/>
    </row>
    <row r="141" spans="1:9" customFormat="1" ht="14.4" x14ac:dyDescent="0.3">
      <c r="A141">
        <v>123</v>
      </c>
      <c r="B141" t="s">
        <v>1111</v>
      </c>
      <c r="C141" t="s">
        <v>975</v>
      </c>
      <c r="D141" t="s">
        <v>101</v>
      </c>
      <c r="E141" s="45">
        <v>-410</v>
      </c>
      <c r="F141" t="s">
        <v>46</v>
      </c>
      <c r="G141" t="s">
        <v>107</v>
      </c>
      <c r="I141" s="152"/>
    </row>
    <row r="142" spans="1:9" customFormat="1" ht="14.4" x14ac:dyDescent="0.3">
      <c r="A142">
        <v>122</v>
      </c>
      <c r="B142" t="s">
        <v>1112</v>
      </c>
      <c r="C142" t="s">
        <v>144</v>
      </c>
      <c r="D142" t="s">
        <v>145</v>
      </c>
      <c r="E142" s="45">
        <v>12490</v>
      </c>
      <c r="F142" t="s">
        <v>46</v>
      </c>
      <c r="G142" t="s">
        <v>580</v>
      </c>
      <c r="H142" t="s">
        <v>858</v>
      </c>
      <c r="I142" s="152"/>
    </row>
    <row r="143" spans="1:9" customFormat="1" ht="14.4" x14ac:dyDescent="0.3">
      <c r="A143">
        <v>121</v>
      </c>
      <c r="B143" t="s">
        <v>1112</v>
      </c>
      <c r="C143" t="s">
        <v>986</v>
      </c>
      <c r="D143" t="s">
        <v>101</v>
      </c>
      <c r="E143" s="45">
        <v>-293</v>
      </c>
      <c r="F143" t="s">
        <v>46</v>
      </c>
      <c r="G143" t="s">
        <v>580</v>
      </c>
      <c r="H143" t="s">
        <v>590</v>
      </c>
      <c r="I143" s="152"/>
    </row>
    <row r="144" spans="1:9" customFormat="1" ht="28.8" x14ac:dyDescent="0.3">
      <c r="A144">
        <v>120</v>
      </c>
      <c r="B144" t="s">
        <v>1113</v>
      </c>
      <c r="C144" t="s">
        <v>144</v>
      </c>
      <c r="D144" t="s">
        <v>145</v>
      </c>
      <c r="E144" s="45">
        <v>1800</v>
      </c>
      <c r="F144" s="151" t="s">
        <v>955</v>
      </c>
      <c r="I144" s="152" t="s">
        <v>1135</v>
      </c>
    </row>
    <row r="145" spans="1:9" customFormat="1" ht="14.4" x14ac:dyDescent="0.3">
      <c r="A145">
        <v>119</v>
      </c>
      <c r="B145" t="s">
        <v>1114</v>
      </c>
      <c r="C145" t="s">
        <v>759</v>
      </c>
      <c r="D145" t="s">
        <v>126</v>
      </c>
      <c r="E145" s="45">
        <v>-800</v>
      </c>
      <c r="F145" t="s">
        <v>759</v>
      </c>
      <c r="G145" s="148" t="s">
        <v>580</v>
      </c>
      <c r="I145" s="152"/>
    </row>
    <row r="146" spans="1:9" customFormat="1" ht="14.4" x14ac:dyDescent="0.3">
      <c r="A146">
        <v>119</v>
      </c>
      <c r="B146" t="s">
        <v>1114</v>
      </c>
      <c r="C146" t="s">
        <v>759</v>
      </c>
      <c r="D146" t="s">
        <v>126</v>
      </c>
      <c r="E146" s="45">
        <v>-400</v>
      </c>
      <c r="F146" t="s">
        <v>759</v>
      </c>
      <c r="G146" t="s">
        <v>580</v>
      </c>
      <c r="I146" s="152"/>
    </row>
    <row r="147" spans="1:9" customFormat="1" ht="14.4" x14ac:dyDescent="0.3">
      <c r="A147">
        <v>119</v>
      </c>
      <c r="B147" t="s">
        <v>1114</v>
      </c>
      <c r="C147" t="s">
        <v>759</v>
      </c>
      <c r="D147" t="s">
        <v>126</v>
      </c>
      <c r="E147" s="45">
        <v>-800</v>
      </c>
      <c r="F147" t="s">
        <v>759</v>
      </c>
      <c r="G147" t="s">
        <v>580</v>
      </c>
      <c r="I147" s="152"/>
    </row>
    <row r="148" spans="1:9" customFormat="1" ht="14.4" x14ac:dyDescent="0.3">
      <c r="A148">
        <v>119</v>
      </c>
      <c r="B148" t="s">
        <v>1114</v>
      </c>
      <c r="C148" t="s">
        <v>759</v>
      </c>
      <c r="D148" t="s">
        <v>126</v>
      </c>
      <c r="E148" s="45">
        <v>-800</v>
      </c>
      <c r="F148" t="s">
        <v>759</v>
      </c>
      <c r="G148" t="s">
        <v>580</v>
      </c>
      <c r="I148" s="152"/>
    </row>
    <row r="149" spans="1:9" customFormat="1" ht="14.4" x14ac:dyDescent="0.3">
      <c r="A149">
        <v>119</v>
      </c>
      <c r="B149" t="s">
        <v>1114</v>
      </c>
      <c r="C149" t="s">
        <v>759</v>
      </c>
      <c r="D149" t="s">
        <v>126</v>
      </c>
      <c r="E149" s="45">
        <v>-800</v>
      </c>
      <c r="F149" t="s">
        <v>759</v>
      </c>
      <c r="G149" t="s">
        <v>580</v>
      </c>
      <c r="I149" s="152"/>
    </row>
    <row r="150" spans="1:9" customFormat="1" ht="14.4" x14ac:dyDescent="0.3">
      <c r="A150">
        <v>119</v>
      </c>
      <c r="B150" t="s">
        <v>1114</v>
      </c>
      <c r="C150" t="s">
        <v>759</v>
      </c>
      <c r="D150" t="s">
        <v>126</v>
      </c>
      <c r="E150" s="45">
        <v>-800</v>
      </c>
      <c r="F150" t="s">
        <v>759</v>
      </c>
      <c r="G150" t="s">
        <v>580</v>
      </c>
      <c r="I150" s="152"/>
    </row>
    <row r="151" spans="1:9" customFormat="1" ht="14.4" x14ac:dyDescent="0.3">
      <c r="A151">
        <v>119</v>
      </c>
      <c r="B151" t="s">
        <v>1114</v>
      </c>
      <c r="C151" t="s">
        <v>759</v>
      </c>
      <c r="D151" t="s">
        <v>126</v>
      </c>
      <c r="E151" s="45">
        <v>-800</v>
      </c>
      <c r="F151" t="s">
        <v>759</v>
      </c>
      <c r="G151" t="s">
        <v>580</v>
      </c>
      <c r="I151" s="152"/>
    </row>
    <row r="152" spans="1:9" customFormat="1" ht="14.4" x14ac:dyDescent="0.3">
      <c r="A152">
        <v>119</v>
      </c>
      <c r="B152" t="s">
        <v>1114</v>
      </c>
      <c r="C152" t="s">
        <v>759</v>
      </c>
      <c r="D152" t="s">
        <v>126</v>
      </c>
      <c r="E152" s="45">
        <v>-800</v>
      </c>
      <c r="F152" t="s">
        <v>759</v>
      </c>
      <c r="G152" t="s">
        <v>580</v>
      </c>
      <c r="I152" s="152"/>
    </row>
    <row r="153" spans="1:9" customFormat="1" ht="14.4" x14ac:dyDescent="0.3">
      <c r="A153">
        <v>119</v>
      </c>
      <c r="B153" t="s">
        <v>1114</v>
      </c>
      <c r="C153" t="s">
        <v>759</v>
      </c>
      <c r="D153" t="s">
        <v>126</v>
      </c>
      <c r="E153" s="45">
        <v>-800</v>
      </c>
      <c r="F153" t="s">
        <v>759</v>
      </c>
      <c r="G153" t="s">
        <v>580</v>
      </c>
      <c r="I153" s="152"/>
    </row>
    <row r="154" spans="1:9" customFormat="1" ht="14.4" x14ac:dyDescent="0.3">
      <c r="A154">
        <v>119</v>
      </c>
      <c r="B154" t="s">
        <v>1114</v>
      </c>
      <c r="C154" t="s">
        <v>759</v>
      </c>
      <c r="D154" t="s">
        <v>126</v>
      </c>
      <c r="E154" s="45">
        <v>-800</v>
      </c>
      <c r="F154" t="s">
        <v>759</v>
      </c>
      <c r="G154" t="s">
        <v>580</v>
      </c>
      <c r="I154" s="152"/>
    </row>
    <row r="155" spans="1:9" customFormat="1" ht="14.4" x14ac:dyDescent="0.3">
      <c r="A155">
        <v>119</v>
      </c>
      <c r="B155" t="s">
        <v>1114</v>
      </c>
      <c r="C155" t="s">
        <v>759</v>
      </c>
      <c r="D155" t="s">
        <v>126</v>
      </c>
      <c r="E155" s="45">
        <v>-800</v>
      </c>
      <c r="F155" t="s">
        <v>759</v>
      </c>
      <c r="G155" t="s">
        <v>580</v>
      </c>
      <c r="I155" s="152"/>
    </row>
    <row r="156" spans="1:9" customFormat="1" ht="14.4" x14ac:dyDescent="0.3">
      <c r="A156">
        <v>119</v>
      </c>
      <c r="B156" t="s">
        <v>1114</v>
      </c>
      <c r="C156" t="s">
        <v>759</v>
      </c>
      <c r="D156" t="s">
        <v>126</v>
      </c>
      <c r="E156" s="45">
        <v>-800</v>
      </c>
      <c r="F156" t="s">
        <v>759</v>
      </c>
      <c r="G156" t="s">
        <v>580</v>
      </c>
      <c r="I156" s="152"/>
    </row>
    <row r="157" spans="1:9" customFormat="1" ht="14.4" x14ac:dyDescent="0.3">
      <c r="A157">
        <v>119</v>
      </c>
      <c r="B157" t="s">
        <v>1114</v>
      </c>
      <c r="C157" t="s">
        <v>759</v>
      </c>
      <c r="D157" t="s">
        <v>126</v>
      </c>
      <c r="E157" s="45">
        <v>-800</v>
      </c>
      <c r="F157" t="s">
        <v>759</v>
      </c>
      <c r="G157" t="s">
        <v>580</v>
      </c>
      <c r="I157" s="152"/>
    </row>
    <row r="158" spans="1:9" customFormat="1" ht="14.4" x14ac:dyDescent="0.3">
      <c r="A158">
        <v>119</v>
      </c>
      <c r="B158" t="s">
        <v>1114</v>
      </c>
      <c r="C158" t="s">
        <v>759</v>
      </c>
      <c r="D158" t="s">
        <v>126</v>
      </c>
      <c r="E158" s="45">
        <v>-800</v>
      </c>
      <c r="F158" t="s">
        <v>759</v>
      </c>
      <c r="G158" t="s">
        <v>580</v>
      </c>
      <c r="I158" s="152"/>
    </row>
    <row r="159" spans="1:9" customFormat="1" ht="14.4" x14ac:dyDescent="0.3">
      <c r="A159">
        <v>119</v>
      </c>
      <c r="B159" t="s">
        <v>1114</v>
      </c>
      <c r="C159" t="s">
        <v>759</v>
      </c>
      <c r="D159" t="s">
        <v>126</v>
      </c>
      <c r="E159" s="45">
        <v>-800</v>
      </c>
      <c r="F159" t="s">
        <v>759</v>
      </c>
      <c r="G159" t="s">
        <v>580</v>
      </c>
      <c r="I159" s="152"/>
    </row>
    <row r="160" spans="1:9" customFormat="1" ht="14.4" x14ac:dyDescent="0.3">
      <c r="A160">
        <v>119</v>
      </c>
      <c r="B160" t="s">
        <v>1114</v>
      </c>
      <c r="C160" t="s">
        <v>759</v>
      </c>
      <c r="D160" t="s">
        <v>126</v>
      </c>
      <c r="E160" s="45">
        <v>-800</v>
      </c>
      <c r="F160" t="s">
        <v>759</v>
      </c>
      <c r="G160" t="s">
        <v>580</v>
      </c>
      <c r="I160" s="152"/>
    </row>
    <row r="161" spans="1:9" customFormat="1" ht="14.4" x14ac:dyDescent="0.3">
      <c r="A161">
        <v>119</v>
      </c>
      <c r="B161" t="s">
        <v>1114</v>
      </c>
      <c r="C161" t="s">
        <v>759</v>
      </c>
      <c r="D161" t="s">
        <v>126</v>
      </c>
      <c r="E161" s="45">
        <v>-800</v>
      </c>
      <c r="F161" t="s">
        <v>759</v>
      </c>
      <c r="G161" t="s">
        <v>580</v>
      </c>
      <c r="I161" s="152"/>
    </row>
    <row r="162" spans="1:9" customFormat="1" ht="14.4" x14ac:dyDescent="0.3">
      <c r="A162">
        <v>119</v>
      </c>
      <c r="B162" t="s">
        <v>1114</v>
      </c>
      <c r="C162" t="s">
        <v>759</v>
      </c>
      <c r="D162" t="s">
        <v>126</v>
      </c>
      <c r="E162" s="45">
        <v>-800</v>
      </c>
      <c r="F162" t="s">
        <v>759</v>
      </c>
      <c r="G162" t="s">
        <v>580</v>
      </c>
      <c r="I162" s="152"/>
    </row>
    <row r="163" spans="1:9" customFormat="1" ht="14.4" x14ac:dyDescent="0.3">
      <c r="A163">
        <v>119</v>
      </c>
      <c r="B163" t="s">
        <v>1114</v>
      </c>
      <c r="C163" t="s">
        <v>759</v>
      </c>
      <c r="D163" t="s">
        <v>126</v>
      </c>
      <c r="E163" s="45">
        <v>-800</v>
      </c>
      <c r="F163" t="s">
        <v>759</v>
      </c>
      <c r="G163" t="s">
        <v>580</v>
      </c>
      <c r="I163" s="152"/>
    </row>
    <row r="164" spans="1:9" customFormat="1" ht="14.4" x14ac:dyDescent="0.3">
      <c r="A164">
        <v>119</v>
      </c>
      <c r="B164" t="s">
        <v>1114</v>
      </c>
      <c r="C164" t="s">
        <v>759</v>
      </c>
      <c r="D164" t="s">
        <v>126</v>
      </c>
      <c r="E164" s="45">
        <v>-800</v>
      </c>
      <c r="F164" t="s">
        <v>759</v>
      </c>
      <c r="G164" t="s">
        <v>580</v>
      </c>
      <c r="I164" s="152"/>
    </row>
    <row r="165" spans="1:9" customFormat="1" ht="14.4" x14ac:dyDescent="0.3">
      <c r="A165">
        <v>118</v>
      </c>
      <c r="B165" t="s">
        <v>1114</v>
      </c>
      <c r="C165" t="s">
        <v>759</v>
      </c>
      <c r="D165" t="s">
        <v>126</v>
      </c>
      <c r="E165" s="45">
        <v>-668</v>
      </c>
      <c r="F165" t="s">
        <v>759</v>
      </c>
      <c r="G165" t="s">
        <v>580</v>
      </c>
      <c r="I165" s="152"/>
    </row>
    <row r="166" spans="1:9" customFormat="1" ht="14.4" x14ac:dyDescent="0.3">
      <c r="A166">
        <v>117</v>
      </c>
      <c r="B166" t="s">
        <v>1115</v>
      </c>
      <c r="C166" t="s">
        <v>144</v>
      </c>
      <c r="D166" t="s">
        <v>145</v>
      </c>
      <c r="E166" s="45">
        <v>900</v>
      </c>
      <c r="F166" t="s">
        <v>52</v>
      </c>
      <c r="G166" t="s">
        <v>580</v>
      </c>
      <c r="H166" t="s">
        <v>583</v>
      </c>
      <c r="I166" s="152"/>
    </row>
    <row r="167" spans="1:9" customFormat="1" ht="14.4" x14ac:dyDescent="0.3">
      <c r="A167">
        <v>116</v>
      </c>
      <c r="B167" t="s">
        <v>1115</v>
      </c>
      <c r="C167" t="s">
        <v>1116</v>
      </c>
      <c r="D167" t="s">
        <v>284</v>
      </c>
      <c r="E167" s="45">
        <v>94424</v>
      </c>
      <c r="F167" t="s">
        <v>759</v>
      </c>
      <c r="G167" t="s">
        <v>580</v>
      </c>
      <c r="I167" s="152"/>
    </row>
    <row r="168" spans="1:9" customFormat="1" ht="14.4" x14ac:dyDescent="0.3">
      <c r="A168">
        <v>115</v>
      </c>
      <c r="B168" t="s">
        <v>1115</v>
      </c>
      <c r="C168" t="s">
        <v>154</v>
      </c>
      <c r="D168" t="s">
        <v>101</v>
      </c>
      <c r="E168" s="45">
        <v>-1950</v>
      </c>
      <c r="F168" t="s">
        <v>154</v>
      </c>
      <c r="G168" t="s">
        <v>580</v>
      </c>
      <c r="I168" s="152"/>
    </row>
    <row r="169" spans="1:9" customFormat="1" ht="14.4" x14ac:dyDescent="0.3">
      <c r="A169">
        <v>114</v>
      </c>
      <c r="B169" t="s">
        <v>1117</v>
      </c>
      <c r="C169" t="s">
        <v>508</v>
      </c>
      <c r="D169" t="s">
        <v>101</v>
      </c>
      <c r="E169" s="45">
        <v>-8342</v>
      </c>
      <c r="F169" t="s">
        <v>508</v>
      </c>
      <c r="G169" t="s">
        <v>107</v>
      </c>
      <c r="I169" s="152"/>
    </row>
    <row r="170" spans="1:9" customFormat="1" ht="14.4" x14ac:dyDescent="0.3">
      <c r="A170">
        <v>113</v>
      </c>
      <c r="B170" t="s">
        <v>1117</v>
      </c>
      <c r="C170" t="s">
        <v>984</v>
      </c>
      <c r="D170" t="s">
        <v>126</v>
      </c>
      <c r="E170" s="45">
        <v>-730</v>
      </c>
      <c r="F170" t="s">
        <v>39</v>
      </c>
      <c r="G170" t="s">
        <v>1002</v>
      </c>
      <c r="H170" t="s">
        <v>1002</v>
      </c>
      <c r="I170" s="152"/>
    </row>
    <row r="171" spans="1:9" customFormat="1" ht="14.4" x14ac:dyDescent="0.3">
      <c r="A171">
        <v>112</v>
      </c>
      <c r="B171" t="s">
        <v>1118</v>
      </c>
      <c r="C171" t="s">
        <v>144</v>
      </c>
      <c r="D171" t="s">
        <v>145</v>
      </c>
      <c r="E171" s="45">
        <v>400</v>
      </c>
      <c r="F171" t="s">
        <v>52</v>
      </c>
      <c r="G171" t="s">
        <v>580</v>
      </c>
      <c r="H171" t="s">
        <v>594</v>
      </c>
      <c r="I171" s="152"/>
    </row>
    <row r="172" spans="1:9" customFormat="1" ht="14.4" x14ac:dyDescent="0.3">
      <c r="A172">
        <v>111</v>
      </c>
      <c r="B172" t="s">
        <v>1118</v>
      </c>
      <c r="C172" t="s">
        <v>998</v>
      </c>
      <c r="D172" t="s">
        <v>126</v>
      </c>
      <c r="E172" s="45">
        <v>-380</v>
      </c>
      <c r="F172" t="s">
        <v>39</v>
      </c>
      <c r="G172" t="s">
        <v>580</v>
      </c>
      <c r="H172" t="s">
        <v>438</v>
      </c>
      <c r="I172" s="152"/>
    </row>
    <row r="173" spans="1:9" customFormat="1" ht="14.4" x14ac:dyDescent="0.3">
      <c r="A173">
        <v>110</v>
      </c>
      <c r="B173" t="s">
        <v>1119</v>
      </c>
      <c r="C173" t="s">
        <v>952</v>
      </c>
      <c r="D173" t="s">
        <v>101</v>
      </c>
      <c r="E173" s="45">
        <v>-500</v>
      </c>
      <c r="F173" t="s">
        <v>36</v>
      </c>
      <c r="G173" t="s">
        <v>580</v>
      </c>
      <c r="H173" t="s">
        <v>858</v>
      </c>
      <c r="I173" s="152"/>
    </row>
    <row r="174" spans="1:9" customFormat="1" ht="14.4" x14ac:dyDescent="0.3">
      <c r="A174">
        <v>109</v>
      </c>
      <c r="B174" t="s">
        <v>1119</v>
      </c>
      <c r="C174" t="s">
        <v>997</v>
      </c>
      <c r="D174" t="s">
        <v>126</v>
      </c>
      <c r="E174" s="45">
        <v>-580</v>
      </c>
      <c r="F174" t="s">
        <v>39</v>
      </c>
      <c r="G174" t="s">
        <v>580</v>
      </c>
      <c r="H174" t="s">
        <v>1001</v>
      </c>
      <c r="I174" s="152"/>
    </row>
    <row r="175" spans="1:9" customFormat="1" ht="14.4" x14ac:dyDescent="0.3">
      <c r="A175">
        <v>108</v>
      </c>
      <c r="B175" t="s">
        <v>1119</v>
      </c>
      <c r="C175" t="s">
        <v>1120</v>
      </c>
      <c r="D175" t="s">
        <v>101</v>
      </c>
      <c r="E175" s="45">
        <v>-838</v>
      </c>
      <c r="F175" t="s">
        <v>46</v>
      </c>
      <c r="G175" t="s">
        <v>580</v>
      </c>
      <c r="H175" t="s">
        <v>107</v>
      </c>
      <c r="I175" s="152"/>
    </row>
    <row r="176" spans="1:9" customFormat="1" ht="14.4" x14ac:dyDescent="0.3">
      <c r="A176">
        <v>107</v>
      </c>
      <c r="B176" t="s">
        <v>1119</v>
      </c>
      <c r="C176" t="s">
        <v>508</v>
      </c>
      <c r="D176" t="s">
        <v>122</v>
      </c>
      <c r="E176" s="45">
        <v>-765.5</v>
      </c>
      <c r="F176" t="s">
        <v>508</v>
      </c>
      <c r="G176" t="s">
        <v>107</v>
      </c>
      <c r="I176" s="152"/>
    </row>
    <row r="177" spans="1:9" customFormat="1" ht="14.4" x14ac:dyDescent="0.3">
      <c r="A177">
        <v>106</v>
      </c>
      <c r="B177" t="s">
        <v>1121</v>
      </c>
      <c r="C177" t="s">
        <v>144</v>
      </c>
      <c r="D177" t="s">
        <v>145</v>
      </c>
      <c r="E177" s="45">
        <v>2250</v>
      </c>
      <c r="F177" t="s">
        <v>52</v>
      </c>
      <c r="G177" t="s">
        <v>580</v>
      </c>
      <c r="H177" t="s">
        <v>807</v>
      </c>
      <c r="I177" s="152"/>
    </row>
    <row r="178" spans="1:9" customFormat="1" ht="14.4" x14ac:dyDescent="0.3">
      <c r="A178">
        <v>105</v>
      </c>
      <c r="B178" t="s">
        <v>1121</v>
      </c>
      <c r="C178" t="s">
        <v>976</v>
      </c>
      <c r="D178" t="s">
        <v>101</v>
      </c>
      <c r="E178" s="45">
        <v>-1098</v>
      </c>
      <c r="F178" t="s">
        <v>46</v>
      </c>
      <c r="G178" t="s">
        <v>580</v>
      </c>
      <c r="H178" t="s">
        <v>1003</v>
      </c>
      <c r="I178" s="152"/>
    </row>
    <row r="179" spans="1:9" customFormat="1" ht="14.4" x14ac:dyDescent="0.3">
      <c r="A179">
        <v>104</v>
      </c>
      <c r="B179" t="s">
        <v>1121</v>
      </c>
      <c r="C179" t="s">
        <v>504</v>
      </c>
      <c r="D179" t="s">
        <v>101</v>
      </c>
      <c r="E179" s="45">
        <v>-649</v>
      </c>
      <c r="F179" t="s">
        <v>46</v>
      </c>
      <c r="G179" t="s">
        <v>580</v>
      </c>
      <c r="H179" t="s">
        <v>342</v>
      </c>
      <c r="I179" s="152"/>
    </row>
    <row r="180" spans="1:9" customFormat="1" ht="14.4" x14ac:dyDescent="0.3">
      <c r="A180">
        <v>103</v>
      </c>
      <c r="B180" t="s">
        <v>1121</v>
      </c>
      <c r="C180" t="s">
        <v>504</v>
      </c>
      <c r="D180" t="s">
        <v>101</v>
      </c>
      <c r="E180" s="45">
        <v>-10282</v>
      </c>
      <c r="F180" t="s">
        <v>46</v>
      </c>
      <c r="G180" t="s">
        <v>580</v>
      </c>
      <c r="H180" t="s">
        <v>342</v>
      </c>
      <c r="I180" s="152"/>
    </row>
    <row r="181" spans="1:9" customFormat="1" ht="14.4" x14ac:dyDescent="0.3">
      <c r="A181">
        <v>102</v>
      </c>
      <c r="B181" t="s">
        <v>1121</v>
      </c>
      <c r="C181" t="s">
        <v>838</v>
      </c>
      <c r="D181" t="s">
        <v>101</v>
      </c>
      <c r="E181" s="45">
        <v>-874</v>
      </c>
      <c r="F181" t="s">
        <v>46</v>
      </c>
      <c r="G181" t="s">
        <v>586</v>
      </c>
      <c r="H181" t="s">
        <v>586</v>
      </c>
      <c r="I181" s="152"/>
    </row>
    <row r="182" spans="1:9" customFormat="1" ht="14.4" x14ac:dyDescent="0.3">
      <c r="A182">
        <v>101</v>
      </c>
      <c r="B182" t="s">
        <v>1121</v>
      </c>
      <c r="C182" t="s">
        <v>1122</v>
      </c>
      <c r="D182" t="s">
        <v>101</v>
      </c>
      <c r="E182" s="45">
        <v>-10021</v>
      </c>
      <c r="F182" t="s">
        <v>45</v>
      </c>
      <c r="G182" t="s">
        <v>107</v>
      </c>
      <c r="I182" s="152"/>
    </row>
    <row r="183" spans="1:9" customFormat="1" ht="14.4" x14ac:dyDescent="0.3">
      <c r="A183" s="166"/>
      <c r="B183" s="166" t="s">
        <v>1123</v>
      </c>
      <c r="C183" s="166" t="s">
        <v>794</v>
      </c>
      <c r="D183" s="166" t="s">
        <v>126</v>
      </c>
      <c r="E183" s="167">
        <v>20000</v>
      </c>
      <c r="F183" s="166" t="s">
        <v>285</v>
      </c>
      <c r="G183" s="166"/>
      <c r="H183" s="166"/>
      <c r="I183" s="152"/>
    </row>
    <row r="184" spans="1:9" customFormat="1" ht="14.4" x14ac:dyDescent="0.3">
      <c r="A184">
        <v>100</v>
      </c>
      <c r="B184" t="s">
        <v>1123</v>
      </c>
      <c r="C184" t="s">
        <v>928</v>
      </c>
      <c r="D184" t="s">
        <v>126</v>
      </c>
      <c r="E184" s="45">
        <v>-380</v>
      </c>
      <c r="F184" t="s">
        <v>39</v>
      </c>
      <c r="G184" t="s">
        <v>580</v>
      </c>
      <c r="H184" t="s">
        <v>594</v>
      </c>
      <c r="I184" s="152"/>
    </row>
    <row r="185" spans="1:9" customFormat="1" ht="14.4" x14ac:dyDescent="0.3">
      <c r="A185">
        <v>99</v>
      </c>
      <c r="B185" t="s">
        <v>1123</v>
      </c>
      <c r="C185" t="s">
        <v>928</v>
      </c>
      <c r="D185" t="s">
        <v>126</v>
      </c>
      <c r="E185" s="45">
        <v>-250</v>
      </c>
      <c r="F185" t="s">
        <v>39</v>
      </c>
      <c r="G185" t="s">
        <v>580</v>
      </c>
      <c r="H185" t="s">
        <v>594</v>
      </c>
      <c r="I185" s="152"/>
    </row>
    <row r="186" spans="1:9" customFormat="1" ht="14.4" x14ac:dyDescent="0.3">
      <c r="A186">
        <v>98</v>
      </c>
      <c r="B186" t="s">
        <v>1123</v>
      </c>
      <c r="C186" t="s">
        <v>38</v>
      </c>
      <c r="D186" t="s">
        <v>101</v>
      </c>
      <c r="E186" s="45">
        <v>-1050</v>
      </c>
      <c r="F186" t="s">
        <v>38</v>
      </c>
      <c r="G186" t="s">
        <v>580</v>
      </c>
      <c r="I186" s="152"/>
    </row>
    <row r="187" spans="1:9" customFormat="1" ht="14.4" x14ac:dyDescent="0.3">
      <c r="A187">
        <v>97</v>
      </c>
      <c r="B187" t="s">
        <v>1124</v>
      </c>
      <c r="C187" t="s">
        <v>144</v>
      </c>
      <c r="D187" t="s">
        <v>145</v>
      </c>
      <c r="E187" s="45">
        <v>3200</v>
      </c>
      <c r="F187" t="s">
        <v>52</v>
      </c>
      <c r="G187" t="s">
        <v>580</v>
      </c>
      <c r="H187" t="s">
        <v>582</v>
      </c>
      <c r="I187" s="152"/>
    </row>
    <row r="188" spans="1:9" customFormat="1" ht="14.4" x14ac:dyDescent="0.3">
      <c r="A188">
        <v>96</v>
      </c>
      <c r="B188" t="s">
        <v>1124</v>
      </c>
      <c r="C188" t="s">
        <v>927</v>
      </c>
      <c r="D188" t="s">
        <v>126</v>
      </c>
      <c r="E188" s="45">
        <v>-290</v>
      </c>
      <c r="F188" t="s">
        <v>39</v>
      </c>
      <c r="G188" t="s">
        <v>580</v>
      </c>
      <c r="H188" t="s">
        <v>590</v>
      </c>
      <c r="I188" s="152"/>
    </row>
    <row r="189" spans="1:9" customFormat="1" ht="14.4" x14ac:dyDescent="0.3">
      <c r="A189">
        <v>95</v>
      </c>
      <c r="B189" t="s">
        <v>1124</v>
      </c>
      <c r="C189" t="s">
        <v>1125</v>
      </c>
      <c r="D189" t="s">
        <v>101</v>
      </c>
      <c r="E189" s="45">
        <v>-23000</v>
      </c>
      <c r="F189" t="s">
        <v>489</v>
      </c>
      <c r="G189" t="s">
        <v>937</v>
      </c>
      <c r="I189" s="152"/>
    </row>
    <row r="190" spans="1:9" customFormat="1" ht="14.4" x14ac:dyDescent="0.3">
      <c r="A190">
        <v>94</v>
      </c>
      <c r="B190" t="s">
        <v>1124</v>
      </c>
      <c r="C190" t="s">
        <v>1126</v>
      </c>
      <c r="D190" t="s">
        <v>101</v>
      </c>
      <c r="E190" s="45">
        <v>-2100</v>
      </c>
      <c r="F190" t="s">
        <v>40</v>
      </c>
      <c r="G190" t="s">
        <v>580</v>
      </c>
      <c r="H190" t="s">
        <v>107</v>
      </c>
      <c r="I190" s="152"/>
    </row>
    <row r="191" spans="1:9" customFormat="1" ht="14.4" x14ac:dyDescent="0.3">
      <c r="A191">
        <v>93</v>
      </c>
      <c r="B191" t="s">
        <v>1127</v>
      </c>
      <c r="C191" t="s">
        <v>1128</v>
      </c>
      <c r="D191" t="s">
        <v>101</v>
      </c>
      <c r="E191" s="45">
        <v>-1521</v>
      </c>
      <c r="F191" t="s">
        <v>46</v>
      </c>
      <c r="G191" t="s">
        <v>580</v>
      </c>
      <c r="H191" t="s">
        <v>438</v>
      </c>
      <c r="I191" s="152"/>
    </row>
    <row r="192" spans="1:9" customFormat="1" ht="14.4" x14ac:dyDescent="0.3">
      <c r="A192">
        <v>92</v>
      </c>
      <c r="B192" t="s">
        <v>1127</v>
      </c>
      <c r="C192" t="s">
        <v>1120</v>
      </c>
      <c r="D192" t="s">
        <v>101</v>
      </c>
      <c r="E192" s="45">
        <v>-1995</v>
      </c>
      <c r="F192" t="s">
        <v>46</v>
      </c>
      <c r="G192" t="s">
        <v>580</v>
      </c>
      <c r="H192" t="s">
        <v>107</v>
      </c>
      <c r="I192" s="152"/>
    </row>
    <row r="193" spans="1:9" customFormat="1" ht="14.4" x14ac:dyDescent="0.3">
      <c r="A193">
        <v>91</v>
      </c>
      <c r="B193" t="s">
        <v>1127</v>
      </c>
      <c r="C193" t="s">
        <v>1120</v>
      </c>
      <c r="D193" t="s">
        <v>101</v>
      </c>
      <c r="E193" s="45">
        <v>-104</v>
      </c>
      <c r="F193" t="s">
        <v>46</v>
      </c>
      <c r="G193" t="s">
        <v>580</v>
      </c>
      <c r="H193" t="s">
        <v>107</v>
      </c>
      <c r="I193" s="152"/>
    </row>
    <row r="194" spans="1:9" customFormat="1" ht="14.4" x14ac:dyDescent="0.3">
      <c r="A194">
        <v>90</v>
      </c>
      <c r="B194" t="s">
        <v>1129</v>
      </c>
      <c r="C194" t="s">
        <v>144</v>
      </c>
      <c r="D194" t="s">
        <v>145</v>
      </c>
      <c r="E194" s="45">
        <v>400</v>
      </c>
      <c r="F194" t="s">
        <v>52</v>
      </c>
      <c r="G194" t="s">
        <v>580</v>
      </c>
      <c r="H194" t="s">
        <v>592</v>
      </c>
      <c r="I194" s="152"/>
    </row>
    <row r="195" spans="1:9" customFormat="1" ht="14.4" x14ac:dyDescent="0.3">
      <c r="A195">
        <v>89</v>
      </c>
      <c r="B195" t="s">
        <v>1129</v>
      </c>
      <c r="C195" t="s">
        <v>927</v>
      </c>
      <c r="D195" t="s">
        <v>126</v>
      </c>
      <c r="E195" s="45">
        <v>-665</v>
      </c>
      <c r="F195" t="s">
        <v>39</v>
      </c>
      <c r="G195" t="s">
        <v>580</v>
      </c>
      <c r="H195" t="s">
        <v>590</v>
      </c>
      <c r="I195" s="152"/>
    </row>
    <row r="196" spans="1:9" customFormat="1" ht="14.4" x14ac:dyDescent="0.3">
      <c r="A196">
        <v>88</v>
      </c>
      <c r="B196" t="s">
        <v>1129</v>
      </c>
      <c r="C196" t="s">
        <v>984</v>
      </c>
      <c r="D196" t="s">
        <v>126</v>
      </c>
      <c r="E196" s="45">
        <v>-790</v>
      </c>
      <c r="F196" t="s">
        <v>39</v>
      </c>
      <c r="G196" t="s">
        <v>1002</v>
      </c>
      <c r="H196" t="s">
        <v>1002</v>
      </c>
      <c r="I196" s="152"/>
    </row>
    <row r="197" spans="1:9" customFormat="1" ht="14.4" x14ac:dyDescent="0.3">
      <c r="A197">
        <v>87</v>
      </c>
      <c r="B197" t="s">
        <v>1129</v>
      </c>
      <c r="C197" t="s">
        <v>1120</v>
      </c>
      <c r="D197" t="s">
        <v>101</v>
      </c>
      <c r="E197" s="45">
        <v>-1098</v>
      </c>
      <c r="F197" t="s">
        <v>46</v>
      </c>
      <c r="G197" t="s">
        <v>580</v>
      </c>
      <c r="H197" t="s">
        <v>107</v>
      </c>
      <c r="I197" s="152"/>
    </row>
    <row r="198" spans="1:9" customFormat="1" ht="14.4" x14ac:dyDescent="0.3">
      <c r="A198">
        <v>86</v>
      </c>
      <c r="B198" t="s">
        <v>1129</v>
      </c>
      <c r="C198" t="s">
        <v>504</v>
      </c>
      <c r="D198" t="s">
        <v>101</v>
      </c>
      <c r="E198" s="45">
        <v>-980</v>
      </c>
      <c r="F198" t="s">
        <v>46</v>
      </c>
      <c r="G198" t="s">
        <v>580</v>
      </c>
      <c r="H198" t="s">
        <v>342</v>
      </c>
      <c r="I198" s="152"/>
    </row>
    <row r="199" spans="1:9" customFormat="1" ht="14.4" x14ac:dyDescent="0.3">
      <c r="A199">
        <v>85</v>
      </c>
      <c r="B199" t="s">
        <v>1129</v>
      </c>
      <c r="C199" t="s">
        <v>951</v>
      </c>
      <c r="D199" t="s">
        <v>101</v>
      </c>
      <c r="E199" s="45">
        <v>-666</v>
      </c>
      <c r="F199" t="s">
        <v>46</v>
      </c>
      <c r="G199" t="s">
        <v>580</v>
      </c>
      <c r="H199" t="s">
        <v>592</v>
      </c>
      <c r="I199" s="152"/>
    </row>
    <row r="200" spans="1:9" customFormat="1" ht="14.4" x14ac:dyDescent="0.3">
      <c r="A200">
        <v>84</v>
      </c>
      <c r="B200" t="s">
        <v>1130</v>
      </c>
      <c r="C200" t="s">
        <v>144</v>
      </c>
      <c r="D200" t="s">
        <v>145</v>
      </c>
      <c r="E200" s="45">
        <v>2900</v>
      </c>
      <c r="F200" t="s">
        <v>52</v>
      </c>
      <c r="G200" t="s">
        <v>580</v>
      </c>
      <c r="H200" t="s">
        <v>1005</v>
      </c>
      <c r="I200" s="152"/>
    </row>
    <row r="201" spans="1:9" customFormat="1" ht="14.4" x14ac:dyDescent="0.3">
      <c r="A201">
        <v>83</v>
      </c>
      <c r="B201" t="s">
        <v>1130</v>
      </c>
      <c r="C201" t="s">
        <v>508</v>
      </c>
      <c r="D201" t="s">
        <v>101</v>
      </c>
      <c r="E201" s="45">
        <v>-800</v>
      </c>
      <c r="F201" t="s">
        <v>508</v>
      </c>
      <c r="G201" t="s">
        <v>107</v>
      </c>
      <c r="I201" s="152"/>
    </row>
    <row r="202" spans="1:9" customFormat="1" ht="14.4" x14ac:dyDescent="0.3">
      <c r="A202">
        <v>82</v>
      </c>
      <c r="B202" t="s">
        <v>1130</v>
      </c>
      <c r="C202" t="s">
        <v>940</v>
      </c>
      <c r="D202" t="s">
        <v>101</v>
      </c>
      <c r="E202" s="45">
        <v>-4500</v>
      </c>
      <c r="F202" t="s">
        <v>35</v>
      </c>
      <c r="G202" t="s">
        <v>580</v>
      </c>
      <c r="I202" s="152"/>
    </row>
    <row r="203" spans="1:9" customFormat="1" ht="14.4" x14ac:dyDescent="0.3">
      <c r="A203">
        <v>81</v>
      </c>
      <c r="B203" t="s">
        <v>1131</v>
      </c>
      <c r="C203" t="s">
        <v>1122</v>
      </c>
      <c r="D203" t="s">
        <v>101</v>
      </c>
      <c r="E203" s="45">
        <v>-12025</v>
      </c>
      <c r="F203" t="s">
        <v>45</v>
      </c>
      <c r="G203" t="s">
        <v>107</v>
      </c>
      <c r="I203" s="152"/>
    </row>
    <row r="204" spans="1:9" customFormat="1" ht="14.4" x14ac:dyDescent="0.3">
      <c r="A204">
        <v>80</v>
      </c>
      <c r="B204" t="s">
        <v>1131</v>
      </c>
      <c r="C204" t="s">
        <v>513</v>
      </c>
      <c r="D204" t="s">
        <v>101</v>
      </c>
      <c r="E204" s="45">
        <v>-118</v>
      </c>
      <c r="F204" t="s">
        <v>46</v>
      </c>
      <c r="G204" t="s">
        <v>586</v>
      </c>
      <c r="H204" t="s">
        <v>586</v>
      </c>
      <c r="I204" s="152"/>
    </row>
    <row r="205" spans="1:9" customFormat="1" ht="14.4" x14ac:dyDescent="0.3">
      <c r="A205">
        <v>79</v>
      </c>
      <c r="B205" t="s">
        <v>1131</v>
      </c>
      <c r="C205" t="s">
        <v>998</v>
      </c>
      <c r="D205" t="s">
        <v>126</v>
      </c>
      <c r="E205" s="45">
        <v>-380</v>
      </c>
      <c r="F205" t="s">
        <v>39</v>
      </c>
      <c r="G205" t="s">
        <v>580</v>
      </c>
      <c r="H205" t="s">
        <v>438</v>
      </c>
      <c r="I205" s="152"/>
    </row>
    <row r="206" spans="1:9" customFormat="1" ht="14.4" x14ac:dyDescent="0.3">
      <c r="A206">
        <v>78</v>
      </c>
      <c r="B206" t="s">
        <v>1131</v>
      </c>
      <c r="C206" t="s">
        <v>929</v>
      </c>
      <c r="D206" t="s">
        <v>126</v>
      </c>
      <c r="E206" s="45">
        <v>-380</v>
      </c>
      <c r="F206" t="s">
        <v>39</v>
      </c>
      <c r="G206" t="s">
        <v>580</v>
      </c>
      <c r="H206" t="s">
        <v>251</v>
      </c>
      <c r="I206" s="152"/>
    </row>
    <row r="207" spans="1:9" customFormat="1" ht="14.4" x14ac:dyDescent="0.3">
      <c r="A207" s="166"/>
      <c r="B207" s="166" t="s">
        <v>1131</v>
      </c>
      <c r="C207" s="166" t="s">
        <v>1132</v>
      </c>
      <c r="D207" s="166" t="s">
        <v>126</v>
      </c>
      <c r="E207" s="167">
        <v>-600</v>
      </c>
      <c r="F207" s="166" t="s">
        <v>1205</v>
      </c>
      <c r="G207" s="166"/>
      <c r="H207" s="166"/>
      <c r="I207" s="152"/>
    </row>
    <row r="208" spans="1:9" customFormat="1" ht="15" thickBot="1" x14ac:dyDescent="0.35">
      <c r="A208" s="54">
        <v>77</v>
      </c>
      <c r="B208" s="54" t="s">
        <v>1133</v>
      </c>
      <c r="C208" s="54" t="s">
        <v>144</v>
      </c>
      <c r="D208" s="54" t="s">
        <v>145</v>
      </c>
      <c r="E208" s="153">
        <v>1600</v>
      </c>
      <c r="F208" s="54" t="s">
        <v>52</v>
      </c>
      <c r="G208" s="54" t="s">
        <v>580</v>
      </c>
      <c r="H208" s="54" t="s">
        <v>1134</v>
      </c>
      <c r="I208" s="170"/>
    </row>
    <row r="209" spans="1:9" customFormat="1" ht="28.8" x14ac:dyDescent="0.3">
      <c r="A209">
        <v>76</v>
      </c>
      <c r="B209" t="s">
        <v>974</v>
      </c>
      <c r="C209" t="s">
        <v>144</v>
      </c>
      <c r="D209" t="s">
        <v>145</v>
      </c>
      <c r="E209" s="45">
        <v>5550</v>
      </c>
      <c r="F209" s="151" t="s">
        <v>955</v>
      </c>
      <c r="G209" t="s">
        <v>580</v>
      </c>
      <c r="I209" s="152" t="s">
        <v>1009</v>
      </c>
    </row>
    <row r="210" spans="1:9" customFormat="1" ht="14.4" x14ac:dyDescent="0.3">
      <c r="A210">
        <v>75</v>
      </c>
      <c r="B210" t="s">
        <v>974</v>
      </c>
      <c r="C210" t="s">
        <v>975</v>
      </c>
      <c r="D210" t="s">
        <v>101</v>
      </c>
      <c r="E210" s="45">
        <v>-3500</v>
      </c>
      <c r="F210" t="s">
        <v>46</v>
      </c>
      <c r="G210" t="s">
        <v>107</v>
      </c>
      <c r="H210" t="s">
        <v>1349</v>
      </c>
      <c r="I210" s="152"/>
    </row>
    <row r="211" spans="1:9" customFormat="1" ht="14.4" x14ac:dyDescent="0.3">
      <c r="A211">
        <v>74</v>
      </c>
      <c r="B211" t="s">
        <v>974</v>
      </c>
      <c r="C211" t="s">
        <v>976</v>
      </c>
      <c r="D211" t="s">
        <v>101</v>
      </c>
      <c r="E211" s="45">
        <v>-549</v>
      </c>
      <c r="F211" t="s">
        <v>46</v>
      </c>
      <c r="G211" t="s">
        <v>580</v>
      </c>
      <c r="H211" t="s">
        <v>1003</v>
      </c>
      <c r="I211" s="152"/>
    </row>
    <row r="212" spans="1:9" customFormat="1" ht="14.4" x14ac:dyDescent="0.3">
      <c r="A212">
        <v>73</v>
      </c>
      <c r="B212" t="s">
        <v>974</v>
      </c>
      <c r="C212" t="s">
        <v>513</v>
      </c>
      <c r="D212" t="s">
        <v>101</v>
      </c>
      <c r="E212" s="45">
        <v>-5436</v>
      </c>
      <c r="F212" t="s">
        <v>46</v>
      </c>
      <c r="G212" t="s">
        <v>586</v>
      </c>
      <c r="H212" t="s">
        <v>586</v>
      </c>
      <c r="I212" s="152"/>
    </row>
    <row r="213" spans="1:9" customFormat="1" ht="14.4" x14ac:dyDescent="0.3">
      <c r="A213">
        <v>72</v>
      </c>
      <c r="B213" t="s">
        <v>974</v>
      </c>
      <c r="C213" t="s">
        <v>504</v>
      </c>
      <c r="D213" t="s">
        <v>101</v>
      </c>
      <c r="E213" s="45">
        <v>-1795</v>
      </c>
      <c r="F213" t="s">
        <v>46</v>
      </c>
      <c r="G213" t="s">
        <v>580</v>
      </c>
      <c r="H213" t="s">
        <v>342</v>
      </c>
      <c r="I213" s="152"/>
    </row>
    <row r="214" spans="1:9" customFormat="1" ht="14.4" x14ac:dyDescent="0.3">
      <c r="A214">
        <v>71</v>
      </c>
      <c r="B214" t="s">
        <v>977</v>
      </c>
      <c r="C214" t="s">
        <v>504</v>
      </c>
      <c r="D214" t="s">
        <v>101</v>
      </c>
      <c r="E214" s="45">
        <v>-549</v>
      </c>
      <c r="F214" t="s">
        <v>46</v>
      </c>
      <c r="G214" t="s">
        <v>580</v>
      </c>
      <c r="H214" t="s">
        <v>342</v>
      </c>
      <c r="I214" s="152"/>
    </row>
    <row r="215" spans="1:9" customFormat="1" ht="14.4" x14ac:dyDescent="0.3">
      <c r="A215">
        <v>70</v>
      </c>
      <c r="B215" t="s">
        <v>977</v>
      </c>
      <c r="C215" t="s">
        <v>978</v>
      </c>
      <c r="D215" t="s">
        <v>101</v>
      </c>
      <c r="E215" s="45">
        <v>-6400</v>
      </c>
      <c r="F215" t="s">
        <v>43</v>
      </c>
      <c r="G215" t="s">
        <v>586</v>
      </c>
      <c r="H215" t="s">
        <v>586</v>
      </c>
      <c r="I215" s="152"/>
    </row>
    <row r="216" spans="1:9" customFormat="1" ht="14.4" x14ac:dyDescent="0.3">
      <c r="A216">
        <v>69</v>
      </c>
      <c r="B216" t="s">
        <v>979</v>
      </c>
      <c r="C216" t="s">
        <v>928</v>
      </c>
      <c r="D216" t="s">
        <v>126</v>
      </c>
      <c r="E216" s="45">
        <v>-380</v>
      </c>
      <c r="F216" t="s">
        <v>39</v>
      </c>
      <c r="G216" t="s">
        <v>580</v>
      </c>
      <c r="H216" t="s">
        <v>594</v>
      </c>
      <c r="I216" s="152"/>
    </row>
    <row r="217" spans="1:9" customFormat="1" ht="14.4" x14ac:dyDescent="0.3">
      <c r="A217">
        <v>68</v>
      </c>
      <c r="B217" t="s">
        <v>980</v>
      </c>
      <c r="C217" t="s">
        <v>144</v>
      </c>
      <c r="D217" t="s">
        <v>145</v>
      </c>
      <c r="E217" s="45">
        <v>5250</v>
      </c>
      <c r="F217" s="65" t="s">
        <v>52</v>
      </c>
      <c r="G217" t="s">
        <v>1002</v>
      </c>
      <c r="H217" s="151" t="s">
        <v>1008</v>
      </c>
      <c r="I217" s="152"/>
    </row>
    <row r="218" spans="1:9" customFormat="1" ht="14.4" x14ac:dyDescent="0.3">
      <c r="A218">
        <v>67</v>
      </c>
      <c r="B218" t="s">
        <v>980</v>
      </c>
      <c r="C218" t="s">
        <v>981</v>
      </c>
      <c r="D218" t="s">
        <v>101</v>
      </c>
      <c r="E218" s="45">
        <v>-1236</v>
      </c>
      <c r="F218" t="s">
        <v>46</v>
      </c>
      <c r="G218" t="s">
        <v>580</v>
      </c>
      <c r="H218" t="s">
        <v>807</v>
      </c>
      <c r="I218" s="152"/>
    </row>
    <row r="219" spans="1:9" customFormat="1" ht="14.4" x14ac:dyDescent="0.3">
      <c r="A219">
        <v>66</v>
      </c>
      <c r="B219" t="s">
        <v>980</v>
      </c>
      <c r="C219" t="s">
        <v>976</v>
      </c>
      <c r="D219" t="s">
        <v>101</v>
      </c>
      <c r="E219" s="45">
        <v>-549</v>
      </c>
      <c r="F219" t="s">
        <v>46</v>
      </c>
      <c r="G219" t="s">
        <v>580</v>
      </c>
      <c r="H219" t="s">
        <v>1003</v>
      </c>
      <c r="I219" s="152"/>
    </row>
    <row r="220" spans="1:9" customFormat="1" ht="14.4" x14ac:dyDescent="0.3">
      <c r="A220">
        <v>65</v>
      </c>
      <c r="B220" t="s">
        <v>980</v>
      </c>
      <c r="C220" t="s">
        <v>982</v>
      </c>
      <c r="D220" t="s">
        <v>101</v>
      </c>
      <c r="E220" s="45">
        <v>-326</v>
      </c>
      <c r="F220" t="s">
        <v>46</v>
      </c>
      <c r="G220" t="s">
        <v>580</v>
      </c>
      <c r="H220" t="s">
        <v>594</v>
      </c>
      <c r="I220" s="152"/>
    </row>
    <row r="221" spans="1:9" customFormat="1" ht="14.4" x14ac:dyDescent="0.3">
      <c r="A221">
        <v>64</v>
      </c>
      <c r="B221" t="s">
        <v>980</v>
      </c>
      <c r="C221" t="s">
        <v>976</v>
      </c>
      <c r="D221" t="s">
        <v>101</v>
      </c>
      <c r="E221" s="45">
        <v>-549</v>
      </c>
      <c r="F221" t="s">
        <v>46</v>
      </c>
      <c r="G221" t="s">
        <v>580</v>
      </c>
      <c r="H221" t="s">
        <v>1003</v>
      </c>
      <c r="I221" s="152"/>
    </row>
    <row r="222" spans="1:9" customFormat="1" ht="14.4" x14ac:dyDescent="0.3">
      <c r="A222">
        <v>63</v>
      </c>
      <c r="B222" t="s">
        <v>980</v>
      </c>
      <c r="C222" t="s">
        <v>982</v>
      </c>
      <c r="D222" t="s">
        <v>101</v>
      </c>
      <c r="E222" s="45">
        <v>-3487</v>
      </c>
      <c r="F222" t="s">
        <v>46</v>
      </c>
      <c r="G222" t="s">
        <v>580</v>
      </c>
      <c r="H222" t="s">
        <v>594</v>
      </c>
      <c r="I222" s="152"/>
    </row>
    <row r="223" spans="1:9" customFormat="1" ht="14.4" x14ac:dyDescent="0.3">
      <c r="A223">
        <v>62</v>
      </c>
      <c r="B223" t="s">
        <v>983</v>
      </c>
      <c r="C223" t="s">
        <v>984</v>
      </c>
      <c r="D223" t="s">
        <v>126</v>
      </c>
      <c r="E223" s="45">
        <v>-658</v>
      </c>
      <c r="F223" t="s">
        <v>39</v>
      </c>
      <c r="G223" t="s">
        <v>1002</v>
      </c>
      <c r="H223" t="s">
        <v>1002</v>
      </c>
      <c r="I223" s="152"/>
    </row>
    <row r="224" spans="1:9" customFormat="1" ht="14.4" x14ac:dyDescent="0.3">
      <c r="A224">
        <v>61</v>
      </c>
      <c r="B224" t="s">
        <v>983</v>
      </c>
      <c r="C224" t="s">
        <v>985</v>
      </c>
      <c r="D224" t="s">
        <v>101</v>
      </c>
      <c r="E224" s="45">
        <v>-10825</v>
      </c>
      <c r="F224" t="s">
        <v>46</v>
      </c>
      <c r="G224" t="s">
        <v>580</v>
      </c>
      <c r="H224" t="s">
        <v>107</v>
      </c>
      <c r="I224" s="152"/>
    </row>
    <row r="225" spans="1:9" customFormat="1" ht="14.4" x14ac:dyDescent="0.3">
      <c r="A225">
        <v>60</v>
      </c>
      <c r="B225" t="s">
        <v>983</v>
      </c>
      <c r="C225" t="s">
        <v>986</v>
      </c>
      <c r="D225" t="s">
        <v>101</v>
      </c>
      <c r="E225" s="45">
        <v>-1260</v>
      </c>
      <c r="F225" t="s">
        <v>46</v>
      </c>
      <c r="G225" t="s">
        <v>580</v>
      </c>
      <c r="H225" t="s">
        <v>590</v>
      </c>
      <c r="I225" s="152"/>
    </row>
    <row r="226" spans="1:9" customFormat="1" ht="14.4" x14ac:dyDescent="0.3">
      <c r="A226">
        <v>59</v>
      </c>
      <c r="B226" t="s">
        <v>983</v>
      </c>
      <c r="C226" t="s">
        <v>981</v>
      </c>
      <c r="D226" t="s">
        <v>101</v>
      </c>
      <c r="E226" s="45">
        <v>-976</v>
      </c>
      <c r="F226" t="s">
        <v>46</v>
      </c>
      <c r="G226" t="s">
        <v>580</v>
      </c>
      <c r="H226" t="s">
        <v>807</v>
      </c>
      <c r="I226" s="152"/>
    </row>
    <row r="227" spans="1:9" customFormat="1" ht="14.4" x14ac:dyDescent="0.3">
      <c r="A227">
        <v>58</v>
      </c>
      <c r="B227" t="s">
        <v>987</v>
      </c>
      <c r="C227" t="s">
        <v>144</v>
      </c>
      <c r="D227" t="s">
        <v>145</v>
      </c>
      <c r="E227" s="45">
        <v>5525</v>
      </c>
      <c r="F227" s="151" t="s">
        <v>955</v>
      </c>
      <c r="G227" t="s">
        <v>580</v>
      </c>
      <c r="I227" s="152" t="s">
        <v>1010</v>
      </c>
    </row>
    <row r="228" spans="1:9" customFormat="1" ht="14.4" x14ac:dyDescent="0.3">
      <c r="A228">
        <v>57</v>
      </c>
      <c r="B228" t="s">
        <v>987</v>
      </c>
      <c r="C228" t="s">
        <v>988</v>
      </c>
      <c r="D228" t="s">
        <v>126</v>
      </c>
      <c r="E228" s="45">
        <v>-380</v>
      </c>
      <c r="F228" t="s">
        <v>39</v>
      </c>
      <c r="G228" t="s">
        <v>580</v>
      </c>
      <c r="H228" t="s">
        <v>118</v>
      </c>
      <c r="I228" s="152"/>
    </row>
    <row r="229" spans="1:9" customFormat="1" ht="14.4" x14ac:dyDescent="0.3">
      <c r="A229">
        <v>56</v>
      </c>
      <c r="B229" t="s">
        <v>987</v>
      </c>
      <c r="C229" t="s">
        <v>984</v>
      </c>
      <c r="D229" t="s">
        <v>126</v>
      </c>
      <c r="E229" s="45">
        <v>-790</v>
      </c>
      <c r="F229" t="s">
        <v>39</v>
      </c>
      <c r="G229" t="s">
        <v>1002</v>
      </c>
      <c r="H229" t="s">
        <v>1002</v>
      </c>
      <c r="I229" s="152"/>
    </row>
    <row r="230" spans="1:9" customFormat="1" ht="28.8" x14ac:dyDescent="0.3">
      <c r="A230">
        <v>55</v>
      </c>
      <c r="B230" t="s">
        <v>989</v>
      </c>
      <c r="C230" t="s">
        <v>144</v>
      </c>
      <c r="D230" t="s">
        <v>145</v>
      </c>
      <c r="E230" s="160">
        <v>19750</v>
      </c>
      <c r="F230" s="151" t="s">
        <v>955</v>
      </c>
      <c r="I230" s="152" t="s">
        <v>1007</v>
      </c>
    </row>
    <row r="231" spans="1:9" customFormat="1" ht="14.4" x14ac:dyDescent="0.3">
      <c r="A231">
        <v>54</v>
      </c>
      <c r="B231" t="s">
        <v>989</v>
      </c>
      <c r="C231" t="s">
        <v>838</v>
      </c>
      <c r="D231" t="s">
        <v>101</v>
      </c>
      <c r="E231" s="45">
        <v>-149</v>
      </c>
      <c r="F231" t="s">
        <v>46</v>
      </c>
      <c r="G231" t="s">
        <v>586</v>
      </c>
      <c r="H231" t="s">
        <v>586</v>
      </c>
      <c r="I231" s="152"/>
    </row>
    <row r="232" spans="1:9" customFormat="1" ht="14.4" x14ac:dyDescent="0.3">
      <c r="A232">
        <v>53</v>
      </c>
      <c r="B232" t="s">
        <v>990</v>
      </c>
      <c r="C232" t="s">
        <v>928</v>
      </c>
      <c r="D232" t="s">
        <v>126</v>
      </c>
      <c r="E232" s="45">
        <v>-380</v>
      </c>
      <c r="F232" t="s">
        <v>39</v>
      </c>
      <c r="G232" t="s">
        <v>580</v>
      </c>
      <c r="H232" t="s">
        <v>594</v>
      </c>
      <c r="I232" s="152"/>
    </row>
    <row r="233" spans="1:9" customFormat="1" ht="14.4" x14ac:dyDescent="0.3">
      <c r="A233">
        <v>52</v>
      </c>
      <c r="B233" t="s">
        <v>991</v>
      </c>
      <c r="C233" t="s">
        <v>144</v>
      </c>
      <c r="D233" t="s">
        <v>145</v>
      </c>
      <c r="E233" s="45">
        <v>6750</v>
      </c>
      <c r="F233" s="65" t="s">
        <v>52</v>
      </c>
      <c r="G233" t="s">
        <v>1002</v>
      </c>
      <c r="H233" s="151" t="s">
        <v>1006</v>
      </c>
      <c r="I233" s="152"/>
    </row>
    <row r="234" spans="1:9" customFormat="1" ht="14.4" x14ac:dyDescent="0.3">
      <c r="A234">
        <v>51</v>
      </c>
      <c r="B234" t="s">
        <v>991</v>
      </c>
      <c r="C234" t="s">
        <v>992</v>
      </c>
      <c r="D234" t="s">
        <v>284</v>
      </c>
      <c r="E234" s="45">
        <v>300</v>
      </c>
      <c r="F234" s="65" t="s">
        <v>52</v>
      </c>
      <c r="G234" t="s">
        <v>580</v>
      </c>
      <c r="H234" s="151" t="s">
        <v>342</v>
      </c>
      <c r="I234" s="152"/>
    </row>
    <row r="235" spans="1:9" customFormat="1" ht="14.4" x14ac:dyDescent="0.3">
      <c r="A235">
        <v>50</v>
      </c>
      <c r="B235" t="s">
        <v>993</v>
      </c>
      <c r="C235" t="s">
        <v>144</v>
      </c>
      <c r="D235" t="s">
        <v>145</v>
      </c>
      <c r="E235" s="45">
        <v>8100</v>
      </c>
      <c r="F235" s="65" t="s">
        <v>52</v>
      </c>
      <c r="G235" t="s">
        <v>580</v>
      </c>
      <c r="H235" s="151" t="s">
        <v>858</v>
      </c>
      <c r="I235" s="152"/>
    </row>
    <row r="236" spans="1:9" customFormat="1" ht="14.4" x14ac:dyDescent="0.3">
      <c r="A236">
        <v>49</v>
      </c>
      <c r="B236" t="s">
        <v>993</v>
      </c>
      <c r="C236" t="s">
        <v>994</v>
      </c>
      <c r="D236" t="s">
        <v>101</v>
      </c>
      <c r="E236" s="45">
        <v>-412</v>
      </c>
      <c r="F236" t="s">
        <v>46</v>
      </c>
      <c r="G236" t="s">
        <v>586</v>
      </c>
      <c r="H236" t="s">
        <v>586</v>
      </c>
      <c r="I236" s="152"/>
    </row>
    <row r="237" spans="1:9" customFormat="1" ht="14.4" x14ac:dyDescent="0.3">
      <c r="A237">
        <v>48</v>
      </c>
      <c r="B237" t="s">
        <v>993</v>
      </c>
      <c r="C237" t="s">
        <v>995</v>
      </c>
      <c r="D237" t="s">
        <v>126</v>
      </c>
      <c r="E237" s="45">
        <v>-280</v>
      </c>
      <c r="F237" t="s">
        <v>39</v>
      </c>
      <c r="G237" t="s">
        <v>586</v>
      </c>
      <c r="H237" t="s">
        <v>586</v>
      </c>
      <c r="I237" s="152"/>
    </row>
    <row r="238" spans="1:9" customFormat="1" ht="14.4" x14ac:dyDescent="0.3">
      <c r="A238">
        <v>47</v>
      </c>
      <c r="B238" t="s">
        <v>993</v>
      </c>
      <c r="C238" t="s">
        <v>996</v>
      </c>
      <c r="D238" t="s">
        <v>126</v>
      </c>
      <c r="E238" s="45">
        <v>-850</v>
      </c>
      <c r="F238" t="s">
        <v>39</v>
      </c>
      <c r="G238" t="s">
        <v>580</v>
      </c>
      <c r="H238" t="s">
        <v>582</v>
      </c>
      <c r="I238" s="152"/>
    </row>
    <row r="239" spans="1:9" customFormat="1" ht="14.4" x14ac:dyDescent="0.3">
      <c r="A239">
        <v>46</v>
      </c>
      <c r="B239" t="s">
        <v>993</v>
      </c>
      <c r="C239" t="s">
        <v>997</v>
      </c>
      <c r="D239" t="s">
        <v>126</v>
      </c>
      <c r="E239" s="45">
        <v>-290</v>
      </c>
      <c r="F239" t="s">
        <v>39</v>
      </c>
      <c r="G239" t="s">
        <v>580</v>
      </c>
      <c r="H239" t="s">
        <v>1001</v>
      </c>
      <c r="I239" s="152"/>
    </row>
    <row r="240" spans="1:9" customFormat="1" ht="14.4" x14ac:dyDescent="0.3">
      <c r="A240">
        <v>45</v>
      </c>
      <c r="B240" t="s">
        <v>993</v>
      </c>
      <c r="C240" t="s">
        <v>929</v>
      </c>
      <c r="D240" t="s">
        <v>126</v>
      </c>
      <c r="E240" s="45">
        <v>-410</v>
      </c>
      <c r="F240" t="s">
        <v>39</v>
      </c>
      <c r="G240" t="s">
        <v>580</v>
      </c>
      <c r="H240" t="s">
        <v>251</v>
      </c>
      <c r="I240" s="152"/>
    </row>
    <row r="241" spans="1:9" customFormat="1" ht="14.4" x14ac:dyDescent="0.3">
      <c r="A241">
        <v>44</v>
      </c>
      <c r="B241" t="s">
        <v>993</v>
      </c>
      <c r="C241" t="s">
        <v>998</v>
      </c>
      <c r="D241" t="s">
        <v>126</v>
      </c>
      <c r="E241" s="45">
        <v>-870</v>
      </c>
      <c r="F241" t="s">
        <v>39</v>
      </c>
      <c r="G241" t="s">
        <v>580</v>
      </c>
      <c r="H241" t="s">
        <v>438</v>
      </c>
      <c r="I241" s="152"/>
    </row>
    <row r="242" spans="1:9" customFormat="1" ht="14.4" x14ac:dyDescent="0.3">
      <c r="A242">
        <v>43</v>
      </c>
      <c r="B242" t="s">
        <v>993</v>
      </c>
      <c r="C242" t="s">
        <v>508</v>
      </c>
      <c r="D242" t="s">
        <v>122</v>
      </c>
      <c r="E242" s="45">
        <v>-1784.84</v>
      </c>
      <c r="F242" t="s">
        <v>508</v>
      </c>
      <c r="G242" t="s">
        <v>107</v>
      </c>
      <c r="I242" s="152"/>
    </row>
    <row r="243" spans="1:9" customFormat="1" ht="14.4" x14ac:dyDescent="0.3">
      <c r="A243">
        <v>42</v>
      </c>
      <c r="B243" t="s">
        <v>999</v>
      </c>
      <c r="C243" t="s">
        <v>144</v>
      </c>
      <c r="D243" t="s">
        <v>145</v>
      </c>
      <c r="E243" s="45">
        <v>3100</v>
      </c>
      <c r="F243" s="65" t="s">
        <v>52</v>
      </c>
      <c r="G243" t="s">
        <v>580</v>
      </c>
      <c r="H243" s="151" t="s">
        <v>1005</v>
      </c>
      <c r="I243" s="152"/>
    </row>
    <row r="244" spans="1:9" customFormat="1" ht="14.4" x14ac:dyDescent="0.3">
      <c r="A244">
        <v>41</v>
      </c>
      <c r="B244" t="s">
        <v>1000</v>
      </c>
      <c r="C244" t="s">
        <v>144</v>
      </c>
      <c r="D244" t="s">
        <v>145</v>
      </c>
      <c r="E244" s="45">
        <v>12400</v>
      </c>
      <c r="F244" s="65" t="s">
        <v>52</v>
      </c>
      <c r="G244" t="s">
        <v>580</v>
      </c>
      <c r="H244" s="151" t="s">
        <v>1004</v>
      </c>
      <c r="I244" s="152"/>
    </row>
    <row r="245" spans="1:9" customFormat="1" ht="15" thickBot="1" x14ac:dyDescent="0.35">
      <c r="A245" s="166"/>
      <c r="B245" s="185" t="s">
        <v>1000</v>
      </c>
      <c r="C245" s="185" t="s">
        <v>285</v>
      </c>
      <c r="D245" s="185" t="s">
        <v>126</v>
      </c>
      <c r="E245" s="186">
        <v>-60000</v>
      </c>
      <c r="F245" s="185" t="s">
        <v>285</v>
      </c>
      <c r="G245" s="185"/>
      <c r="H245" s="185"/>
      <c r="I245" s="152"/>
    </row>
    <row r="246" spans="1:9" customFormat="1" ht="14.4" x14ac:dyDescent="0.3">
      <c r="A246">
        <v>40</v>
      </c>
      <c r="B246" t="s">
        <v>924</v>
      </c>
      <c r="C246" t="s">
        <v>144</v>
      </c>
      <c r="D246" t="s">
        <v>145</v>
      </c>
      <c r="E246" s="45">
        <v>8100</v>
      </c>
      <c r="F246" t="s">
        <v>52</v>
      </c>
      <c r="G246" t="s">
        <v>580</v>
      </c>
      <c r="H246" s="151" t="s">
        <v>342</v>
      </c>
      <c r="I246" s="152"/>
    </row>
    <row r="247" spans="1:9" customFormat="1" ht="14.4" x14ac:dyDescent="0.3">
      <c r="A247">
        <v>39</v>
      </c>
      <c r="B247" t="s">
        <v>925</v>
      </c>
      <c r="C247" t="s">
        <v>144</v>
      </c>
      <c r="D247" t="s">
        <v>145</v>
      </c>
      <c r="E247" s="45">
        <v>6550</v>
      </c>
      <c r="F247" t="s">
        <v>52</v>
      </c>
      <c r="G247" t="s">
        <v>580</v>
      </c>
      <c r="H247" s="151" t="s">
        <v>590</v>
      </c>
      <c r="I247" s="152"/>
    </row>
    <row r="248" spans="1:9" customFormat="1" ht="14.4" x14ac:dyDescent="0.3">
      <c r="A248">
        <v>38</v>
      </c>
      <c r="B248" t="s">
        <v>926</v>
      </c>
      <c r="C248" t="s">
        <v>144</v>
      </c>
      <c r="D248" t="s">
        <v>145</v>
      </c>
      <c r="E248" s="45">
        <v>4200</v>
      </c>
      <c r="F248" t="s">
        <v>52</v>
      </c>
      <c r="G248" t="s">
        <v>580</v>
      </c>
      <c r="H248" s="151" t="s">
        <v>583</v>
      </c>
      <c r="I248" s="152"/>
    </row>
    <row r="249" spans="1:9" customFormat="1" ht="14.4" x14ac:dyDescent="0.3">
      <c r="A249">
        <v>37</v>
      </c>
      <c r="B249" t="s">
        <v>926</v>
      </c>
      <c r="C249" t="s">
        <v>927</v>
      </c>
      <c r="D249" t="s">
        <v>126</v>
      </c>
      <c r="E249" s="45">
        <v>-165</v>
      </c>
      <c r="F249" t="s">
        <v>39</v>
      </c>
      <c r="G249" t="s">
        <v>580</v>
      </c>
      <c r="H249" t="s">
        <v>590</v>
      </c>
      <c r="I249" s="152"/>
    </row>
    <row r="250" spans="1:9" customFormat="1" ht="14.4" x14ac:dyDescent="0.3">
      <c r="A250">
        <v>36</v>
      </c>
      <c r="B250" t="s">
        <v>926</v>
      </c>
      <c r="C250" t="s">
        <v>928</v>
      </c>
      <c r="D250" t="s">
        <v>126</v>
      </c>
      <c r="E250" s="45">
        <v>-550</v>
      </c>
      <c r="F250" t="s">
        <v>39</v>
      </c>
      <c r="G250" t="s">
        <v>580</v>
      </c>
      <c r="H250" t="s">
        <v>438</v>
      </c>
      <c r="I250" s="152"/>
    </row>
    <row r="251" spans="1:9" customFormat="1" ht="14.4" x14ac:dyDescent="0.3">
      <c r="A251">
        <v>35</v>
      </c>
      <c r="B251" t="s">
        <v>926</v>
      </c>
      <c r="C251" t="s">
        <v>929</v>
      </c>
      <c r="D251" t="s">
        <v>126</v>
      </c>
      <c r="E251" s="45">
        <v>-545</v>
      </c>
      <c r="F251" t="s">
        <v>39</v>
      </c>
      <c r="G251" t="s">
        <v>580</v>
      </c>
      <c r="H251" t="s">
        <v>251</v>
      </c>
      <c r="I251" s="152"/>
    </row>
    <row r="252" spans="1:9" customFormat="1" ht="14.4" x14ac:dyDescent="0.3">
      <c r="A252">
        <v>34</v>
      </c>
      <c r="B252" t="s">
        <v>926</v>
      </c>
      <c r="C252" t="s">
        <v>930</v>
      </c>
      <c r="D252" t="s">
        <v>101</v>
      </c>
      <c r="E252" s="45">
        <v>-438</v>
      </c>
      <c r="F252" t="s">
        <v>46</v>
      </c>
      <c r="G252" t="s">
        <v>107</v>
      </c>
      <c r="I252" s="152"/>
    </row>
    <row r="253" spans="1:9" customFormat="1" ht="14.4" x14ac:dyDescent="0.3">
      <c r="A253">
        <v>33</v>
      </c>
      <c r="B253" t="s">
        <v>931</v>
      </c>
      <c r="C253" t="s">
        <v>144</v>
      </c>
      <c r="D253" t="s">
        <v>145</v>
      </c>
      <c r="E253" s="45">
        <v>6000</v>
      </c>
      <c r="F253" t="s">
        <v>52</v>
      </c>
      <c r="G253" t="s">
        <v>580</v>
      </c>
      <c r="H253" s="151" t="s">
        <v>594</v>
      </c>
      <c r="I253" s="152"/>
    </row>
    <row r="254" spans="1:9" customFormat="1" ht="14.4" x14ac:dyDescent="0.3">
      <c r="A254">
        <v>32</v>
      </c>
      <c r="B254" t="s">
        <v>932</v>
      </c>
      <c r="C254" t="s">
        <v>144</v>
      </c>
      <c r="D254" t="s">
        <v>145</v>
      </c>
      <c r="E254" s="45">
        <v>9280</v>
      </c>
      <c r="F254" t="s">
        <v>52</v>
      </c>
      <c r="G254" t="s">
        <v>580</v>
      </c>
      <c r="H254" s="151" t="s">
        <v>438</v>
      </c>
      <c r="I254" s="171" t="s">
        <v>933</v>
      </c>
    </row>
    <row r="255" spans="1:9" customFormat="1" ht="14.4" x14ac:dyDescent="0.3">
      <c r="A255">
        <v>31</v>
      </c>
      <c r="B255" t="s">
        <v>932</v>
      </c>
      <c r="C255" t="s">
        <v>154</v>
      </c>
      <c r="D255" t="s">
        <v>101</v>
      </c>
      <c r="E255" s="45">
        <v>-12750</v>
      </c>
      <c r="F255" t="s">
        <v>154</v>
      </c>
      <c r="I255" s="152" t="s">
        <v>973</v>
      </c>
    </row>
    <row r="256" spans="1:9" customFormat="1" ht="14.4" x14ac:dyDescent="0.3">
      <c r="A256">
        <v>30</v>
      </c>
      <c r="B256" t="s">
        <v>932</v>
      </c>
      <c r="C256" t="s">
        <v>934</v>
      </c>
      <c r="D256" t="s">
        <v>101</v>
      </c>
      <c r="E256" s="45">
        <v>-1000</v>
      </c>
      <c r="F256" t="s">
        <v>36</v>
      </c>
      <c r="G256" t="s">
        <v>580</v>
      </c>
      <c r="H256" t="s">
        <v>582</v>
      </c>
      <c r="I256" s="152"/>
    </row>
    <row r="257" spans="1:9" customFormat="1" ht="14.4" x14ac:dyDescent="0.3">
      <c r="A257">
        <v>29</v>
      </c>
      <c r="B257" t="s">
        <v>935</v>
      </c>
      <c r="C257" t="s">
        <v>144</v>
      </c>
      <c r="D257" t="s">
        <v>145</v>
      </c>
      <c r="E257" s="45">
        <v>5000</v>
      </c>
      <c r="F257" t="s">
        <v>24</v>
      </c>
      <c r="G257" t="s">
        <v>107</v>
      </c>
      <c r="H257" s="151" t="s">
        <v>1013</v>
      </c>
      <c r="I257" s="152"/>
    </row>
    <row r="258" spans="1:9" customFormat="1" ht="14.4" x14ac:dyDescent="0.3">
      <c r="A258">
        <v>28</v>
      </c>
      <c r="B258" t="s">
        <v>935</v>
      </c>
      <c r="C258" t="s">
        <v>513</v>
      </c>
      <c r="D258" t="s">
        <v>101</v>
      </c>
      <c r="E258" s="45">
        <v>-65</v>
      </c>
      <c r="F258" t="s">
        <v>46</v>
      </c>
      <c r="G258" t="s">
        <v>586</v>
      </c>
      <c r="H258" t="s">
        <v>586</v>
      </c>
      <c r="I258" s="152"/>
    </row>
    <row r="259" spans="1:9" customFormat="1" ht="14.4" x14ac:dyDescent="0.3">
      <c r="A259">
        <v>27</v>
      </c>
      <c r="B259" t="s">
        <v>936</v>
      </c>
      <c r="C259" t="s">
        <v>144</v>
      </c>
      <c r="D259" t="s">
        <v>145</v>
      </c>
      <c r="E259" s="45">
        <v>23000</v>
      </c>
      <c r="F259" t="s">
        <v>489</v>
      </c>
      <c r="G259" t="s">
        <v>937</v>
      </c>
      <c r="I259" s="152"/>
    </row>
    <row r="260" spans="1:9" customFormat="1" ht="14.4" x14ac:dyDescent="0.3">
      <c r="A260">
        <v>26</v>
      </c>
      <c r="B260" t="s">
        <v>938</v>
      </c>
      <c r="C260" t="s">
        <v>144</v>
      </c>
      <c r="D260" t="s">
        <v>145</v>
      </c>
      <c r="E260" s="45">
        <v>3240</v>
      </c>
      <c r="F260" t="s">
        <v>489</v>
      </c>
      <c r="G260" t="s">
        <v>580</v>
      </c>
      <c r="I260" s="152"/>
    </row>
    <row r="261" spans="1:9" customFormat="1" ht="14.4" x14ac:dyDescent="0.3">
      <c r="A261">
        <v>25</v>
      </c>
      <c r="B261" t="s">
        <v>939</v>
      </c>
      <c r="C261" t="s">
        <v>940</v>
      </c>
      <c r="D261" t="s">
        <v>101</v>
      </c>
      <c r="E261" s="45">
        <v>-562.5</v>
      </c>
      <c r="F261" t="s">
        <v>35</v>
      </c>
      <c r="G261" t="s">
        <v>580</v>
      </c>
      <c r="I261" s="152"/>
    </row>
    <row r="262" spans="1:9" customFormat="1" ht="14.4" x14ac:dyDescent="0.3">
      <c r="A262">
        <v>24</v>
      </c>
      <c r="B262" t="s">
        <v>939</v>
      </c>
      <c r="C262" t="s">
        <v>941</v>
      </c>
      <c r="D262" t="s">
        <v>126</v>
      </c>
      <c r="E262" s="45">
        <v>-260</v>
      </c>
      <c r="F262" t="s">
        <v>39</v>
      </c>
      <c r="G262" t="s">
        <v>580</v>
      </c>
      <c r="H262" t="s">
        <v>342</v>
      </c>
      <c r="I262" s="152"/>
    </row>
    <row r="263" spans="1:9" customFormat="1" ht="14.4" x14ac:dyDescent="0.3">
      <c r="A263">
        <v>23</v>
      </c>
      <c r="B263" t="s">
        <v>939</v>
      </c>
      <c r="C263" t="s">
        <v>942</v>
      </c>
      <c r="D263" t="s">
        <v>126</v>
      </c>
      <c r="E263" s="45">
        <v>-305</v>
      </c>
      <c r="F263" t="s">
        <v>39</v>
      </c>
      <c r="G263" t="s">
        <v>580</v>
      </c>
      <c r="H263" t="s">
        <v>342</v>
      </c>
      <c r="I263" s="152"/>
    </row>
    <row r="264" spans="1:9" customFormat="1" ht="14.4" x14ac:dyDescent="0.3">
      <c r="A264">
        <v>22</v>
      </c>
      <c r="B264" t="s">
        <v>939</v>
      </c>
      <c r="C264" t="s">
        <v>943</v>
      </c>
      <c r="D264" t="s">
        <v>126</v>
      </c>
      <c r="E264" s="45">
        <v>-1053</v>
      </c>
      <c r="F264" t="s">
        <v>46</v>
      </c>
      <c r="G264" t="s">
        <v>107</v>
      </c>
      <c r="I264" s="152"/>
    </row>
    <row r="265" spans="1:9" customFormat="1" ht="14.4" x14ac:dyDescent="0.3">
      <c r="A265">
        <v>21</v>
      </c>
      <c r="B265" t="s">
        <v>944</v>
      </c>
      <c r="C265" t="s">
        <v>144</v>
      </c>
      <c r="D265" t="s">
        <v>145</v>
      </c>
      <c r="E265" s="45">
        <v>8000</v>
      </c>
      <c r="F265" t="s">
        <v>24</v>
      </c>
      <c r="G265" t="s">
        <v>107</v>
      </c>
      <c r="H265" s="151" t="s">
        <v>1012</v>
      </c>
      <c r="I265" s="152"/>
    </row>
    <row r="266" spans="1:9" customFormat="1" ht="14.4" x14ac:dyDescent="0.3">
      <c r="A266">
        <v>20</v>
      </c>
      <c r="B266" t="s">
        <v>945</v>
      </c>
      <c r="C266" t="s">
        <v>45</v>
      </c>
      <c r="D266" t="s">
        <v>101</v>
      </c>
      <c r="E266" s="45">
        <v>-17258</v>
      </c>
      <c r="F266" t="s">
        <v>45</v>
      </c>
      <c r="G266" t="s">
        <v>107</v>
      </c>
      <c r="I266" s="152"/>
    </row>
    <row r="267" spans="1:9" customFormat="1" ht="14.4" x14ac:dyDescent="0.3">
      <c r="A267">
        <v>19</v>
      </c>
      <c r="B267" t="s">
        <v>946</v>
      </c>
      <c r="C267" t="s">
        <v>144</v>
      </c>
      <c r="D267" t="s">
        <v>145</v>
      </c>
      <c r="E267" s="45">
        <v>5000</v>
      </c>
      <c r="F267" t="s">
        <v>24</v>
      </c>
      <c r="G267" t="s">
        <v>107</v>
      </c>
      <c r="H267" s="151" t="s">
        <v>1011</v>
      </c>
      <c r="I267" s="152"/>
    </row>
    <row r="268" spans="1:9" customFormat="1" ht="14.4" x14ac:dyDescent="0.3">
      <c r="A268">
        <v>18</v>
      </c>
      <c r="B268" t="s">
        <v>947</v>
      </c>
      <c r="C268" t="s">
        <v>948</v>
      </c>
      <c r="D268" t="s">
        <v>122</v>
      </c>
      <c r="E268" s="45">
        <v>-4750</v>
      </c>
      <c r="F268" t="s">
        <v>154</v>
      </c>
      <c r="G268" t="s">
        <v>580</v>
      </c>
      <c r="I268" s="152"/>
    </row>
    <row r="269" spans="1:9" customFormat="1" ht="14.4" x14ac:dyDescent="0.3">
      <c r="A269">
        <v>17</v>
      </c>
      <c r="B269" t="s">
        <v>949</v>
      </c>
      <c r="C269" t="s">
        <v>513</v>
      </c>
      <c r="D269" t="s">
        <v>101</v>
      </c>
      <c r="E269" s="45">
        <v>-268</v>
      </c>
      <c r="F269" t="s">
        <v>46</v>
      </c>
      <c r="G269" t="s">
        <v>586</v>
      </c>
      <c r="H269" t="s">
        <v>586</v>
      </c>
      <c r="I269" s="152"/>
    </row>
    <row r="270" spans="1:9" customFormat="1" ht="14.4" x14ac:dyDescent="0.3">
      <c r="A270">
        <v>16</v>
      </c>
      <c r="B270" t="s">
        <v>949</v>
      </c>
      <c r="C270" t="s">
        <v>950</v>
      </c>
      <c r="D270" t="s">
        <v>101</v>
      </c>
      <c r="E270" s="45">
        <v>-300</v>
      </c>
      <c r="F270" t="s">
        <v>38</v>
      </c>
      <c r="G270" t="s">
        <v>580</v>
      </c>
      <c r="I270" s="152"/>
    </row>
    <row r="271" spans="1:9" customFormat="1" ht="14.4" x14ac:dyDescent="0.3">
      <c r="A271">
        <v>15</v>
      </c>
      <c r="B271" t="s">
        <v>949</v>
      </c>
      <c r="C271" t="s">
        <v>951</v>
      </c>
      <c r="D271" t="s">
        <v>126</v>
      </c>
      <c r="E271" s="45">
        <v>-535</v>
      </c>
      <c r="F271" t="s">
        <v>46</v>
      </c>
      <c r="G271" t="s">
        <v>580</v>
      </c>
      <c r="H271" t="s">
        <v>592</v>
      </c>
      <c r="I271" s="152"/>
    </row>
    <row r="272" spans="1:9" customFormat="1" ht="14.4" x14ac:dyDescent="0.3">
      <c r="A272">
        <v>14</v>
      </c>
      <c r="B272" t="s">
        <v>949</v>
      </c>
      <c r="C272" t="s">
        <v>952</v>
      </c>
      <c r="D272" t="s">
        <v>126</v>
      </c>
      <c r="E272" s="45">
        <v>-800</v>
      </c>
      <c r="F272" t="s">
        <v>36</v>
      </c>
      <c r="G272" t="s">
        <v>580</v>
      </c>
      <c r="H272" t="s">
        <v>858</v>
      </c>
      <c r="I272" s="152"/>
    </row>
    <row r="273" spans="1:9" customFormat="1" ht="14.4" x14ac:dyDescent="0.3">
      <c r="A273">
        <v>13</v>
      </c>
      <c r="B273" t="s">
        <v>953</v>
      </c>
      <c r="C273" t="s">
        <v>934</v>
      </c>
      <c r="D273" t="s">
        <v>126</v>
      </c>
      <c r="E273" s="45">
        <v>-1400</v>
      </c>
      <c r="F273" t="s">
        <v>36</v>
      </c>
      <c r="G273" t="s">
        <v>580</v>
      </c>
      <c r="H273" t="s">
        <v>582</v>
      </c>
      <c r="I273" s="152"/>
    </row>
    <row r="274" spans="1:9" customFormat="1" ht="57.6" x14ac:dyDescent="0.3">
      <c r="A274">
        <v>12</v>
      </c>
      <c r="B274" t="s">
        <v>954</v>
      </c>
      <c r="C274" t="s">
        <v>144</v>
      </c>
      <c r="D274" t="s">
        <v>145</v>
      </c>
      <c r="E274" s="45">
        <v>63060</v>
      </c>
      <c r="F274" s="151" t="s">
        <v>955</v>
      </c>
      <c r="I274" s="152" t="s">
        <v>968</v>
      </c>
    </row>
    <row r="275" spans="1:9" customFormat="1" ht="14.4" x14ac:dyDescent="0.3">
      <c r="A275">
        <v>11</v>
      </c>
      <c r="B275" t="s">
        <v>956</v>
      </c>
      <c r="C275" t="s">
        <v>957</v>
      </c>
      <c r="D275" t="s">
        <v>101</v>
      </c>
      <c r="E275" s="45">
        <v>-570</v>
      </c>
      <c r="F275" t="s">
        <v>493</v>
      </c>
      <c r="G275" t="s">
        <v>586</v>
      </c>
      <c r="H275" t="s">
        <v>586</v>
      </c>
      <c r="I275" s="152"/>
    </row>
    <row r="276" spans="1:9" customFormat="1" ht="14.4" x14ac:dyDescent="0.3">
      <c r="A276">
        <v>10</v>
      </c>
      <c r="B276" t="s">
        <v>956</v>
      </c>
      <c r="C276" t="s">
        <v>513</v>
      </c>
      <c r="D276" t="s">
        <v>101</v>
      </c>
      <c r="E276" s="45">
        <v>-321</v>
      </c>
      <c r="F276" t="s">
        <v>46</v>
      </c>
      <c r="G276" t="s">
        <v>586</v>
      </c>
      <c r="H276" t="s">
        <v>586</v>
      </c>
      <c r="I276" s="152"/>
    </row>
    <row r="277" spans="1:9" customFormat="1" ht="14.4" x14ac:dyDescent="0.3">
      <c r="A277">
        <v>9</v>
      </c>
      <c r="B277" t="s">
        <v>956</v>
      </c>
      <c r="C277" t="s">
        <v>838</v>
      </c>
      <c r="D277" t="s">
        <v>101</v>
      </c>
      <c r="E277" s="45">
        <v>-47</v>
      </c>
      <c r="F277" t="s">
        <v>46</v>
      </c>
      <c r="G277" t="s">
        <v>586</v>
      </c>
      <c r="H277" t="s">
        <v>586</v>
      </c>
      <c r="I277" s="152"/>
    </row>
    <row r="278" spans="1:9" customFormat="1" ht="14.4" x14ac:dyDescent="0.3">
      <c r="A278">
        <v>8</v>
      </c>
      <c r="B278" t="s">
        <v>958</v>
      </c>
      <c r="C278" t="s">
        <v>513</v>
      </c>
      <c r="D278" t="s">
        <v>101</v>
      </c>
      <c r="E278" s="45">
        <v>-666</v>
      </c>
      <c r="F278" t="s">
        <v>46</v>
      </c>
      <c r="G278" t="s">
        <v>586</v>
      </c>
      <c r="H278" t="s">
        <v>586</v>
      </c>
      <c r="I278" s="152"/>
    </row>
    <row r="279" spans="1:9" customFormat="1" ht="14.4" x14ac:dyDescent="0.3">
      <c r="A279">
        <v>7</v>
      </c>
      <c r="B279" t="s">
        <v>959</v>
      </c>
      <c r="C279" t="s">
        <v>513</v>
      </c>
      <c r="D279" t="s">
        <v>101</v>
      </c>
      <c r="E279" s="45">
        <v>-200</v>
      </c>
      <c r="F279" t="s">
        <v>46</v>
      </c>
      <c r="G279" t="s">
        <v>586</v>
      </c>
      <c r="H279" t="s">
        <v>586</v>
      </c>
      <c r="I279" s="152"/>
    </row>
    <row r="280" spans="1:9" customFormat="1" ht="14.4" x14ac:dyDescent="0.3">
      <c r="A280">
        <v>6</v>
      </c>
      <c r="B280" t="s">
        <v>960</v>
      </c>
      <c r="C280" t="s">
        <v>851</v>
      </c>
      <c r="D280" t="s">
        <v>101</v>
      </c>
      <c r="E280" s="45">
        <v>-1300</v>
      </c>
      <c r="F280" t="s">
        <v>36</v>
      </c>
      <c r="G280" t="s">
        <v>580</v>
      </c>
      <c r="H280" t="s">
        <v>592</v>
      </c>
      <c r="I280" s="152"/>
    </row>
    <row r="281" spans="1:9" customFormat="1" ht="14.4" x14ac:dyDescent="0.3">
      <c r="A281">
        <v>5</v>
      </c>
      <c r="B281" t="s">
        <v>961</v>
      </c>
      <c r="C281" t="s">
        <v>962</v>
      </c>
      <c r="D281" t="s">
        <v>126</v>
      </c>
      <c r="E281" s="45">
        <v>-1400</v>
      </c>
      <c r="F281" t="s">
        <v>36</v>
      </c>
      <c r="G281" t="s">
        <v>580</v>
      </c>
      <c r="H281" t="s">
        <v>342</v>
      </c>
      <c r="I281" s="152"/>
    </row>
    <row r="282" spans="1:9" customFormat="1" ht="14.4" x14ac:dyDescent="0.3">
      <c r="A282">
        <v>4</v>
      </c>
      <c r="B282" t="s">
        <v>963</v>
      </c>
      <c r="C282" t="s">
        <v>964</v>
      </c>
      <c r="D282" t="s">
        <v>122</v>
      </c>
      <c r="E282" s="45">
        <v>-250</v>
      </c>
      <c r="F282" t="s">
        <v>32</v>
      </c>
      <c r="G282" t="s">
        <v>107</v>
      </c>
      <c r="I282" s="152"/>
    </row>
    <row r="283" spans="1:9" customFormat="1" ht="14.4" x14ac:dyDescent="0.3">
      <c r="A283">
        <v>3</v>
      </c>
      <c r="B283" t="s">
        <v>965</v>
      </c>
      <c r="C283" t="s">
        <v>144</v>
      </c>
      <c r="D283" t="s">
        <v>145</v>
      </c>
      <c r="E283" s="45">
        <v>1300</v>
      </c>
      <c r="F283" t="s">
        <v>493</v>
      </c>
      <c r="G283" t="s">
        <v>107</v>
      </c>
      <c r="I283" s="152"/>
    </row>
    <row r="284" spans="1:9" customFormat="1" ht="14.4" x14ac:dyDescent="0.3">
      <c r="A284">
        <v>2</v>
      </c>
      <c r="B284" t="s">
        <v>966</v>
      </c>
      <c r="C284" t="s">
        <v>964</v>
      </c>
      <c r="D284" t="s">
        <v>574</v>
      </c>
      <c r="E284" s="45">
        <v>-774</v>
      </c>
      <c r="F284" t="s">
        <v>32</v>
      </c>
      <c r="G284" t="s">
        <v>107</v>
      </c>
      <c r="I284" s="152"/>
    </row>
    <row r="285" spans="1:9" customFormat="1" ht="15" thickBot="1" x14ac:dyDescent="0.35">
      <c r="A285">
        <v>1</v>
      </c>
      <c r="B285" s="54" t="s">
        <v>967</v>
      </c>
      <c r="C285" s="54" t="s">
        <v>35</v>
      </c>
      <c r="D285" s="54" t="s">
        <v>101</v>
      </c>
      <c r="E285" s="153">
        <v>-1531</v>
      </c>
      <c r="F285" s="54" t="s">
        <v>35</v>
      </c>
      <c r="G285" s="54" t="s">
        <v>580</v>
      </c>
      <c r="H285" s="54"/>
      <c r="I285" s="152"/>
    </row>
  </sheetData>
  <autoFilter ref="A1:J285" xr:uid="{00000000-0009-0000-0000-000028000000}"/>
  <pageMargins left="0.7" right="0.7" top="0.75" bottom="0.75" header="0.3" footer="0.3"/>
  <pageSetup scale="56" fitToHeight="4" orientation="portrait" horizontalDpi="300" verticalDpi="300" r:id="rId1"/>
  <headerFooter alignWithMargins="0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FFC000"/>
    <pageSetUpPr fitToPage="1"/>
  </sheetPr>
  <dimension ref="A1:G33"/>
  <sheetViews>
    <sheetView workbookViewId="0">
      <selection activeCell="E17" sqref="E17"/>
    </sheetView>
  </sheetViews>
  <sheetFormatPr defaultColWidth="9.109375" defaultRowHeight="14.4" x14ac:dyDescent="0.3"/>
  <cols>
    <col min="1" max="1" width="9.109375" style="1"/>
    <col min="2" max="2" width="39.6640625" style="1" customWidth="1"/>
    <col min="3" max="5" width="13.6640625" style="1" bestFit="1" customWidth="1"/>
    <col min="6" max="16384" width="9.109375" style="1"/>
  </cols>
  <sheetData>
    <row r="1" spans="1:7" ht="34.200000000000003" thickBot="1" x14ac:dyDescent="0.7">
      <c r="A1" s="193" t="s">
        <v>1337</v>
      </c>
      <c r="B1" s="194"/>
      <c r="C1" s="195"/>
      <c r="D1" s="195"/>
      <c r="E1" s="194"/>
    </row>
    <row r="2" spans="1:7" ht="18.75" customHeight="1" thickBot="1" x14ac:dyDescent="0.7">
      <c r="A2" s="135"/>
      <c r="B2" s="130"/>
      <c r="E2" s="136"/>
    </row>
    <row r="3" spans="1:7" ht="15" thickBot="1" x14ac:dyDescent="0.35">
      <c r="A3" s="124"/>
      <c r="C3" s="102" t="s">
        <v>0</v>
      </c>
      <c r="D3" s="102" t="s">
        <v>904</v>
      </c>
      <c r="E3" s="102" t="s">
        <v>2</v>
      </c>
    </row>
    <row r="4" spans="1:7" ht="15" thickBot="1" x14ac:dyDescent="0.35">
      <c r="A4" s="147" t="s">
        <v>905</v>
      </c>
      <c r="C4" s="103">
        <v>41640</v>
      </c>
      <c r="D4" s="104"/>
      <c r="E4" s="103">
        <v>42004</v>
      </c>
    </row>
    <row r="5" spans="1:7" x14ac:dyDescent="0.3">
      <c r="A5" s="124"/>
      <c r="E5" s="136"/>
    </row>
    <row r="6" spans="1:7" ht="15.6" x14ac:dyDescent="0.3">
      <c r="A6" s="146" t="s">
        <v>906</v>
      </c>
      <c r="E6" s="136"/>
    </row>
    <row r="7" spans="1:7" x14ac:dyDescent="0.3">
      <c r="A7" s="124"/>
      <c r="B7" s="1" t="s">
        <v>5</v>
      </c>
      <c r="C7" s="138">
        <v>105551</v>
      </c>
      <c r="D7" s="138">
        <v>-105551</v>
      </c>
      <c r="E7" s="139">
        <v>0</v>
      </c>
    </row>
    <row r="8" spans="1:7" ht="15" thickBot="1" x14ac:dyDescent="0.35">
      <c r="A8" s="124"/>
      <c r="B8" s="1" t="s">
        <v>6</v>
      </c>
      <c r="C8" s="105">
        <v>-105551</v>
      </c>
      <c r="D8" s="105">
        <v>105551</v>
      </c>
      <c r="E8" s="140">
        <f>C8+D8</f>
        <v>0</v>
      </c>
    </row>
    <row r="9" spans="1:7" x14ac:dyDescent="0.3">
      <c r="A9" s="137" t="s">
        <v>907</v>
      </c>
      <c r="C9" s="106">
        <f>SUM(C7:C8)</f>
        <v>0</v>
      </c>
      <c r="D9" s="106">
        <f>SUM(D7:D8)</f>
        <v>0</v>
      </c>
      <c r="E9" s="141">
        <f>SUM(E7:E8)</f>
        <v>0</v>
      </c>
    </row>
    <row r="10" spans="1:7" x14ac:dyDescent="0.3">
      <c r="A10" s="124"/>
      <c r="C10" s="138"/>
      <c r="D10" s="138"/>
      <c r="E10" s="139"/>
    </row>
    <row r="11" spans="1:7" ht="15.6" x14ac:dyDescent="0.3">
      <c r="A11" s="146" t="s">
        <v>9</v>
      </c>
      <c r="C11" s="138"/>
      <c r="D11" s="138"/>
      <c r="E11" s="139"/>
    </row>
    <row r="12" spans="1:7" x14ac:dyDescent="0.3">
      <c r="A12" s="124"/>
      <c r="B12" s="55" t="s">
        <v>921</v>
      </c>
      <c r="C12" s="138">
        <v>800</v>
      </c>
      <c r="D12" s="138">
        <f>+E12-C12</f>
        <v>0</v>
      </c>
      <c r="E12" s="139">
        <f>800</f>
        <v>800</v>
      </c>
    </row>
    <row r="13" spans="1:7" x14ac:dyDescent="0.3">
      <c r="A13" s="124"/>
      <c r="B13" s="55" t="s">
        <v>920</v>
      </c>
      <c r="C13" s="138">
        <v>-1560</v>
      </c>
      <c r="D13" s="138">
        <f>+E13-C13</f>
        <v>1560</v>
      </c>
      <c r="E13" s="139">
        <v>0</v>
      </c>
    </row>
    <row r="14" spans="1:7" x14ac:dyDescent="0.3">
      <c r="A14" s="124"/>
      <c r="B14" s="55" t="s">
        <v>908</v>
      </c>
      <c r="C14" s="138">
        <v>2253.7399999999998</v>
      </c>
      <c r="D14" s="138">
        <f>+E14-C14</f>
        <v>234</v>
      </c>
      <c r="E14" s="139">
        <v>2487.7399999999998</v>
      </c>
    </row>
    <row r="15" spans="1:7" x14ac:dyDescent="0.3">
      <c r="A15" s="124"/>
      <c r="B15" s="55" t="s">
        <v>909</v>
      </c>
      <c r="C15" s="138">
        <v>8631.23</v>
      </c>
      <c r="D15" s="138">
        <f>+E15-C15</f>
        <v>21193.68</v>
      </c>
      <c r="E15" s="184">
        <v>29824.91</v>
      </c>
    </row>
    <row r="16" spans="1:7" ht="15" thickBot="1" x14ac:dyDescent="0.35">
      <c r="A16" s="124"/>
      <c r="B16" s="55" t="s">
        <v>910</v>
      </c>
      <c r="C16" s="107">
        <v>18499.650000000001</v>
      </c>
      <c r="D16" s="105">
        <f>+E16-C16</f>
        <v>50071.469999999994</v>
      </c>
      <c r="E16" s="142">
        <v>68571.12</v>
      </c>
      <c r="G16" s="2"/>
    </row>
    <row r="17" spans="1:5" x14ac:dyDescent="0.3">
      <c r="A17" s="137" t="s">
        <v>14</v>
      </c>
      <c r="C17" s="106">
        <f>SUM(C12:C16)</f>
        <v>28624.620000000003</v>
      </c>
      <c r="D17" s="106">
        <f>SUM(D12:D16)</f>
        <v>73059.149999999994</v>
      </c>
      <c r="E17" s="141">
        <f>SUM(E12:E16)</f>
        <v>101683.76999999999</v>
      </c>
    </row>
    <row r="18" spans="1:5" x14ac:dyDescent="0.3">
      <c r="A18" s="124"/>
      <c r="C18" s="138"/>
      <c r="D18" s="138"/>
      <c r="E18" s="139"/>
    </row>
    <row r="19" spans="1:5" ht="15.6" x14ac:dyDescent="0.3">
      <c r="A19" s="146" t="s">
        <v>911</v>
      </c>
      <c r="C19" s="138"/>
      <c r="D19" s="138"/>
      <c r="E19" s="139"/>
    </row>
    <row r="20" spans="1:5" ht="15" thickBot="1" x14ac:dyDescent="0.35">
      <c r="A20" s="122"/>
      <c r="B20" s="55" t="s">
        <v>912</v>
      </c>
      <c r="C20" s="107">
        <v>50000</v>
      </c>
      <c r="D20" s="105">
        <f>+E20-C20</f>
        <v>-50000</v>
      </c>
      <c r="E20" s="142">
        <v>0</v>
      </c>
    </row>
    <row r="21" spans="1:5" x14ac:dyDescent="0.3">
      <c r="A21" s="137" t="s">
        <v>913</v>
      </c>
      <c r="C21" s="106">
        <f>SUM(C20:C20)</f>
        <v>50000</v>
      </c>
      <c r="D21" s="106">
        <f>SUM(D20:D20)</f>
        <v>-50000</v>
      </c>
      <c r="E21" s="141">
        <f>SUM(E20:E20)</f>
        <v>0</v>
      </c>
    </row>
    <row r="22" spans="1:5" x14ac:dyDescent="0.3">
      <c r="A22" s="124"/>
      <c r="C22" s="138"/>
      <c r="D22" s="138"/>
      <c r="E22" s="139"/>
    </row>
    <row r="23" spans="1:5" s="58" customFormat="1" ht="15" thickBot="1" x14ac:dyDescent="0.35">
      <c r="A23" s="143" t="s">
        <v>15</v>
      </c>
      <c r="C23" s="108">
        <f>+C9+C17+C21</f>
        <v>78624.62</v>
      </c>
      <c r="D23" s="108">
        <f>+E23-C23</f>
        <v>23059.149999999994</v>
      </c>
      <c r="E23" s="144">
        <f>+E9+E17+E20</f>
        <v>101683.76999999999</v>
      </c>
    </row>
    <row r="24" spans="1:5" ht="15" thickTop="1" x14ac:dyDescent="0.3">
      <c r="A24" s="124"/>
      <c r="C24" s="138"/>
      <c r="D24" s="138"/>
      <c r="E24" s="139"/>
    </row>
    <row r="25" spans="1:5" x14ac:dyDescent="0.3">
      <c r="A25" s="124"/>
      <c r="C25" s="138"/>
      <c r="D25" s="138"/>
      <c r="E25" s="139"/>
    </row>
    <row r="26" spans="1:5" x14ac:dyDescent="0.3">
      <c r="A26" s="147" t="s">
        <v>923</v>
      </c>
      <c r="C26" s="138"/>
      <c r="D26" s="138"/>
      <c r="E26" s="139"/>
    </row>
    <row r="27" spans="1:5" x14ac:dyDescent="0.3">
      <c r="A27" s="124"/>
      <c r="C27" s="138"/>
      <c r="D27" s="138"/>
      <c r="E27" s="139"/>
    </row>
    <row r="28" spans="1:5" ht="15.6" x14ac:dyDescent="0.3">
      <c r="A28" s="146" t="s">
        <v>8</v>
      </c>
      <c r="C28" s="138"/>
      <c r="D28" s="138"/>
      <c r="E28" s="139"/>
    </row>
    <row r="29" spans="1:5" ht="15" thickBot="1" x14ac:dyDescent="0.35">
      <c r="A29" s="124"/>
      <c r="B29" s="55" t="s">
        <v>8</v>
      </c>
      <c r="C29" s="105">
        <v>78624.62</v>
      </c>
      <c r="D29" s="105">
        <f>+E29-C29</f>
        <v>23059.150000000009</v>
      </c>
      <c r="E29" s="140">
        <v>101683.77</v>
      </c>
    </row>
    <row r="30" spans="1:5" x14ac:dyDescent="0.3">
      <c r="A30" s="137" t="s">
        <v>914</v>
      </c>
      <c r="C30" s="106">
        <f>SUM(C29:C29)</f>
        <v>78624.62</v>
      </c>
      <c r="D30" s="106">
        <f>SUM(D29:D29)</f>
        <v>23059.150000000009</v>
      </c>
      <c r="E30" s="141">
        <f>SUM(E29:E29)</f>
        <v>101683.77</v>
      </c>
    </row>
    <row r="31" spans="1:5" x14ac:dyDescent="0.3">
      <c r="A31" s="124"/>
      <c r="E31" s="136"/>
    </row>
    <row r="32" spans="1:5" s="58" customFormat="1" ht="15" thickBot="1" x14ac:dyDescent="0.35">
      <c r="A32" s="143" t="s">
        <v>915</v>
      </c>
      <c r="C32" s="108">
        <f>+C30</f>
        <v>78624.62</v>
      </c>
      <c r="D32" s="108">
        <f>+D30</f>
        <v>23059.150000000009</v>
      </c>
      <c r="E32" s="144">
        <f>+E30</f>
        <v>101683.77</v>
      </c>
    </row>
    <row r="33" spans="1:5" ht="15.6" thickTop="1" thickBot="1" x14ac:dyDescent="0.35">
      <c r="A33" s="125"/>
      <c r="B33" s="126"/>
      <c r="C33" s="126"/>
      <c r="D33" s="126"/>
      <c r="E33" s="145"/>
    </row>
  </sheetData>
  <pageMargins left="1.18" right="0.7" top="0.75" bottom="0.75" header="0.3" footer="0.3"/>
  <pageSetup paperSize="9" scale="90" orientation="portrait"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FF0000"/>
    <pageSetUpPr fitToPage="1"/>
  </sheetPr>
  <dimension ref="A1:M52"/>
  <sheetViews>
    <sheetView workbookViewId="0"/>
  </sheetViews>
  <sheetFormatPr defaultColWidth="9.109375" defaultRowHeight="15.6" x14ac:dyDescent="0.3"/>
  <cols>
    <col min="1" max="1" width="30.6640625" style="4" bestFit="1" customWidth="1"/>
    <col min="2" max="7" width="14.33203125" style="4" customWidth="1"/>
    <col min="8" max="8" width="16.44140625" style="1" customWidth="1"/>
    <col min="9" max="9" width="18.5546875" style="1" bestFit="1" customWidth="1"/>
    <col min="10" max="10" width="27" style="196" customWidth="1"/>
    <col min="11" max="11" width="16" style="155" customWidth="1"/>
    <col min="12" max="16384" width="9.109375" style="1"/>
  </cols>
  <sheetData>
    <row r="1" spans="1:11" ht="31.8" thickBot="1" x14ac:dyDescent="0.65">
      <c r="A1" s="64" t="s">
        <v>486</v>
      </c>
      <c r="B1" s="61" t="s">
        <v>487</v>
      </c>
      <c r="C1" s="62"/>
      <c r="D1" s="63"/>
      <c r="E1" s="1"/>
    </row>
    <row r="2" spans="1:11" ht="16.2" thickBot="1" x14ac:dyDescent="0.35"/>
    <row r="3" spans="1:11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43" t="s">
        <v>971</v>
      </c>
      <c r="I3" s="44" t="s">
        <v>922</v>
      </c>
      <c r="J3" s="156"/>
      <c r="K3" s="156"/>
    </row>
    <row r="4" spans="1:11" s="35" customFormat="1" ht="16.2" thickBot="1" x14ac:dyDescent="0.35">
      <c r="A4" s="34"/>
      <c r="B4" s="34"/>
      <c r="C4" s="34"/>
      <c r="D4" s="34"/>
      <c r="E4" s="34"/>
      <c r="F4" s="34"/>
      <c r="G4" s="34"/>
      <c r="H4" s="110">
        <v>42004</v>
      </c>
      <c r="I4" s="36"/>
      <c r="J4" s="156"/>
      <c r="K4" s="156"/>
    </row>
    <row r="5" spans="1:11" ht="16.2" thickBot="1" x14ac:dyDescent="0.35">
      <c r="A5" s="32" t="s">
        <v>19</v>
      </c>
      <c r="B5" s="10"/>
      <c r="C5" s="7"/>
      <c r="D5" s="7"/>
      <c r="H5" s="111"/>
      <c r="I5" s="8"/>
      <c r="J5" s="155"/>
    </row>
    <row r="6" spans="1:11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9">
        <f>86803-50000+10296+1600+71002+27247</f>
        <v>146948</v>
      </c>
      <c r="I6" s="190">
        <v>100000</v>
      </c>
      <c r="J6" s="157"/>
    </row>
    <row r="7" spans="1:11" x14ac:dyDescent="0.3">
      <c r="A7" s="4" t="s">
        <v>492</v>
      </c>
      <c r="B7" s="38">
        <v>500</v>
      </c>
      <c r="C7" s="38">
        <v>85850</v>
      </c>
      <c r="D7" s="38">
        <v>62250</v>
      </c>
      <c r="E7" s="38">
        <v>66900</v>
      </c>
      <c r="F7" s="38">
        <v>91100</v>
      </c>
      <c r="G7" s="38">
        <v>83700</v>
      </c>
      <c r="H7" s="9">
        <v>94424</v>
      </c>
      <c r="I7" s="190">
        <v>85000</v>
      </c>
      <c r="J7" s="155"/>
    </row>
    <row r="8" spans="1:11" ht="55.2" x14ac:dyDescent="0.3">
      <c r="A8" s="4" t="s">
        <v>22</v>
      </c>
      <c r="B8" s="38">
        <v>46200</v>
      </c>
      <c r="C8" s="38">
        <v>38350</v>
      </c>
      <c r="D8" s="38">
        <v>45250</v>
      </c>
      <c r="E8" s="38">
        <v>41550</v>
      </c>
      <c r="F8" s="38">
        <v>70983</v>
      </c>
      <c r="G8" s="38">
        <v>67300</v>
      </c>
      <c r="H8" s="9">
        <f>8000+6000+4250+6550+8100+12400+3100+8100+300+6750+800+5250+4950+1600+2900+400+300+3200+2250+400+900+600+1200+150+300+400+750+17500-50</f>
        <v>107350</v>
      </c>
      <c r="I8" s="190">
        <v>100000</v>
      </c>
      <c r="J8" s="189" t="s">
        <v>1344</v>
      </c>
    </row>
    <row r="9" spans="1:11" x14ac:dyDescent="0.3">
      <c r="A9" s="4" t="s">
        <v>23</v>
      </c>
      <c r="B9" s="38">
        <v>34790</v>
      </c>
      <c r="C9" s="38">
        <f>54700+14100</f>
        <v>68800</v>
      </c>
      <c r="D9" s="38">
        <v>26025</v>
      </c>
      <c r="E9" s="38">
        <v>20105</v>
      </c>
      <c r="F9" s="38">
        <v>28901</v>
      </c>
      <c r="G9" s="38">
        <v>26546</v>
      </c>
      <c r="H9" s="9">
        <f>10000+10000+2500+5750+2175+1877+10000+520+6160+2080+1700+54+8170</f>
        <v>60986</v>
      </c>
      <c r="I9" s="190">
        <v>30000</v>
      </c>
      <c r="J9" s="155"/>
    </row>
    <row r="10" spans="1:11" x14ac:dyDescent="0.3">
      <c r="A10" s="4" t="s">
        <v>24</v>
      </c>
      <c r="B10" s="38">
        <v>5000</v>
      </c>
      <c r="C10" s="38">
        <v>10000</v>
      </c>
      <c r="D10" s="38">
        <v>0</v>
      </c>
      <c r="E10" s="38">
        <v>14600</v>
      </c>
      <c r="F10" s="38">
        <v>3840</v>
      </c>
      <c r="G10" s="38">
        <v>11500</v>
      </c>
      <c r="H10" s="9">
        <f>10568+5000+8000+5000+5000+4000</f>
        <v>37568</v>
      </c>
      <c r="I10" s="190">
        <v>15000</v>
      </c>
      <c r="J10" s="158"/>
    </row>
    <row r="11" spans="1:11" x14ac:dyDescent="0.3">
      <c r="A11" s="4" t="s">
        <v>489</v>
      </c>
      <c r="B11" s="38">
        <v>7200</v>
      </c>
      <c r="C11" s="38">
        <v>6866</v>
      </c>
      <c r="D11" s="38">
        <v>2515</v>
      </c>
      <c r="E11" s="38">
        <v>6728</v>
      </c>
      <c r="F11" s="38">
        <v>0</v>
      </c>
      <c r="G11" s="38">
        <v>2978</v>
      </c>
      <c r="H11" s="9">
        <f>12300+3240+23000+1280-23000</f>
        <v>16820</v>
      </c>
      <c r="I11" s="190">
        <v>0</v>
      </c>
      <c r="J11" s="155"/>
    </row>
    <row r="12" spans="1:11" x14ac:dyDescent="0.3">
      <c r="A12" s="4" t="s">
        <v>26</v>
      </c>
      <c r="B12" s="38">
        <v>0</v>
      </c>
      <c r="C12" s="38">
        <v>0</v>
      </c>
      <c r="D12" s="38">
        <v>0</v>
      </c>
      <c r="E12" s="38">
        <v>5600</v>
      </c>
      <c r="F12" s="38">
        <v>4050</v>
      </c>
      <c r="G12" s="38">
        <v>0</v>
      </c>
      <c r="H12" s="9">
        <v>0</v>
      </c>
      <c r="I12" s="190">
        <v>0</v>
      </c>
      <c r="J12" s="155"/>
    </row>
    <row r="13" spans="1:1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9">
        <f>101</f>
        <v>101</v>
      </c>
      <c r="I13" s="190">
        <v>500</v>
      </c>
      <c r="J13" s="155"/>
    </row>
    <row r="14" spans="1:1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v>4135</v>
      </c>
      <c r="F14" s="38">
        <v>1987</v>
      </c>
      <c r="G14" s="38">
        <v>1630</v>
      </c>
      <c r="H14" s="9">
        <f>1728+305+9454+5067</f>
        <v>16554</v>
      </c>
      <c r="I14" s="190">
        <v>2000</v>
      </c>
      <c r="J14" s="155"/>
    </row>
    <row r="15" spans="1:11" x14ac:dyDescent="0.3">
      <c r="A15" s="7" t="s">
        <v>29</v>
      </c>
      <c r="B15" s="39">
        <f t="shared" ref="B15:I15" si="0">SUM(B6:B14)</f>
        <v>191729</v>
      </c>
      <c r="C15" s="39">
        <f t="shared" si="0"/>
        <v>345486</v>
      </c>
      <c r="D15" s="39">
        <f t="shared" si="0"/>
        <v>220107</v>
      </c>
      <c r="E15" s="39">
        <f t="shared" si="0"/>
        <v>239608.28999999998</v>
      </c>
      <c r="F15" s="39">
        <f t="shared" si="0"/>
        <v>299613.28000000003</v>
      </c>
      <c r="G15" s="39">
        <f t="shared" si="0"/>
        <v>289920</v>
      </c>
      <c r="H15" s="11">
        <f t="shared" si="0"/>
        <v>480751</v>
      </c>
      <c r="I15" s="191">
        <f t="shared" si="0"/>
        <v>332500</v>
      </c>
      <c r="J15" s="155"/>
    </row>
    <row r="16" spans="1:11" ht="16.2" thickBot="1" x14ac:dyDescent="0.35">
      <c r="B16" s="38"/>
      <c r="C16" s="40"/>
      <c r="D16" s="40"/>
      <c r="E16" s="38"/>
      <c r="F16" s="40"/>
      <c r="G16" s="40"/>
      <c r="H16" s="111"/>
      <c r="I16" s="190"/>
      <c r="J16" s="155"/>
    </row>
    <row r="17" spans="1:13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112"/>
      <c r="I17" s="190"/>
      <c r="J17" s="159"/>
      <c r="K17" s="159"/>
    </row>
    <row r="18" spans="1:13" x14ac:dyDescent="0.3">
      <c r="A18" s="4" t="s">
        <v>56</v>
      </c>
      <c r="B18" s="38">
        <v>-4459</v>
      </c>
      <c r="C18" s="38">
        <v>-12173</v>
      </c>
      <c r="D18" s="38">
        <v>0</v>
      </c>
      <c r="E18" s="38">
        <v>-180</v>
      </c>
      <c r="F18" s="38">
        <v>-1887</v>
      </c>
      <c r="G18" s="38">
        <v>0</v>
      </c>
      <c r="H18" s="9">
        <v>0</v>
      </c>
      <c r="I18" s="190">
        <v>0</v>
      </c>
      <c r="J18" s="155"/>
    </row>
    <row r="19" spans="1:13" x14ac:dyDescent="0.3">
      <c r="A19" s="4" t="s">
        <v>32</v>
      </c>
      <c r="B19" s="38">
        <f>-2650-3100-1600</f>
        <v>-7350</v>
      </c>
      <c r="C19" s="38">
        <f>-250-2500-1842</f>
        <v>-4592</v>
      </c>
      <c r="D19" s="38">
        <f>-250-4500-1899</f>
        <v>-6649</v>
      </c>
      <c r="E19" s="38">
        <v>-6338</v>
      </c>
      <c r="F19" s="38">
        <v>-6643</v>
      </c>
      <c r="G19" s="38">
        <v>-3530</v>
      </c>
      <c r="H19" s="9">
        <f>-774-250</f>
        <v>-1024</v>
      </c>
      <c r="I19" s="190">
        <v>-4000</v>
      </c>
      <c r="J19" s="155"/>
    </row>
    <row r="20" spans="1:13" x14ac:dyDescent="0.3">
      <c r="A20" s="4" t="s">
        <v>33</v>
      </c>
      <c r="B20" s="38">
        <v>0</v>
      </c>
      <c r="C20" s="38">
        <v>0</v>
      </c>
      <c r="D20" s="38">
        <v>0</v>
      </c>
      <c r="E20" s="38">
        <v>-741</v>
      </c>
      <c r="F20" s="38">
        <v>-547</v>
      </c>
      <c r="G20" s="38">
        <v>-154</v>
      </c>
      <c r="H20" s="9">
        <f>-480-30</f>
        <v>-510</v>
      </c>
      <c r="I20" s="190">
        <v>-100</v>
      </c>
      <c r="J20" s="155"/>
      <c r="K20" s="197"/>
    </row>
    <row r="21" spans="1:13" x14ac:dyDescent="0.3">
      <c r="A21" s="4" t="s">
        <v>493</v>
      </c>
      <c r="B21" s="38">
        <v>-635</v>
      </c>
      <c r="C21" s="38">
        <f>-1500-935-3800-2859-81</f>
        <v>-9175</v>
      </c>
      <c r="D21" s="38">
        <f>-755-1100</f>
        <v>-1855</v>
      </c>
      <c r="E21" s="38">
        <v>-2424</v>
      </c>
      <c r="F21" s="38">
        <v>-4637.7700000000004</v>
      </c>
      <c r="G21" s="38">
        <v>-2261</v>
      </c>
      <c r="H21" s="9">
        <f>1300-570-5471+280+1412+280-1560-3800</f>
        <v>-8129</v>
      </c>
      <c r="I21" s="190">
        <v>-3000</v>
      </c>
      <c r="J21" s="155"/>
      <c r="K21" s="197"/>
    </row>
    <row r="22" spans="1:13" x14ac:dyDescent="0.3">
      <c r="A22" s="4" t="s">
        <v>35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9">
        <f>-1531-562-4500-200-200-527</f>
        <v>-7520</v>
      </c>
      <c r="I22" s="190">
        <v>-5000</v>
      </c>
      <c r="J22" s="155"/>
      <c r="K22" s="197"/>
    </row>
    <row r="23" spans="1:13" x14ac:dyDescent="0.3">
      <c r="A23" s="4" t="s">
        <v>36</v>
      </c>
      <c r="B23" s="38">
        <v>-5000</v>
      </c>
      <c r="C23" s="38">
        <v>-350</v>
      </c>
      <c r="D23" s="38">
        <v>0</v>
      </c>
      <c r="E23" s="38">
        <v>-3550</v>
      </c>
      <c r="F23" s="38">
        <v>-10190</v>
      </c>
      <c r="G23" s="38">
        <v>-27295</v>
      </c>
      <c r="H23" s="9">
        <f>-1400-1300-1400-800-1000-500-2000-950-800-1400-2000</f>
        <v>-13550</v>
      </c>
      <c r="I23" s="190">
        <v>-15000</v>
      </c>
      <c r="J23" s="157"/>
      <c r="K23" s="197"/>
    </row>
    <row r="24" spans="1:13" x14ac:dyDescent="0.3">
      <c r="A24" s="4" t="s">
        <v>37</v>
      </c>
      <c r="B24" s="38">
        <v>-7900</v>
      </c>
      <c r="C24" s="38">
        <v>0</v>
      </c>
      <c r="D24" s="38">
        <v>0</v>
      </c>
      <c r="E24" s="38">
        <v>-5850</v>
      </c>
      <c r="F24" s="38">
        <v>0</v>
      </c>
      <c r="G24" s="38">
        <v>0</v>
      </c>
      <c r="H24" s="9">
        <v>0</v>
      </c>
      <c r="I24" s="190">
        <v>0</v>
      </c>
      <c r="J24" s="155"/>
      <c r="K24" s="197"/>
    </row>
    <row r="25" spans="1:13" x14ac:dyDescent="0.3">
      <c r="A25" s="4" t="s">
        <v>38</v>
      </c>
      <c r="B25" s="38">
        <v>-4800</v>
      </c>
      <c r="C25" s="38">
        <v>-3398</v>
      </c>
      <c r="D25" s="38">
        <v>0</v>
      </c>
      <c r="E25" s="38">
        <v>-7138</v>
      </c>
      <c r="F25" s="38">
        <v>-3450</v>
      </c>
      <c r="G25" s="38">
        <v>-8100</v>
      </c>
      <c r="H25" s="9">
        <f>-300-1050-1390-3000-1050</f>
        <v>-6790</v>
      </c>
      <c r="I25" s="190">
        <v>-10000</v>
      </c>
      <c r="J25" s="155"/>
      <c r="K25" s="197"/>
    </row>
    <row r="26" spans="1:13" ht="43.2" x14ac:dyDescent="0.3">
      <c r="A26" s="4" t="s">
        <v>39</v>
      </c>
      <c r="B26" s="38">
        <v>-18016</v>
      </c>
      <c r="C26" s="38">
        <v>-18105</v>
      </c>
      <c r="D26" s="38">
        <v>-14387</v>
      </c>
      <c r="E26" s="38">
        <v>-7915</v>
      </c>
      <c r="F26" s="38">
        <v>-13828</v>
      </c>
      <c r="G26" s="38">
        <v>-24118</v>
      </c>
      <c r="H26" s="9">
        <f>-305-260-545-550-165-870-410-290-580-280-380-790-380-658-380-380-380-790-665-290-250-380-580-380-730-230-380-230-380-380-230-530-760-380-380-515-278-230-230-380-380-635-380-500-865-165-530-1225-8909</f>
        <v>-30770</v>
      </c>
      <c r="I26" s="190">
        <v>-25000</v>
      </c>
      <c r="J26" s="158" t="s">
        <v>1343</v>
      </c>
      <c r="K26" s="197"/>
    </row>
    <row r="27" spans="1:13" x14ac:dyDescent="0.3">
      <c r="A27" s="4" t="s">
        <v>40</v>
      </c>
      <c r="B27" s="38">
        <v>0</v>
      </c>
      <c r="C27" s="38">
        <v>-850</v>
      </c>
      <c r="D27" s="38">
        <v>-625</v>
      </c>
      <c r="E27" s="38">
        <v>-8200</v>
      </c>
      <c r="F27" s="38">
        <v>0</v>
      </c>
      <c r="G27" s="38">
        <v>0</v>
      </c>
      <c r="H27" s="9">
        <f>-2100</f>
        <v>-2100</v>
      </c>
      <c r="I27" s="190">
        <v>0</v>
      </c>
      <c r="J27" s="155"/>
      <c r="K27" s="197"/>
    </row>
    <row r="28" spans="1:13" x14ac:dyDescent="0.3">
      <c r="A28" s="4" t="s">
        <v>508</v>
      </c>
      <c r="B28" s="38">
        <v>-11755</v>
      </c>
      <c r="C28" s="38">
        <v>-20024</v>
      </c>
      <c r="D28" s="38">
        <v>-13297</v>
      </c>
      <c r="E28" s="38">
        <v>-14853.42</v>
      </c>
      <c r="F28" s="38">
        <v>-18717</v>
      </c>
      <c r="G28" s="38">
        <v>-4027</v>
      </c>
      <c r="H28" s="9">
        <f>-1785-800-765-8342-2145-3793-315-2288-71-1020+700</f>
        <v>-20624</v>
      </c>
      <c r="I28" s="190">
        <v>-8000</v>
      </c>
      <c r="J28" s="155"/>
      <c r="K28" s="197"/>
    </row>
    <row r="29" spans="1:13" ht="24.6" x14ac:dyDescent="0.3">
      <c r="A29" s="4" t="s">
        <v>154</v>
      </c>
      <c r="B29" s="38">
        <v>-19050</v>
      </c>
      <c r="C29" s="38">
        <f>-13250-1750</f>
        <v>-15000</v>
      </c>
      <c r="D29" s="38">
        <v>-19650</v>
      </c>
      <c r="E29" s="38">
        <v>-15750</v>
      </c>
      <c r="F29" s="38">
        <v>-21750</v>
      </c>
      <c r="G29" s="38">
        <v>-30300</v>
      </c>
      <c r="H29" s="9">
        <f>-4750-12750-1950+1550-3500-1900-220</f>
        <v>-23520</v>
      </c>
      <c r="I29" s="190">
        <v>-20000</v>
      </c>
      <c r="J29" s="157" t="s">
        <v>1233</v>
      </c>
      <c r="K29" s="197"/>
    </row>
    <row r="30" spans="1:13" x14ac:dyDescent="0.3">
      <c r="A30" s="4" t="s">
        <v>43</v>
      </c>
      <c r="B30" s="38">
        <v>-14470</v>
      </c>
      <c r="C30" s="38">
        <v>-10300</v>
      </c>
      <c r="D30" s="38">
        <v>-4860</v>
      </c>
      <c r="E30" s="38">
        <v>0</v>
      </c>
      <c r="F30" s="38">
        <v>-18405</v>
      </c>
      <c r="G30" s="38">
        <v>-10950</v>
      </c>
      <c r="H30" s="9">
        <f>-6400-1875-1240</f>
        <v>-9515</v>
      </c>
      <c r="I30" s="190">
        <v>-10000</v>
      </c>
      <c r="J30" s="155"/>
      <c r="K30" s="197"/>
    </row>
    <row r="31" spans="1:13" x14ac:dyDescent="0.3">
      <c r="A31" s="4" t="s">
        <v>44</v>
      </c>
      <c r="B31" s="38">
        <v>-25000</v>
      </c>
      <c r="C31" s="38">
        <v>-15000</v>
      </c>
      <c r="D31" s="38">
        <v>-17500</v>
      </c>
      <c r="E31" s="38">
        <v>-30416</v>
      </c>
      <c r="F31" s="38">
        <v>-16000</v>
      </c>
      <c r="G31" s="38">
        <v>-34000</v>
      </c>
      <c r="H31" s="9">
        <f>-10000-2000-1000-5000-1000-5000-3000</f>
        <v>-27000</v>
      </c>
      <c r="I31" s="190">
        <v>-35000</v>
      </c>
      <c r="J31" s="158" t="s">
        <v>1342</v>
      </c>
      <c r="K31" s="197"/>
    </row>
    <row r="32" spans="1:13" x14ac:dyDescent="0.3">
      <c r="A32" s="4" t="s">
        <v>45</v>
      </c>
      <c r="B32" s="38">
        <v>-32646</v>
      </c>
      <c r="C32" s="38">
        <v>-42437</v>
      </c>
      <c r="D32" s="38">
        <v>-26923</v>
      </c>
      <c r="E32" s="38">
        <v>-32572</v>
      </c>
      <c r="F32" s="38">
        <v>-50743</v>
      </c>
      <c r="G32" s="38">
        <v>-52811</v>
      </c>
      <c r="H32" s="9">
        <f>-48644-17258-12025-10021-38638-230</f>
        <v>-126816</v>
      </c>
      <c r="I32" s="190">
        <v>-60000</v>
      </c>
      <c r="J32" s="155"/>
      <c r="K32" s="197"/>
      <c r="L32" s="55"/>
      <c r="M32" s="55"/>
    </row>
    <row r="33" spans="1:11" ht="24.6" x14ac:dyDescent="0.3">
      <c r="A33" s="4" t="s">
        <v>46</v>
      </c>
      <c r="B33" s="38">
        <f>-60296-7500</f>
        <v>-67796</v>
      </c>
      <c r="C33" s="38">
        <f>-18276-5135</f>
        <v>-23411</v>
      </c>
      <c r="D33" s="38">
        <v>-39936</v>
      </c>
      <c r="E33" s="38">
        <v>-107761</v>
      </c>
      <c r="F33" s="38">
        <v>-154875</v>
      </c>
      <c r="G33" s="38">
        <v>-138715</v>
      </c>
      <c r="H33" s="9">
        <f>-200-666-47-321-535-268-1053-65-438-412-4725-149-976-1260-10825-3487-549-326-549-1236-549-1795-5436-549-3500-118-666-980-1098-104-1995-1521-874-10282-649-1098-838-293+12490-410+19690-392-134-151-13139-19587-348-4041-702-88-403-362+6800-530-6632-358-629-499-320-2990-450-540-484-52-320-195-494-51-3000-376-1000-329-13113-782-125-106-221</f>
        <v>-94805</v>
      </c>
      <c r="I33" s="190">
        <v>-45000</v>
      </c>
      <c r="J33" s="157" t="s">
        <v>1238</v>
      </c>
      <c r="K33" s="197"/>
    </row>
    <row r="34" spans="1:11" ht="16.2" thickBot="1" x14ac:dyDescent="0.35">
      <c r="A34" s="4" t="s">
        <v>491</v>
      </c>
      <c r="B34" s="38">
        <v>0</v>
      </c>
      <c r="C34" s="38">
        <f>-75994-6425</f>
        <v>-82419</v>
      </c>
      <c r="D34" s="38">
        <f>-29362-12800</f>
        <v>-42162</v>
      </c>
      <c r="E34" s="38">
        <v>0</v>
      </c>
      <c r="F34" s="38">
        <v>0</v>
      </c>
      <c r="G34" s="38">
        <v>-102305</v>
      </c>
      <c r="H34" s="9">
        <f>-800-668-800-800-800-800-800-800-800-800-800-800-800-800-800-800-800-800-800-400-800-800-1875-30600-44850</f>
        <v>-94393</v>
      </c>
      <c r="I34" s="190">
        <v>-80000</v>
      </c>
      <c r="J34" s="155"/>
      <c r="K34" s="197"/>
    </row>
    <row r="35" spans="1:11" x14ac:dyDescent="0.3">
      <c r="A35" s="4" t="s">
        <v>488</v>
      </c>
      <c r="G35" s="38">
        <v>-14329</v>
      </c>
      <c r="H35" s="9">
        <v>0</v>
      </c>
      <c r="I35" s="190">
        <v>0</v>
      </c>
      <c r="J35" s="198" t="s">
        <v>916</v>
      </c>
      <c r="K35" s="199"/>
    </row>
    <row r="36" spans="1:11" x14ac:dyDescent="0.3">
      <c r="A36" s="7" t="s">
        <v>47</v>
      </c>
      <c r="B36" s="39">
        <f>SUM(B18:B34)</f>
        <v>-218877</v>
      </c>
      <c r="C36" s="39">
        <f>SUM(C18:C34)</f>
        <v>-258934</v>
      </c>
      <c r="D36" s="39">
        <f>SUM(D18:D34)</f>
        <v>-187844</v>
      </c>
      <c r="E36" s="39">
        <f>SUM(E18:E34)</f>
        <v>-247088.41999999998</v>
      </c>
      <c r="F36" s="39">
        <f>SUM(F18:F34)</f>
        <v>-325572.77</v>
      </c>
      <c r="G36" s="39">
        <f>SUM(G18:G35)</f>
        <v>-457445</v>
      </c>
      <c r="H36" s="11">
        <f>SUM(H18:H35)</f>
        <v>-467066</v>
      </c>
      <c r="I36" s="191">
        <f>SUM(I18:I35)</f>
        <v>-320100</v>
      </c>
      <c r="J36" s="200" t="s">
        <v>917</v>
      </c>
      <c r="K36" s="201"/>
    </row>
    <row r="37" spans="1:11" x14ac:dyDescent="0.3">
      <c r="A37" s="7"/>
      <c r="B37" s="41"/>
      <c r="C37" s="41"/>
      <c r="D37" s="41"/>
      <c r="E37" s="39"/>
      <c r="F37" s="39"/>
      <c r="G37" s="39"/>
      <c r="H37" s="113"/>
      <c r="I37" s="191"/>
      <c r="J37" s="172" t="s">
        <v>1212</v>
      </c>
      <c r="K37" s="169" t="s">
        <v>1210</v>
      </c>
    </row>
    <row r="38" spans="1:11" s="13" customFormat="1" ht="38.25" customHeight="1" x14ac:dyDescent="0.3">
      <c r="A38" s="7" t="s">
        <v>48</v>
      </c>
      <c r="B38" s="39">
        <f t="shared" ref="B38:H38" si="1">+B36+B15</f>
        <v>-27148</v>
      </c>
      <c r="C38" s="39">
        <f t="shared" si="1"/>
        <v>86552</v>
      </c>
      <c r="D38" s="39">
        <f t="shared" si="1"/>
        <v>32263</v>
      </c>
      <c r="E38" s="39">
        <f t="shared" si="1"/>
        <v>-7480.1300000000047</v>
      </c>
      <c r="F38" s="39">
        <f t="shared" si="1"/>
        <v>-25959.489999999991</v>
      </c>
      <c r="G38" s="39">
        <f t="shared" si="1"/>
        <v>-167525</v>
      </c>
      <c r="H38" s="11">
        <f t="shared" si="1"/>
        <v>13685</v>
      </c>
      <c r="I38" s="191">
        <f>I15+I36</f>
        <v>12400</v>
      </c>
      <c r="J38" s="172" t="s">
        <v>1211</v>
      </c>
      <c r="K38" s="169" t="s">
        <v>1213</v>
      </c>
    </row>
    <row r="39" spans="1:11" s="13" customFormat="1" x14ac:dyDescent="0.3">
      <c r="A39" s="7"/>
      <c r="B39" s="41"/>
      <c r="C39" s="41"/>
      <c r="D39" s="41"/>
      <c r="E39" s="39"/>
      <c r="F39" s="39"/>
      <c r="G39" s="39"/>
      <c r="H39" s="11"/>
      <c r="I39" s="191"/>
      <c r="J39" s="172" t="s">
        <v>1235</v>
      </c>
      <c r="K39" s="169" t="s">
        <v>1234</v>
      </c>
    </row>
    <row r="40" spans="1:11" s="13" customFormat="1" x14ac:dyDescent="0.3">
      <c r="A40" s="7" t="s">
        <v>49</v>
      </c>
      <c r="B40" s="39">
        <v>-10000</v>
      </c>
      <c r="C40" s="39">
        <v>-10000</v>
      </c>
      <c r="D40" s="39">
        <v>-10000</v>
      </c>
      <c r="E40" s="39">
        <v>-10000</v>
      </c>
      <c r="F40" s="39">
        <v>-10000</v>
      </c>
      <c r="G40" s="39">
        <v>-14449</v>
      </c>
      <c r="H40" s="11">
        <v>0</v>
      </c>
      <c r="I40" s="191">
        <v>0</v>
      </c>
      <c r="J40" s="202"/>
      <c r="K40" s="201"/>
    </row>
    <row r="41" spans="1:11" s="13" customFormat="1" ht="16.2" thickBot="1" x14ac:dyDescent="0.35">
      <c r="A41" s="7"/>
      <c r="B41" s="41"/>
      <c r="C41" s="41"/>
      <c r="D41" s="41"/>
      <c r="E41" s="39"/>
      <c r="F41" s="39"/>
      <c r="G41" s="39"/>
      <c r="H41" s="11"/>
      <c r="I41" s="191"/>
      <c r="J41" s="200" t="s">
        <v>918</v>
      </c>
      <c r="K41" s="201"/>
    </row>
    <row r="42" spans="1:11" s="13" customFormat="1" ht="16.2" thickBot="1" x14ac:dyDescent="0.35">
      <c r="A42" s="7" t="s">
        <v>88</v>
      </c>
      <c r="B42" s="39">
        <f t="shared" ref="B42:H42" si="2">+B40+B38</f>
        <v>-37148</v>
      </c>
      <c r="C42" s="39">
        <f t="shared" si="2"/>
        <v>76552</v>
      </c>
      <c r="D42" s="39">
        <f t="shared" si="2"/>
        <v>22263</v>
      </c>
      <c r="E42" s="39">
        <f t="shared" si="2"/>
        <v>-17480.130000000005</v>
      </c>
      <c r="F42" s="39">
        <f t="shared" si="2"/>
        <v>-35959.489999999991</v>
      </c>
      <c r="G42" s="39">
        <f t="shared" si="2"/>
        <v>-181974</v>
      </c>
      <c r="H42" s="154">
        <f t="shared" si="2"/>
        <v>13685</v>
      </c>
      <c r="I42" s="192">
        <f>+I40+I38</f>
        <v>12400</v>
      </c>
      <c r="J42" s="203"/>
      <c r="K42" s="204">
        <f>SUM(K36:K41)</f>
        <v>0</v>
      </c>
    </row>
    <row r="43" spans="1:11" s="13" customFormat="1" x14ac:dyDescent="0.3">
      <c r="A43" s="4"/>
      <c r="B43" s="4"/>
      <c r="C43" s="4"/>
      <c r="D43" s="4"/>
      <c r="E43" s="4"/>
      <c r="F43" s="4"/>
      <c r="G43" s="4"/>
      <c r="I43" s="58"/>
      <c r="J43" s="196"/>
      <c r="K43" s="155"/>
    </row>
    <row r="49" spans="10:13" s="4" customFormat="1" x14ac:dyDescent="0.3">
      <c r="J49" s="196"/>
      <c r="K49" s="155"/>
      <c r="L49" s="1"/>
      <c r="M49" s="1"/>
    </row>
    <row r="50" spans="10:13" s="4" customFormat="1" x14ac:dyDescent="0.3">
      <c r="J50" s="196"/>
      <c r="K50" s="155"/>
      <c r="L50" s="1"/>
      <c r="M50" s="1"/>
    </row>
    <row r="51" spans="10:13" s="4" customFormat="1" x14ac:dyDescent="0.3">
      <c r="J51" s="196"/>
      <c r="K51" s="155"/>
      <c r="L51" s="1"/>
      <c r="M51" s="1"/>
    </row>
    <row r="52" spans="10:13" s="4" customFormat="1" x14ac:dyDescent="0.3">
      <c r="J52" s="196"/>
      <c r="K52" s="155"/>
      <c r="L52" s="1"/>
      <c r="M52" s="1"/>
    </row>
  </sheetData>
  <pageMargins left="0.25" right="0.25" top="0.75" bottom="0.75" header="0.3" footer="0.3"/>
  <pageSetup paperSize="9" scale="60" orientation="landscape"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N54"/>
  <sheetViews>
    <sheetView workbookViewId="0">
      <selection activeCell="I1" sqref="I1:I1048576"/>
    </sheetView>
  </sheetViews>
  <sheetFormatPr defaultColWidth="9.109375" defaultRowHeight="15.6" x14ac:dyDescent="0.3"/>
  <cols>
    <col min="1" max="1" width="30.6640625" style="4" bestFit="1" customWidth="1"/>
    <col min="2" max="7" width="14.33203125" style="4" customWidth="1"/>
    <col min="8" max="8" width="16.44140625" style="1" customWidth="1"/>
    <col min="9" max="9" width="18.5546875" style="1" bestFit="1" customWidth="1"/>
    <col min="10" max="10" width="14.88671875" style="4" customWidth="1"/>
    <col min="11" max="11" width="37.44140625" style="155" customWidth="1"/>
    <col min="12" max="16384" width="9.109375" style="1"/>
  </cols>
  <sheetData>
    <row r="1" spans="1:11" ht="31.8" thickBot="1" x14ac:dyDescent="0.65">
      <c r="A1" s="64" t="s">
        <v>486</v>
      </c>
      <c r="B1" s="61" t="s">
        <v>487</v>
      </c>
      <c r="C1" s="62"/>
      <c r="D1" s="63"/>
      <c r="E1" s="1"/>
    </row>
    <row r="2" spans="1:11" ht="16.2" thickBot="1" x14ac:dyDescent="0.35"/>
    <row r="3" spans="1:11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43" t="s">
        <v>971</v>
      </c>
      <c r="I3" s="57" t="s">
        <v>809</v>
      </c>
      <c r="J3" s="44" t="s">
        <v>922</v>
      </c>
      <c r="K3" s="156"/>
    </row>
    <row r="4" spans="1:11" s="35" customFormat="1" ht="16.2" thickBot="1" x14ac:dyDescent="0.35">
      <c r="A4" s="34"/>
      <c r="B4" s="34"/>
      <c r="C4" s="34"/>
      <c r="D4" s="34"/>
      <c r="E4" s="34"/>
      <c r="F4" s="34"/>
      <c r="G4" s="34"/>
      <c r="H4" s="110">
        <v>42004</v>
      </c>
      <c r="I4" s="110">
        <v>42004</v>
      </c>
      <c r="J4" s="36"/>
      <c r="K4" s="156"/>
    </row>
    <row r="5" spans="1:11" ht="16.2" thickBot="1" x14ac:dyDescent="0.35">
      <c r="A5" s="32" t="s">
        <v>19</v>
      </c>
      <c r="B5" s="10"/>
      <c r="C5" s="7"/>
      <c r="D5" s="7"/>
      <c r="H5" s="111"/>
      <c r="I5" s="111"/>
      <c r="J5" s="8"/>
    </row>
    <row r="6" spans="1:11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9">
        <f>86803-50000+10296+1600+71002+27247</f>
        <v>146948</v>
      </c>
      <c r="I6" s="115">
        <v>146948</v>
      </c>
      <c r="J6" s="9">
        <v>100000</v>
      </c>
      <c r="K6" s="157"/>
    </row>
    <row r="7" spans="1:11" x14ac:dyDescent="0.3">
      <c r="A7" s="4" t="s">
        <v>492</v>
      </c>
      <c r="B7" s="38">
        <v>500</v>
      </c>
      <c r="C7" s="38">
        <v>85850</v>
      </c>
      <c r="D7" s="38">
        <v>62250</v>
      </c>
      <c r="E7" s="38">
        <v>66900</v>
      </c>
      <c r="F7" s="38">
        <v>91100</v>
      </c>
      <c r="G7" s="38">
        <v>83700</v>
      </c>
      <c r="H7" s="9">
        <v>94424</v>
      </c>
      <c r="I7" s="115">
        <v>94424</v>
      </c>
      <c r="J7" s="9">
        <v>85000</v>
      </c>
    </row>
    <row r="8" spans="1:11" ht="28.8" x14ac:dyDescent="0.3">
      <c r="A8" s="4" t="s">
        <v>22</v>
      </c>
      <c r="B8" s="38">
        <v>46200</v>
      </c>
      <c r="C8" s="38">
        <v>38350</v>
      </c>
      <c r="D8" s="38">
        <v>45250</v>
      </c>
      <c r="E8" s="38">
        <v>41550</v>
      </c>
      <c r="F8" s="38">
        <v>70983</v>
      </c>
      <c r="G8" s="38">
        <v>67300</v>
      </c>
      <c r="H8" s="9">
        <f>8000+6000+4250+6550+8100+12400+3100+8100+300+6750+800+5250+4950+1600+2900+400+300+3200+2250+400+900+600+1200+150+300+400+750+17500-50</f>
        <v>107350</v>
      </c>
      <c r="I8" s="115">
        <v>107350</v>
      </c>
      <c r="J8" s="9">
        <v>100000</v>
      </c>
      <c r="K8" s="158" t="s">
        <v>1208</v>
      </c>
    </row>
    <row r="9" spans="1:11" x14ac:dyDescent="0.3">
      <c r="A9" s="4" t="s">
        <v>23</v>
      </c>
      <c r="B9" s="38">
        <v>34790</v>
      </c>
      <c r="C9" s="38">
        <f>54700+14100</f>
        <v>68800</v>
      </c>
      <c r="D9" s="38">
        <v>26025</v>
      </c>
      <c r="E9" s="38">
        <v>20105</v>
      </c>
      <c r="F9" s="38">
        <v>28901</v>
      </c>
      <c r="G9" s="38">
        <v>26546</v>
      </c>
      <c r="H9" s="9">
        <f>10000+10000+2500+5750+2175+1877+10000+520+6160+2080+1700+54+8170</f>
        <v>60986</v>
      </c>
      <c r="I9" s="115">
        <v>60986</v>
      </c>
      <c r="J9" s="9">
        <v>30000</v>
      </c>
    </row>
    <row r="10" spans="1:11" x14ac:dyDescent="0.3">
      <c r="A10" s="4" t="s">
        <v>24</v>
      </c>
      <c r="B10" s="38">
        <v>5000</v>
      </c>
      <c r="C10" s="38">
        <v>10000</v>
      </c>
      <c r="D10" s="38">
        <v>0</v>
      </c>
      <c r="E10" s="38">
        <v>14600</v>
      </c>
      <c r="F10" s="38">
        <v>3840</v>
      </c>
      <c r="G10" s="38">
        <v>11500</v>
      </c>
      <c r="H10" s="9">
        <f>10568+5000+8000+5000+5000+4000</f>
        <v>37568</v>
      </c>
      <c r="I10" s="115">
        <v>37568</v>
      </c>
      <c r="J10" s="9">
        <v>15000</v>
      </c>
      <c r="K10" s="158"/>
    </row>
    <row r="11" spans="1:11" x14ac:dyDescent="0.3">
      <c r="A11" s="4" t="s">
        <v>489</v>
      </c>
      <c r="B11" s="38">
        <v>7200</v>
      </c>
      <c r="C11" s="38">
        <v>6866</v>
      </c>
      <c r="D11" s="38">
        <v>2515</v>
      </c>
      <c r="E11" s="38">
        <v>6728</v>
      </c>
      <c r="F11" s="38">
        <v>0</v>
      </c>
      <c r="G11" s="38">
        <v>2978</v>
      </c>
      <c r="H11" s="9">
        <f>12300+3240+23000+1280-23000</f>
        <v>16820</v>
      </c>
      <c r="I11" s="115">
        <v>16820</v>
      </c>
      <c r="J11" s="9">
        <v>0</v>
      </c>
    </row>
    <row r="12" spans="1:11" x14ac:dyDescent="0.3">
      <c r="A12" s="4" t="s">
        <v>26</v>
      </c>
      <c r="B12" s="38">
        <v>0</v>
      </c>
      <c r="C12" s="38">
        <v>0</v>
      </c>
      <c r="D12" s="38">
        <v>0</v>
      </c>
      <c r="E12" s="38">
        <v>5600</v>
      </c>
      <c r="F12" s="38">
        <v>4050</v>
      </c>
      <c r="G12" s="38">
        <v>0</v>
      </c>
      <c r="H12" s="9">
        <v>0</v>
      </c>
      <c r="I12" s="115">
        <v>0</v>
      </c>
      <c r="J12" s="9">
        <v>0</v>
      </c>
    </row>
    <row r="13" spans="1:1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9">
        <f>101</f>
        <v>101</v>
      </c>
      <c r="I13" s="115">
        <v>101</v>
      </c>
      <c r="J13" s="9">
        <v>500</v>
      </c>
    </row>
    <row r="14" spans="1:1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v>4135</v>
      </c>
      <c r="F14" s="38">
        <v>1987</v>
      </c>
      <c r="G14" s="38">
        <v>1630</v>
      </c>
      <c r="H14" s="9">
        <f>1728+305+9454+5067</f>
        <v>16554</v>
      </c>
      <c r="I14" s="115">
        <v>16554</v>
      </c>
      <c r="J14" s="9">
        <v>2000</v>
      </c>
    </row>
    <row r="15" spans="1:11" x14ac:dyDescent="0.3">
      <c r="A15" s="7" t="s">
        <v>29</v>
      </c>
      <c r="B15" s="39">
        <f>SUM(B6:B14)</f>
        <v>191729</v>
      </c>
      <c r="C15" s="39">
        <f>SUM(C6:C14)</f>
        <v>345486</v>
      </c>
      <c r="D15" s="39">
        <f>SUM(D6:D14)</f>
        <v>220107</v>
      </c>
      <c r="E15" s="39">
        <f t="shared" ref="E15:J15" si="0">SUM(E6:E14)</f>
        <v>239608.28999999998</v>
      </c>
      <c r="F15" s="39">
        <f t="shared" si="0"/>
        <v>299613.28000000003</v>
      </c>
      <c r="G15" s="39">
        <f t="shared" si="0"/>
        <v>289920</v>
      </c>
      <c r="H15" s="11">
        <f t="shared" si="0"/>
        <v>480751</v>
      </c>
      <c r="I15" s="116">
        <f t="shared" si="0"/>
        <v>480751</v>
      </c>
      <c r="J15" s="11">
        <f t="shared" si="0"/>
        <v>332500</v>
      </c>
    </row>
    <row r="16" spans="1:11" ht="16.2" thickBot="1" x14ac:dyDescent="0.35">
      <c r="B16" s="38"/>
      <c r="C16" s="40"/>
      <c r="D16" s="40"/>
      <c r="E16" s="38"/>
      <c r="F16" s="40"/>
      <c r="G16" s="40"/>
      <c r="H16" s="111"/>
      <c r="I16" s="117"/>
      <c r="J16" s="9"/>
    </row>
    <row r="17" spans="1:14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112"/>
      <c r="I17" s="118"/>
      <c r="J17" s="9"/>
      <c r="K17" s="159"/>
    </row>
    <row r="18" spans="1:14" x14ac:dyDescent="0.3">
      <c r="A18" s="4" t="s">
        <v>56</v>
      </c>
      <c r="B18" s="38">
        <v>-4459</v>
      </c>
      <c r="C18" s="38">
        <v>-12173</v>
      </c>
      <c r="D18" s="38">
        <v>0</v>
      </c>
      <c r="E18" s="38">
        <v>-180</v>
      </c>
      <c r="F18" s="38">
        <v>-1887</v>
      </c>
      <c r="G18" s="38">
        <v>0</v>
      </c>
      <c r="H18" s="9">
        <v>0</v>
      </c>
      <c r="I18" s="115">
        <v>0</v>
      </c>
      <c r="J18" s="9">
        <v>0</v>
      </c>
    </row>
    <row r="19" spans="1:14" x14ac:dyDescent="0.3">
      <c r="A19" s="4" t="s">
        <v>32</v>
      </c>
      <c r="B19" s="38">
        <f>-2650-3100-1600</f>
        <v>-7350</v>
      </c>
      <c r="C19" s="38">
        <f>-250-2500-1842</f>
        <v>-4592</v>
      </c>
      <c r="D19" s="38">
        <f>-250-4500-1899</f>
        <v>-6649</v>
      </c>
      <c r="E19" s="38">
        <v>-6338</v>
      </c>
      <c r="F19" s="38">
        <v>-6643</v>
      </c>
      <c r="G19" s="38">
        <v>-3530</v>
      </c>
      <c r="H19" s="9">
        <f>-774-250</f>
        <v>-1024</v>
      </c>
      <c r="I19" s="115">
        <v>-1024</v>
      </c>
      <c r="J19" s="9">
        <v>-4000</v>
      </c>
    </row>
    <row r="20" spans="1:14" x14ac:dyDescent="0.3">
      <c r="A20" s="4" t="s">
        <v>33</v>
      </c>
      <c r="B20" s="38">
        <v>0</v>
      </c>
      <c r="C20" s="38">
        <v>0</v>
      </c>
      <c r="D20" s="38">
        <v>0</v>
      </c>
      <c r="E20" s="38">
        <v>-741</v>
      </c>
      <c r="F20" s="38">
        <v>-547</v>
      </c>
      <c r="G20" s="38">
        <v>-154</v>
      </c>
      <c r="H20" s="9">
        <f>-480-30</f>
        <v>-510</v>
      </c>
      <c r="I20" s="115">
        <v>-510</v>
      </c>
      <c r="J20" s="9">
        <v>-100</v>
      </c>
      <c r="L20" s="17"/>
    </row>
    <row r="21" spans="1:14" x14ac:dyDescent="0.3">
      <c r="A21" s="4" t="s">
        <v>493</v>
      </c>
      <c r="B21" s="38">
        <v>-635</v>
      </c>
      <c r="C21" s="38">
        <f>-1500-935-3800-2859-81</f>
        <v>-9175</v>
      </c>
      <c r="D21" s="38">
        <f>-755-1100</f>
        <v>-1855</v>
      </c>
      <c r="E21" s="38">
        <v>-2424</v>
      </c>
      <c r="F21" s="38">
        <v>-4637.7700000000004</v>
      </c>
      <c r="G21" s="38">
        <v>-2261</v>
      </c>
      <c r="H21" s="9">
        <f>1300-570-5471+280+1412+280-1560-3800</f>
        <v>-8129</v>
      </c>
      <c r="I21" s="115">
        <v>-8129</v>
      </c>
      <c r="J21" s="9">
        <v>-3000</v>
      </c>
      <c r="L21" s="17"/>
    </row>
    <row r="22" spans="1:14" x14ac:dyDescent="0.3">
      <c r="A22" s="4" t="s">
        <v>35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9">
        <f>-1531-562-4500-200-200-527</f>
        <v>-7520</v>
      </c>
      <c r="I22" s="115">
        <v>-7520</v>
      </c>
      <c r="J22" s="9">
        <v>-5000</v>
      </c>
      <c r="L22" s="17"/>
    </row>
    <row r="23" spans="1:14" x14ac:dyDescent="0.3">
      <c r="A23" s="4" t="s">
        <v>36</v>
      </c>
      <c r="B23" s="38">
        <v>-5000</v>
      </c>
      <c r="C23" s="38">
        <v>-350</v>
      </c>
      <c r="D23" s="38">
        <v>0</v>
      </c>
      <c r="E23" s="38">
        <v>-3550</v>
      </c>
      <c r="F23" s="38">
        <v>-10190</v>
      </c>
      <c r="G23" s="38">
        <v>-27295</v>
      </c>
      <c r="H23" s="9">
        <f>-1400-1300-1400-800-1000-500-2000-950-800-1400-2000</f>
        <v>-13550</v>
      </c>
      <c r="I23" s="115">
        <v>-13550</v>
      </c>
      <c r="J23" s="9">
        <v>-15000</v>
      </c>
      <c r="K23" s="157"/>
      <c r="L23" s="17"/>
    </row>
    <row r="24" spans="1:14" x14ac:dyDescent="0.3">
      <c r="A24" s="4" t="s">
        <v>37</v>
      </c>
      <c r="B24" s="38">
        <v>-7900</v>
      </c>
      <c r="C24" s="38">
        <v>0</v>
      </c>
      <c r="D24" s="38">
        <v>0</v>
      </c>
      <c r="E24" s="38">
        <v>-5850</v>
      </c>
      <c r="F24" s="38">
        <v>0</v>
      </c>
      <c r="G24" s="38">
        <v>0</v>
      </c>
      <c r="H24" s="9">
        <v>0</v>
      </c>
      <c r="I24" s="115">
        <v>0</v>
      </c>
      <c r="J24" s="9">
        <v>0</v>
      </c>
      <c r="L24" s="17"/>
    </row>
    <row r="25" spans="1:14" x14ac:dyDescent="0.3">
      <c r="A25" s="4" t="s">
        <v>38</v>
      </c>
      <c r="B25" s="38">
        <v>-4800</v>
      </c>
      <c r="C25" s="38">
        <v>-3398</v>
      </c>
      <c r="D25" s="38">
        <v>0</v>
      </c>
      <c r="E25" s="38">
        <v>-7138</v>
      </c>
      <c r="F25" s="38">
        <v>-3450</v>
      </c>
      <c r="G25" s="38">
        <v>-8100</v>
      </c>
      <c r="H25" s="9">
        <f>-300-1050-1390-3000-1050</f>
        <v>-6790</v>
      </c>
      <c r="I25" s="115">
        <v>-6790</v>
      </c>
      <c r="J25" s="9">
        <v>-10000</v>
      </c>
      <c r="L25" s="17"/>
    </row>
    <row r="26" spans="1:14" x14ac:dyDescent="0.3">
      <c r="A26" s="4" t="s">
        <v>39</v>
      </c>
      <c r="B26" s="38">
        <v>-18016</v>
      </c>
      <c r="C26" s="38">
        <v>-18105</v>
      </c>
      <c r="D26" s="38">
        <v>-14387</v>
      </c>
      <c r="E26" s="38">
        <v>-7915</v>
      </c>
      <c r="F26" s="38">
        <v>-13828</v>
      </c>
      <c r="G26" s="38">
        <v>-24118</v>
      </c>
      <c r="H26" s="9">
        <f>-305-260-545-550-165-870-410-290-580-280-380-790-380-658-380-380-380-790-665-290-250-380-580-380-730-230-380-230-380-380-230-530-760-380-380-515-278-230-230-380-380-635-380-500-865-165-530-1225-8909</f>
        <v>-30770</v>
      </c>
      <c r="I26" s="115">
        <v>-30770</v>
      </c>
      <c r="J26" s="9">
        <v>-25000</v>
      </c>
      <c r="L26" s="17"/>
    </row>
    <row r="27" spans="1:14" x14ac:dyDescent="0.3">
      <c r="A27" s="4" t="s">
        <v>40</v>
      </c>
      <c r="B27" s="38">
        <v>0</v>
      </c>
      <c r="C27" s="38">
        <v>-850</v>
      </c>
      <c r="D27" s="38">
        <v>-625</v>
      </c>
      <c r="E27" s="38">
        <v>-8200</v>
      </c>
      <c r="F27" s="38">
        <v>0</v>
      </c>
      <c r="G27" s="38">
        <v>0</v>
      </c>
      <c r="H27" s="9">
        <f>-2100</f>
        <v>-2100</v>
      </c>
      <c r="I27" s="115">
        <v>-2100</v>
      </c>
      <c r="J27" s="9">
        <v>0</v>
      </c>
      <c r="L27" s="17"/>
    </row>
    <row r="28" spans="1:14" x14ac:dyDescent="0.3">
      <c r="A28" s="4" t="s">
        <v>508</v>
      </c>
      <c r="B28" s="38">
        <v>-11755</v>
      </c>
      <c r="C28" s="38">
        <v>-20024</v>
      </c>
      <c r="D28" s="38">
        <v>-13297</v>
      </c>
      <c r="E28" s="38">
        <v>-14853.42</v>
      </c>
      <c r="F28" s="38">
        <v>-18717</v>
      </c>
      <c r="G28" s="38">
        <v>-4027</v>
      </c>
      <c r="H28" s="9">
        <f>-1785-800-765-8342-2145-3793-315-2288-71-1020+700</f>
        <v>-20624</v>
      </c>
      <c r="I28" s="115">
        <v>-20624</v>
      </c>
      <c r="J28" s="9">
        <v>-8000</v>
      </c>
      <c r="L28" s="17"/>
    </row>
    <row r="29" spans="1:14" ht="24.6" x14ac:dyDescent="0.3">
      <c r="A29" s="4" t="s">
        <v>154</v>
      </c>
      <c r="B29" s="38">
        <v>-19050</v>
      </c>
      <c r="C29" s="38">
        <f>-13250-1750</f>
        <v>-15000</v>
      </c>
      <c r="D29" s="38">
        <v>-19650</v>
      </c>
      <c r="E29" s="38">
        <v>-15750</v>
      </c>
      <c r="F29" s="38">
        <v>-21750</v>
      </c>
      <c r="G29" s="38">
        <v>-30300</v>
      </c>
      <c r="H29" s="9">
        <f>-4750-12750-1950+1550-3500-1900-220</f>
        <v>-23520</v>
      </c>
      <c r="I29" s="115">
        <v>-23520</v>
      </c>
      <c r="J29" s="9">
        <v>-20000</v>
      </c>
      <c r="K29" s="157" t="s">
        <v>1233</v>
      </c>
      <c r="L29" s="17"/>
    </row>
    <row r="30" spans="1:14" x14ac:dyDescent="0.3">
      <c r="A30" s="4" t="s">
        <v>43</v>
      </c>
      <c r="B30" s="38">
        <v>-14470</v>
      </c>
      <c r="C30" s="38">
        <v>-10300</v>
      </c>
      <c r="D30" s="38">
        <v>-4860</v>
      </c>
      <c r="E30" s="38">
        <v>0</v>
      </c>
      <c r="F30" s="38">
        <v>-18405</v>
      </c>
      <c r="G30" s="38">
        <v>-10950</v>
      </c>
      <c r="H30" s="9">
        <f>-6400-1875-1240</f>
        <v>-9515</v>
      </c>
      <c r="I30" s="115">
        <v>-9515</v>
      </c>
      <c r="J30" s="9">
        <v>-10000</v>
      </c>
      <c r="L30" s="17"/>
    </row>
    <row r="31" spans="1:14" x14ac:dyDescent="0.3">
      <c r="A31" s="4" t="s">
        <v>44</v>
      </c>
      <c r="B31" s="38">
        <v>-25000</v>
      </c>
      <c r="C31" s="38">
        <v>-15000</v>
      </c>
      <c r="D31" s="38">
        <v>-17500</v>
      </c>
      <c r="E31" s="38">
        <v>-30416</v>
      </c>
      <c r="F31" s="38">
        <v>-16000</v>
      </c>
      <c r="G31" s="38">
        <v>-34000</v>
      </c>
      <c r="H31" s="9">
        <f>-10000-2000-1000-5000-1000-5000-3000</f>
        <v>-27000</v>
      </c>
      <c r="I31" s="115">
        <v>-27000</v>
      </c>
      <c r="J31" s="9">
        <v>-35000</v>
      </c>
      <c r="L31" s="17"/>
    </row>
    <row r="32" spans="1:14" x14ac:dyDescent="0.3">
      <c r="A32" s="4" t="s">
        <v>45</v>
      </c>
      <c r="B32" s="38">
        <v>-32646</v>
      </c>
      <c r="C32" s="38">
        <v>-42437</v>
      </c>
      <c r="D32" s="38">
        <v>-26923</v>
      </c>
      <c r="E32" s="38">
        <v>-32572</v>
      </c>
      <c r="F32" s="38">
        <v>-50743</v>
      </c>
      <c r="G32" s="38">
        <v>-52811</v>
      </c>
      <c r="H32" s="9">
        <f>-48644-17258-12025-10021-38638-230</f>
        <v>-126816</v>
      </c>
      <c r="I32" s="115">
        <v>-126816</v>
      </c>
      <c r="J32" s="9">
        <v>-60000</v>
      </c>
      <c r="L32" s="17"/>
      <c r="M32" s="55"/>
      <c r="N32" s="55"/>
    </row>
    <row r="33" spans="1:12" ht="24.6" x14ac:dyDescent="0.3">
      <c r="A33" s="4" t="s">
        <v>46</v>
      </c>
      <c r="B33" s="38">
        <f>-60296-7500</f>
        <v>-67796</v>
      </c>
      <c r="C33" s="38">
        <f>-18276-5135</f>
        <v>-23411</v>
      </c>
      <c r="D33" s="38">
        <v>-39936</v>
      </c>
      <c r="E33" s="38">
        <v>-107761</v>
      </c>
      <c r="F33" s="38">
        <v>-154875</v>
      </c>
      <c r="G33" s="38">
        <v>-138715</v>
      </c>
      <c r="H33" s="9">
        <f>-200-666-47-321-535-268-1053-65-438-412-4725-149-976-1260-10825-3487-549-326-549-1236-549-1795-5436-549-3500-118-666-980-1098-104-1995-1521-874-10282-649-1098-838-293+12490-410+19690-392-134-151-13139-19587-348-4041-702-88-403-362+6800-530-6632-358-629-499-320-2990-450-540-484-52-320-195-494-51-3000-376-1000-329-13113-782-125-106-221</f>
        <v>-94805</v>
      </c>
      <c r="I33" s="115">
        <v>-94805</v>
      </c>
      <c r="J33" s="9">
        <v>-45000</v>
      </c>
      <c r="K33" s="157" t="s">
        <v>1238</v>
      </c>
      <c r="L33" s="17"/>
    </row>
    <row r="34" spans="1:12" x14ac:dyDescent="0.3">
      <c r="A34" s="4" t="s">
        <v>491</v>
      </c>
      <c r="B34" s="38">
        <v>0</v>
      </c>
      <c r="C34" s="38">
        <f>-75994-6425</f>
        <v>-82419</v>
      </c>
      <c r="D34" s="38">
        <f>-29362-12800</f>
        <v>-42162</v>
      </c>
      <c r="E34" s="38">
        <v>0</v>
      </c>
      <c r="F34" s="38">
        <v>0</v>
      </c>
      <c r="G34" s="38">
        <v>-102305</v>
      </c>
      <c r="H34" s="9">
        <f>-800-668-800-800-800-800-800-800-800-800-800-800-800-800-800-800-800-800-800-400-800-800-1875-30600-44850</f>
        <v>-94393</v>
      </c>
      <c r="I34" s="115">
        <v>-94393</v>
      </c>
      <c r="J34" s="9">
        <v>-80000</v>
      </c>
      <c r="L34" s="17"/>
    </row>
    <row r="35" spans="1:12" x14ac:dyDescent="0.3">
      <c r="A35" s="4" t="s">
        <v>488</v>
      </c>
      <c r="G35" s="38">
        <v>-14329</v>
      </c>
      <c r="H35" s="9">
        <v>0</v>
      </c>
      <c r="I35" s="115">
        <v>0</v>
      </c>
      <c r="J35" s="9">
        <v>0</v>
      </c>
      <c r="K35" s="157"/>
    </row>
    <row r="36" spans="1:12" x14ac:dyDescent="0.3">
      <c r="A36" s="7" t="s">
        <v>47</v>
      </c>
      <c r="B36" s="39">
        <f>SUM(B18:B34)</f>
        <v>-218877</v>
      </c>
      <c r="C36" s="39">
        <f>SUM(C18:C34)</f>
        <v>-258934</v>
      </c>
      <c r="D36" s="39">
        <f>SUM(D18:D34)</f>
        <v>-187844</v>
      </c>
      <c r="E36" s="39">
        <f>SUM(E18:E34)</f>
        <v>-247088.41999999998</v>
      </c>
      <c r="F36" s="39">
        <f>SUM(F18:F34)</f>
        <v>-325572.77</v>
      </c>
      <c r="G36" s="39">
        <f>SUM(G18:G35)</f>
        <v>-457445</v>
      </c>
      <c r="H36" s="11">
        <f>SUM(H18:H35)</f>
        <v>-467066</v>
      </c>
      <c r="I36" s="116">
        <f>SUM(I18:I35)</f>
        <v>-467066</v>
      </c>
      <c r="J36" s="11">
        <f>SUM(J18:J35)</f>
        <v>-320100</v>
      </c>
      <c r="K36" s="158"/>
      <c r="L36" s="17"/>
    </row>
    <row r="37" spans="1:12" x14ac:dyDescent="0.3">
      <c r="A37" s="7"/>
      <c r="B37" s="41"/>
      <c r="C37" s="41"/>
      <c r="D37" s="41"/>
      <c r="E37" s="39"/>
      <c r="F37" s="39"/>
      <c r="G37" s="39"/>
      <c r="H37" s="113"/>
      <c r="I37" s="117"/>
      <c r="J37" s="11"/>
      <c r="K37" s="158"/>
      <c r="L37" s="17"/>
    </row>
    <row r="38" spans="1:12" s="13" customFormat="1" x14ac:dyDescent="0.3">
      <c r="A38" s="7" t="s">
        <v>48</v>
      </c>
      <c r="B38" s="39">
        <f t="shared" ref="B38:I38" si="1">+B36+B15</f>
        <v>-27148</v>
      </c>
      <c r="C38" s="39">
        <f t="shared" si="1"/>
        <v>86552</v>
      </c>
      <c r="D38" s="39">
        <f t="shared" si="1"/>
        <v>32263</v>
      </c>
      <c r="E38" s="39">
        <f t="shared" si="1"/>
        <v>-7480.1300000000047</v>
      </c>
      <c r="F38" s="39">
        <f t="shared" si="1"/>
        <v>-25959.489999999991</v>
      </c>
      <c r="G38" s="39">
        <f t="shared" si="1"/>
        <v>-167525</v>
      </c>
      <c r="H38" s="11">
        <f t="shared" si="1"/>
        <v>13685</v>
      </c>
      <c r="I38" s="116">
        <f t="shared" si="1"/>
        <v>13685</v>
      </c>
      <c r="J38" s="11">
        <f>J15+J36</f>
        <v>12400</v>
      </c>
      <c r="K38" s="159"/>
      <c r="L38" s="17"/>
    </row>
    <row r="39" spans="1:12" s="13" customFormat="1" x14ac:dyDescent="0.3">
      <c r="A39" s="7"/>
      <c r="B39" s="41"/>
      <c r="C39" s="41"/>
      <c r="D39" s="41"/>
      <c r="E39" s="39"/>
      <c r="F39" s="39"/>
      <c r="G39" s="39"/>
      <c r="H39" s="11"/>
      <c r="I39" s="116"/>
      <c r="J39" s="11"/>
      <c r="K39" s="159"/>
    </row>
    <row r="40" spans="1:12" s="13" customFormat="1" x14ac:dyDescent="0.3">
      <c r="A40" s="7" t="s">
        <v>49</v>
      </c>
      <c r="B40" s="39">
        <v>-10000</v>
      </c>
      <c r="C40" s="39">
        <v>-10000</v>
      </c>
      <c r="D40" s="39">
        <v>-10000</v>
      </c>
      <c r="E40" s="39">
        <v>-10000</v>
      </c>
      <c r="F40" s="39">
        <v>-10000</v>
      </c>
      <c r="G40" s="39">
        <v>-14449</v>
      </c>
      <c r="H40" s="11">
        <v>0</v>
      </c>
      <c r="I40" s="116">
        <v>0</v>
      </c>
      <c r="J40" s="11">
        <v>0</v>
      </c>
      <c r="K40" s="159"/>
    </row>
    <row r="41" spans="1:12" s="13" customFormat="1" ht="16.2" thickBot="1" x14ac:dyDescent="0.35">
      <c r="A41" s="7"/>
      <c r="B41" s="41"/>
      <c r="C41" s="41"/>
      <c r="D41" s="41"/>
      <c r="E41" s="39"/>
      <c r="F41" s="39"/>
      <c r="G41" s="39"/>
      <c r="H41" s="11"/>
      <c r="I41" s="116"/>
      <c r="J41" s="11"/>
      <c r="K41" s="159"/>
    </row>
    <row r="42" spans="1:12" s="13" customFormat="1" ht="16.2" thickBot="1" x14ac:dyDescent="0.35">
      <c r="A42" s="7" t="s">
        <v>88</v>
      </c>
      <c r="B42" s="39">
        <f t="shared" ref="B42:J42" si="2">+B40+B38</f>
        <v>-37148</v>
      </c>
      <c r="C42" s="39">
        <f t="shared" si="2"/>
        <v>76552</v>
      </c>
      <c r="D42" s="39">
        <f t="shared" si="2"/>
        <v>22263</v>
      </c>
      <c r="E42" s="39">
        <f t="shared" si="2"/>
        <v>-17480.130000000005</v>
      </c>
      <c r="F42" s="39">
        <f t="shared" si="2"/>
        <v>-35959.489999999991</v>
      </c>
      <c r="G42" s="39">
        <f t="shared" si="2"/>
        <v>-181974</v>
      </c>
      <c r="H42" s="154">
        <f t="shared" si="2"/>
        <v>13685</v>
      </c>
      <c r="I42" s="33">
        <f t="shared" si="2"/>
        <v>13685</v>
      </c>
      <c r="J42" s="154">
        <f t="shared" si="2"/>
        <v>12400</v>
      </c>
      <c r="K42" s="159"/>
    </row>
    <row r="43" spans="1:12" s="13" customFormat="1" ht="16.2" thickBot="1" x14ac:dyDescent="0.35">
      <c r="A43" s="4"/>
      <c r="B43" s="4"/>
      <c r="C43" s="4"/>
      <c r="D43" s="4"/>
      <c r="E43" s="4"/>
      <c r="F43" s="4"/>
      <c r="G43" s="4"/>
      <c r="I43" s="58"/>
      <c r="J43" s="4"/>
      <c r="K43" s="159"/>
    </row>
    <row r="44" spans="1:12" x14ac:dyDescent="0.3">
      <c r="H44" s="119" t="s">
        <v>916</v>
      </c>
      <c r="I44" s="121"/>
    </row>
    <row r="45" spans="1:12" x14ac:dyDescent="0.3">
      <c r="H45" s="122" t="s">
        <v>917</v>
      </c>
      <c r="I45" s="123"/>
    </row>
    <row r="46" spans="1:12" x14ac:dyDescent="0.3">
      <c r="H46" s="122" t="s">
        <v>1212</v>
      </c>
      <c r="I46" s="168" t="s">
        <v>1210</v>
      </c>
    </row>
    <row r="47" spans="1:12" ht="36.6" x14ac:dyDescent="0.3">
      <c r="H47" s="122" t="s">
        <v>1211</v>
      </c>
      <c r="I47" s="169" t="s">
        <v>1213</v>
      </c>
    </row>
    <row r="48" spans="1:12" ht="28.8" x14ac:dyDescent="0.3">
      <c r="H48" s="172" t="s">
        <v>1235</v>
      </c>
      <c r="I48" s="168" t="s">
        <v>1234</v>
      </c>
    </row>
    <row r="49" spans="8:9" x14ac:dyDescent="0.3">
      <c r="H49" s="124"/>
      <c r="I49" s="123"/>
    </row>
    <row r="50" spans="8:9" x14ac:dyDescent="0.3">
      <c r="H50" s="124"/>
      <c r="I50" s="123"/>
    </row>
    <row r="51" spans="8:9" x14ac:dyDescent="0.3">
      <c r="H51" s="124"/>
      <c r="I51" s="123"/>
    </row>
    <row r="52" spans="8:9" x14ac:dyDescent="0.3">
      <c r="H52" s="122" t="s">
        <v>918</v>
      </c>
      <c r="I52" s="123"/>
    </row>
    <row r="53" spans="8:9" x14ac:dyDescent="0.3">
      <c r="H53" s="124"/>
      <c r="I53" s="123"/>
    </row>
    <row r="54" spans="8:9" ht="16.2" thickBot="1" x14ac:dyDescent="0.35">
      <c r="H54" s="125"/>
      <c r="I54" s="127">
        <f>SUM(I45:I53)</f>
        <v>0</v>
      </c>
    </row>
  </sheetData>
  <pageMargins left="0.25" right="0.25" top="0.75" bottom="0.75" header="0.3" footer="0.3"/>
  <pageSetup paperSize="9" scale="66" orientation="landscape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N54"/>
  <sheetViews>
    <sheetView workbookViewId="0"/>
  </sheetViews>
  <sheetFormatPr defaultColWidth="9.109375" defaultRowHeight="15.6" x14ac:dyDescent="0.3"/>
  <cols>
    <col min="1" max="1" width="30.6640625" style="4" bestFit="1" customWidth="1"/>
    <col min="2" max="7" width="14.33203125" style="4" customWidth="1"/>
    <col min="8" max="8" width="16.44140625" style="1" customWidth="1"/>
    <col min="9" max="9" width="18.5546875" style="1" bestFit="1" customWidth="1"/>
    <col min="10" max="10" width="14.88671875" style="4" customWidth="1"/>
    <col min="11" max="11" width="37.44140625" style="155" customWidth="1"/>
    <col min="12" max="16384" width="9.109375" style="1"/>
  </cols>
  <sheetData>
    <row r="1" spans="1:11" ht="31.8" thickBot="1" x14ac:dyDescent="0.65">
      <c r="A1" s="64" t="s">
        <v>486</v>
      </c>
      <c r="B1" s="61" t="s">
        <v>487</v>
      </c>
      <c r="C1" s="62"/>
      <c r="D1" s="63"/>
      <c r="E1" s="1"/>
    </row>
    <row r="2" spans="1:11" ht="16.2" thickBot="1" x14ac:dyDescent="0.35"/>
    <row r="3" spans="1:11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43" t="s">
        <v>971</v>
      </c>
      <c r="I3" s="57" t="s">
        <v>809</v>
      </c>
      <c r="J3" s="44" t="s">
        <v>922</v>
      </c>
      <c r="K3" s="156"/>
    </row>
    <row r="4" spans="1:11" s="35" customFormat="1" ht="16.2" thickBot="1" x14ac:dyDescent="0.35">
      <c r="A4" s="34"/>
      <c r="B4" s="34"/>
      <c r="C4" s="34"/>
      <c r="D4" s="34"/>
      <c r="E4" s="34"/>
      <c r="F4" s="34"/>
      <c r="G4" s="34"/>
      <c r="H4" s="110">
        <v>41973</v>
      </c>
      <c r="I4" s="110">
        <v>42004</v>
      </c>
      <c r="J4" s="36"/>
      <c r="K4" s="156"/>
    </row>
    <row r="5" spans="1:11" ht="16.2" thickBot="1" x14ac:dyDescent="0.35">
      <c r="A5" s="32" t="s">
        <v>19</v>
      </c>
      <c r="B5" s="10"/>
      <c r="C5" s="7"/>
      <c r="D5" s="7"/>
      <c r="H5" s="111"/>
      <c r="I5" s="111"/>
      <c r="J5" s="8"/>
    </row>
    <row r="6" spans="1:11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9">
        <f>86803-50000+10296+1600+71002</f>
        <v>119701</v>
      </c>
      <c r="I6" s="115">
        <v>130000</v>
      </c>
      <c r="J6" s="9">
        <v>100000</v>
      </c>
      <c r="K6" s="157"/>
    </row>
    <row r="7" spans="1:11" x14ac:dyDescent="0.3">
      <c r="A7" s="4" t="s">
        <v>492</v>
      </c>
      <c r="B7" s="38">
        <v>500</v>
      </c>
      <c r="C7" s="38">
        <v>85850</v>
      </c>
      <c r="D7" s="38">
        <v>62250</v>
      </c>
      <c r="E7" s="38">
        <v>66900</v>
      </c>
      <c r="F7" s="38">
        <v>91100</v>
      </c>
      <c r="G7" s="38">
        <v>83700</v>
      </c>
      <c r="H7" s="9">
        <v>94424</v>
      </c>
      <c r="I7" s="115">
        <v>94500</v>
      </c>
      <c r="J7" s="9">
        <v>85000</v>
      </c>
    </row>
    <row r="8" spans="1:11" ht="28.8" x14ac:dyDescent="0.3">
      <c r="A8" s="4" t="s">
        <v>22</v>
      </c>
      <c r="B8" s="38">
        <v>46200</v>
      </c>
      <c r="C8" s="38">
        <v>38350</v>
      </c>
      <c r="D8" s="38">
        <v>45250</v>
      </c>
      <c r="E8" s="38">
        <v>41550</v>
      </c>
      <c r="F8" s="38">
        <v>70983</v>
      </c>
      <c r="G8" s="38">
        <v>67300</v>
      </c>
      <c r="H8" s="9">
        <f>8000+6000+4250+6550+8100+12400+3100+8100+300+6750+800+5250+4950+2900+400+3200+2250+400+900+600+1200+150+300+400+750</f>
        <v>88000</v>
      </c>
      <c r="I8" s="115">
        <v>106000</v>
      </c>
      <c r="J8" s="9">
        <v>100000</v>
      </c>
      <c r="K8" s="158" t="s">
        <v>1208</v>
      </c>
    </row>
    <row r="9" spans="1:11" x14ac:dyDescent="0.3">
      <c r="A9" s="4" t="s">
        <v>23</v>
      </c>
      <c r="B9" s="38">
        <v>34790</v>
      </c>
      <c r="C9" s="38">
        <f>54700+14100</f>
        <v>68800</v>
      </c>
      <c r="D9" s="38">
        <v>26025</v>
      </c>
      <c r="E9" s="38">
        <v>20105</v>
      </c>
      <c r="F9" s="38">
        <v>28901</v>
      </c>
      <c r="G9" s="38">
        <v>26546</v>
      </c>
      <c r="H9" s="9">
        <f>10000+10000+2500+5750+2175+1877+10000+520+6160+2080+1700+54+8170</f>
        <v>60986</v>
      </c>
      <c r="I9" s="115">
        <v>61000</v>
      </c>
      <c r="J9" s="9">
        <v>30000</v>
      </c>
    </row>
    <row r="10" spans="1:11" x14ac:dyDescent="0.3">
      <c r="A10" s="4" t="s">
        <v>24</v>
      </c>
      <c r="B10" s="38">
        <v>5000</v>
      </c>
      <c r="C10" s="38">
        <v>10000</v>
      </c>
      <c r="D10" s="38">
        <v>0</v>
      </c>
      <c r="E10" s="38">
        <v>14600</v>
      </c>
      <c r="F10" s="38">
        <v>3840</v>
      </c>
      <c r="G10" s="38">
        <v>11500</v>
      </c>
      <c r="H10" s="9">
        <f>10568+5000+8000+5000+5000+4000</f>
        <v>37568</v>
      </c>
      <c r="I10" s="115">
        <v>38000</v>
      </c>
      <c r="J10" s="9">
        <v>15000</v>
      </c>
      <c r="K10" s="158"/>
    </row>
    <row r="11" spans="1:11" x14ac:dyDescent="0.3">
      <c r="A11" s="4" t="s">
        <v>489</v>
      </c>
      <c r="B11" s="38">
        <v>7200</v>
      </c>
      <c r="C11" s="38">
        <v>6866</v>
      </c>
      <c r="D11" s="38">
        <v>2515</v>
      </c>
      <c r="E11" s="38">
        <v>6728</v>
      </c>
      <c r="F11" s="38">
        <v>0</v>
      </c>
      <c r="G11" s="38">
        <v>2978</v>
      </c>
      <c r="H11" s="9">
        <f>12300+3240+23000+1280-23000</f>
        <v>16820</v>
      </c>
      <c r="I11" s="115">
        <v>17000</v>
      </c>
      <c r="J11" s="9">
        <v>0</v>
      </c>
    </row>
    <row r="12" spans="1:11" x14ac:dyDescent="0.3">
      <c r="A12" s="4" t="s">
        <v>26</v>
      </c>
      <c r="B12" s="38">
        <v>0</v>
      </c>
      <c r="C12" s="38">
        <v>0</v>
      </c>
      <c r="D12" s="38">
        <v>0</v>
      </c>
      <c r="E12" s="38">
        <v>5600</v>
      </c>
      <c r="F12" s="38">
        <v>4050</v>
      </c>
      <c r="G12" s="38">
        <v>0</v>
      </c>
      <c r="H12" s="9">
        <v>0</v>
      </c>
      <c r="I12" s="115">
        <v>0</v>
      </c>
      <c r="J12" s="9">
        <v>0</v>
      </c>
    </row>
    <row r="13" spans="1:1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9">
        <v>0</v>
      </c>
      <c r="I13" s="115">
        <v>500</v>
      </c>
      <c r="J13" s="9">
        <v>500</v>
      </c>
    </row>
    <row r="14" spans="1:1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v>4135</v>
      </c>
      <c r="F14" s="38">
        <v>1987</v>
      </c>
      <c r="G14" s="38">
        <v>1630</v>
      </c>
      <c r="H14" s="9">
        <f>1728+305+9454</f>
        <v>11487</v>
      </c>
      <c r="I14" s="115">
        <v>12000</v>
      </c>
      <c r="J14" s="9">
        <v>2000</v>
      </c>
    </row>
    <row r="15" spans="1:11" x14ac:dyDescent="0.3">
      <c r="A15" s="7" t="s">
        <v>29</v>
      </c>
      <c r="B15" s="39">
        <f>SUM(B6:B14)</f>
        <v>191729</v>
      </c>
      <c r="C15" s="39">
        <f>SUM(C6:C14)</f>
        <v>345486</v>
      </c>
      <c r="D15" s="39">
        <f>SUM(D6:D14)</f>
        <v>220107</v>
      </c>
      <c r="E15" s="39">
        <f t="shared" ref="E15:J15" si="0">SUM(E6:E14)</f>
        <v>239608.28999999998</v>
      </c>
      <c r="F15" s="39">
        <f t="shared" si="0"/>
        <v>299613.28000000003</v>
      </c>
      <c r="G15" s="39">
        <f t="shared" si="0"/>
        <v>289920</v>
      </c>
      <c r="H15" s="11">
        <f t="shared" si="0"/>
        <v>428986</v>
      </c>
      <c r="I15" s="116">
        <f t="shared" si="0"/>
        <v>459000</v>
      </c>
      <c r="J15" s="11">
        <f t="shared" si="0"/>
        <v>332500</v>
      </c>
    </row>
    <row r="16" spans="1:11" ht="16.2" thickBot="1" x14ac:dyDescent="0.35">
      <c r="B16" s="38"/>
      <c r="C16" s="40"/>
      <c r="D16" s="40"/>
      <c r="E16" s="38"/>
      <c r="F16" s="40"/>
      <c r="G16" s="40"/>
      <c r="H16" s="111"/>
      <c r="I16" s="117"/>
      <c r="J16" s="9"/>
    </row>
    <row r="17" spans="1:14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112"/>
      <c r="I17" s="118"/>
      <c r="J17" s="9"/>
      <c r="K17" s="159"/>
    </row>
    <row r="18" spans="1:14" x14ac:dyDescent="0.3">
      <c r="A18" s="4" t="s">
        <v>56</v>
      </c>
      <c r="B18" s="38">
        <v>-4459</v>
      </c>
      <c r="C18" s="38">
        <v>-12173</v>
      </c>
      <c r="D18" s="38">
        <v>0</v>
      </c>
      <c r="E18" s="38">
        <v>-180</v>
      </c>
      <c r="F18" s="38">
        <v>-1887</v>
      </c>
      <c r="G18" s="38">
        <v>0</v>
      </c>
      <c r="H18" s="9">
        <v>0</v>
      </c>
      <c r="I18" s="115">
        <v>0</v>
      </c>
      <c r="J18" s="9">
        <v>0</v>
      </c>
    </row>
    <row r="19" spans="1:14" x14ac:dyDescent="0.3">
      <c r="A19" s="4" t="s">
        <v>32</v>
      </c>
      <c r="B19" s="38">
        <f>-2650-3100-1600</f>
        <v>-7350</v>
      </c>
      <c r="C19" s="38">
        <f>-250-2500-1842</f>
        <v>-4592</v>
      </c>
      <c r="D19" s="38">
        <f>-250-4500-1899</f>
        <v>-6649</v>
      </c>
      <c r="E19" s="38">
        <v>-6338</v>
      </c>
      <c r="F19" s="38">
        <v>-6643</v>
      </c>
      <c r="G19" s="38">
        <v>-3530</v>
      </c>
      <c r="H19" s="9">
        <f>-774-250</f>
        <v>-1024</v>
      </c>
      <c r="I19" s="115">
        <v>-2000</v>
      </c>
      <c r="J19" s="9">
        <v>-4000</v>
      </c>
    </row>
    <row r="20" spans="1:14" x14ac:dyDescent="0.3">
      <c r="A20" s="4" t="s">
        <v>33</v>
      </c>
      <c r="B20" s="38">
        <v>0</v>
      </c>
      <c r="C20" s="38">
        <v>0</v>
      </c>
      <c r="D20" s="38">
        <v>0</v>
      </c>
      <c r="E20" s="38">
        <v>-741</v>
      </c>
      <c r="F20" s="38">
        <v>-547</v>
      </c>
      <c r="G20" s="38">
        <v>-154</v>
      </c>
      <c r="H20" s="9">
        <v>0</v>
      </c>
      <c r="I20" s="115">
        <v>-100</v>
      </c>
      <c r="J20" s="9">
        <v>-100</v>
      </c>
      <c r="L20" s="17"/>
    </row>
    <row r="21" spans="1:14" x14ac:dyDescent="0.3">
      <c r="A21" s="4" t="s">
        <v>493</v>
      </c>
      <c r="B21" s="38">
        <v>-635</v>
      </c>
      <c r="C21" s="38">
        <f>-1500-935-3800-2859-81</f>
        <v>-9175</v>
      </c>
      <c r="D21" s="38">
        <f>-755-1100</f>
        <v>-1855</v>
      </c>
      <c r="E21" s="38">
        <v>-2424</v>
      </c>
      <c r="F21" s="38">
        <v>-4637.7700000000004</v>
      </c>
      <c r="G21" s="38">
        <v>-2261</v>
      </c>
      <c r="H21" s="9">
        <f>1300-570-5471+280+1412+280</f>
        <v>-2769</v>
      </c>
      <c r="I21" s="115">
        <v>-6500</v>
      </c>
      <c r="J21" s="9">
        <v>-3000</v>
      </c>
      <c r="L21" s="17"/>
    </row>
    <row r="22" spans="1:14" x14ac:dyDescent="0.3">
      <c r="A22" s="4" t="s">
        <v>35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9">
        <f>-1531-562-4500-1950-200</f>
        <v>-8743</v>
      </c>
      <c r="I22" s="115">
        <v>-9000</v>
      </c>
      <c r="J22" s="9">
        <v>-5000</v>
      </c>
      <c r="L22" s="17"/>
    </row>
    <row r="23" spans="1:14" x14ac:dyDescent="0.3">
      <c r="A23" s="4" t="s">
        <v>36</v>
      </c>
      <c r="B23" s="38">
        <v>-5000</v>
      </c>
      <c r="C23" s="38">
        <v>-350</v>
      </c>
      <c r="D23" s="38">
        <v>0</v>
      </c>
      <c r="E23" s="38">
        <v>-3550</v>
      </c>
      <c r="F23" s="38">
        <v>-10190</v>
      </c>
      <c r="G23" s="38">
        <v>-27295</v>
      </c>
      <c r="H23" s="9">
        <f>-1400-1300-1400-800-1000-500-2000-950-800-1400</f>
        <v>-11550</v>
      </c>
      <c r="I23" s="115">
        <v>-14000</v>
      </c>
      <c r="J23" s="9">
        <v>-15000</v>
      </c>
      <c r="K23" s="157"/>
      <c r="L23" s="17"/>
    </row>
    <row r="24" spans="1:14" x14ac:dyDescent="0.3">
      <c r="A24" s="4" t="s">
        <v>37</v>
      </c>
      <c r="B24" s="38">
        <v>-7900</v>
      </c>
      <c r="C24" s="38">
        <v>0</v>
      </c>
      <c r="D24" s="38">
        <v>0</v>
      </c>
      <c r="E24" s="38">
        <v>-5850</v>
      </c>
      <c r="F24" s="38">
        <v>0</v>
      </c>
      <c r="G24" s="38">
        <v>0</v>
      </c>
      <c r="H24" s="9">
        <v>0</v>
      </c>
      <c r="I24" s="115">
        <v>0</v>
      </c>
      <c r="J24" s="9">
        <v>0</v>
      </c>
      <c r="L24" s="17"/>
    </row>
    <row r="25" spans="1:14" x14ac:dyDescent="0.3">
      <c r="A25" s="4" t="s">
        <v>38</v>
      </c>
      <c r="B25" s="38">
        <v>-4800</v>
      </c>
      <c r="C25" s="38">
        <v>-3398</v>
      </c>
      <c r="D25" s="38">
        <v>0</v>
      </c>
      <c r="E25" s="38">
        <v>-7138</v>
      </c>
      <c r="F25" s="38">
        <v>-3450</v>
      </c>
      <c r="G25" s="38">
        <v>-8100</v>
      </c>
      <c r="H25" s="9">
        <f>-300-1050-1390</f>
        <v>-2740</v>
      </c>
      <c r="I25" s="115">
        <v>-3000</v>
      </c>
      <c r="J25" s="9">
        <v>-10000</v>
      </c>
      <c r="L25" s="17"/>
    </row>
    <row r="26" spans="1:14" x14ac:dyDescent="0.3">
      <c r="A26" s="4" t="s">
        <v>39</v>
      </c>
      <c r="B26" s="38">
        <v>-18016</v>
      </c>
      <c r="C26" s="38">
        <v>-18105</v>
      </c>
      <c r="D26" s="38">
        <v>-14387</v>
      </c>
      <c r="E26" s="38">
        <v>-7915</v>
      </c>
      <c r="F26" s="38">
        <v>-13828</v>
      </c>
      <c r="G26" s="38">
        <v>-24118</v>
      </c>
      <c r="H26" s="9">
        <f>-305-260-545-550-165-870-410-290-580-280-380-790-380-658-380-380-380-790-665-290-250-380-580-380-730-230-380-230-380-380-230-530-760-380-380-515-278-230-230-380-380-635-380-500-865-165-530-1225</f>
        <v>-21861</v>
      </c>
      <c r="I26" s="115">
        <v>-31000</v>
      </c>
      <c r="J26" s="9">
        <v>-25000</v>
      </c>
      <c r="L26" s="17"/>
    </row>
    <row r="27" spans="1:14" x14ac:dyDescent="0.3">
      <c r="A27" s="4" t="s">
        <v>40</v>
      </c>
      <c r="B27" s="38">
        <v>0</v>
      </c>
      <c r="C27" s="38">
        <v>-850</v>
      </c>
      <c r="D27" s="38">
        <v>-625</v>
      </c>
      <c r="E27" s="38">
        <v>-8200</v>
      </c>
      <c r="F27" s="38">
        <v>0</v>
      </c>
      <c r="G27" s="38">
        <v>0</v>
      </c>
      <c r="H27" s="9">
        <f>-2100</f>
        <v>-2100</v>
      </c>
      <c r="I27" s="115">
        <v>-2000</v>
      </c>
      <c r="J27" s="9">
        <v>0</v>
      </c>
      <c r="L27" s="17"/>
    </row>
    <row r="28" spans="1:14" x14ac:dyDescent="0.3">
      <c r="A28" s="4" t="s">
        <v>508</v>
      </c>
      <c r="B28" s="38">
        <v>-11755</v>
      </c>
      <c r="C28" s="38">
        <v>-20024</v>
      </c>
      <c r="D28" s="38">
        <v>-13297</v>
      </c>
      <c r="E28" s="38">
        <v>-14853.42</v>
      </c>
      <c r="F28" s="38">
        <v>-18717</v>
      </c>
      <c r="G28" s="38">
        <v>-4027</v>
      </c>
      <c r="H28" s="9">
        <f>-1785-800-765-8342-2145-3793-315-2288-71+700</f>
        <v>-19604</v>
      </c>
      <c r="I28" s="115">
        <v>-20000</v>
      </c>
      <c r="J28" s="9">
        <v>-8000</v>
      </c>
      <c r="L28" s="17"/>
    </row>
    <row r="29" spans="1:14" x14ac:dyDescent="0.3">
      <c r="A29" s="4" t="s">
        <v>154</v>
      </c>
      <c r="B29" s="38">
        <v>-19050</v>
      </c>
      <c r="C29" s="38">
        <f>-13250-1750</f>
        <v>-15000</v>
      </c>
      <c r="D29" s="38">
        <v>-19650</v>
      </c>
      <c r="E29" s="38">
        <v>-15750</v>
      </c>
      <c r="F29" s="38">
        <v>-21750</v>
      </c>
      <c r="G29" s="38">
        <v>-30300</v>
      </c>
      <c r="H29" s="9">
        <f>-4750-12750+1550</f>
        <v>-15950</v>
      </c>
      <c r="I29" s="115">
        <v>-19500</v>
      </c>
      <c r="J29" s="9">
        <v>-20000</v>
      </c>
      <c r="K29" s="157" t="s">
        <v>969</v>
      </c>
      <c r="L29" s="17"/>
    </row>
    <row r="30" spans="1:14" x14ac:dyDescent="0.3">
      <c r="A30" s="4" t="s">
        <v>43</v>
      </c>
      <c r="B30" s="38">
        <v>-14470</v>
      </c>
      <c r="C30" s="38">
        <v>-10300</v>
      </c>
      <c r="D30" s="38">
        <v>-4860</v>
      </c>
      <c r="E30" s="38">
        <v>0</v>
      </c>
      <c r="F30" s="38">
        <v>-18405</v>
      </c>
      <c r="G30" s="38">
        <v>-10950</v>
      </c>
      <c r="H30" s="9">
        <f>-6400</f>
        <v>-6400</v>
      </c>
      <c r="I30" s="115">
        <v>-8000</v>
      </c>
      <c r="J30" s="9">
        <v>-10000</v>
      </c>
      <c r="L30" s="17"/>
    </row>
    <row r="31" spans="1:14" x14ac:dyDescent="0.3">
      <c r="A31" s="4" t="s">
        <v>44</v>
      </c>
      <c r="B31" s="38">
        <v>-25000</v>
      </c>
      <c r="C31" s="38">
        <v>-15000</v>
      </c>
      <c r="D31" s="38">
        <v>-17500</v>
      </c>
      <c r="E31" s="38">
        <v>-30416</v>
      </c>
      <c r="F31" s="38">
        <v>-16000</v>
      </c>
      <c r="G31" s="38">
        <v>-34000</v>
      </c>
      <c r="H31" s="9">
        <v>0</v>
      </c>
      <c r="I31" s="115">
        <v>-27000</v>
      </c>
      <c r="J31" s="9">
        <v>-35000</v>
      </c>
      <c r="L31" s="17"/>
    </row>
    <row r="32" spans="1:14" x14ac:dyDescent="0.3">
      <c r="A32" s="4" t="s">
        <v>45</v>
      </c>
      <c r="B32" s="38">
        <v>-32646</v>
      </c>
      <c r="C32" s="38">
        <v>-42437</v>
      </c>
      <c r="D32" s="38">
        <v>-26923</v>
      </c>
      <c r="E32" s="38">
        <v>-32572</v>
      </c>
      <c r="F32" s="38">
        <v>-50743</v>
      </c>
      <c r="G32" s="38">
        <v>-52811</v>
      </c>
      <c r="H32" s="9">
        <f>-48644-17258-12025-10021-38638-230</f>
        <v>-126816</v>
      </c>
      <c r="I32" s="115">
        <v>-127000</v>
      </c>
      <c r="J32" s="9">
        <v>-60000</v>
      </c>
      <c r="L32" s="17"/>
      <c r="M32" s="55"/>
      <c r="N32" s="55"/>
    </row>
    <row r="33" spans="1:12" ht="24.6" x14ac:dyDescent="0.3">
      <c r="A33" s="4" t="s">
        <v>46</v>
      </c>
      <c r="B33" s="38">
        <f>-60296-7500</f>
        <v>-67796</v>
      </c>
      <c r="C33" s="38">
        <f>-18276-5135</f>
        <v>-23411</v>
      </c>
      <c r="D33" s="38">
        <v>-39936</v>
      </c>
      <c r="E33" s="38">
        <v>-107761</v>
      </c>
      <c r="F33" s="38">
        <v>-154875</v>
      </c>
      <c r="G33" s="38">
        <v>-138715</v>
      </c>
      <c r="H33" s="9">
        <f>-200-666-47-321-535-268-1053-65-438-412-149-976-1260-10825-3487-549-326-549-1236-549-1795-5436-549-3500-118-666-980-1098-104-1995-1521-874-10282-649-1098-838-293+12490-410+19990-392-134-151-13139-19587-348-4041-702-88-403-362+6800-530-6632-358-629-499-320-2990-450-540-484-52-320-195-494-51-3000-376-1000-329</f>
        <v>-75433</v>
      </c>
      <c r="I33" s="115">
        <v>-93000</v>
      </c>
      <c r="J33" s="9">
        <v>-45000</v>
      </c>
      <c r="K33" s="157" t="s">
        <v>1209</v>
      </c>
      <c r="L33" s="17"/>
    </row>
    <row r="34" spans="1:12" x14ac:dyDescent="0.3">
      <c r="A34" s="4" t="s">
        <v>491</v>
      </c>
      <c r="B34" s="38">
        <v>0</v>
      </c>
      <c r="C34" s="38">
        <f>-75994-6425</f>
        <v>-82419</v>
      </c>
      <c r="D34" s="38">
        <f>-29362-12800</f>
        <v>-42162</v>
      </c>
      <c r="E34" s="38">
        <v>0</v>
      </c>
      <c r="F34" s="38">
        <v>0</v>
      </c>
      <c r="G34" s="38">
        <v>-102305</v>
      </c>
      <c r="H34" s="9">
        <f>-800-668-800-800-800-800-800-800-800-800-800-800-800-800-800-800-800-800-800-400-800-800-1875-30600-44850</f>
        <v>-94393</v>
      </c>
      <c r="I34" s="115">
        <v>-94500</v>
      </c>
      <c r="J34" s="9">
        <v>-80000</v>
      </c>
      <c r="L34" s="17"/>
    </row>
    <row r="35" spans="1:12" x14ac:dyDescent="0.3">
      <c r="A35" s="4" t="s">
        <v>488</v>
      </c>
      <c r="G35" s="38">
        <v>-14329</v>
      </c>
      <c r="H35" s="9">
        <v>0</v>
      </c>
      <c r="I35" s="115">
        <v>0</v>
      </c>
      <c r="J35" s="9">
        <v>0</v>
      </c>
      <c r="K35" s="157"/>
    </row>
    <row r="36" spans="1:12" x14ac:dyDescent="0.3">
      <c r="A36" s="7" t="s">
        <v>47</v>
      </c>
      <c r="B36" s="39">
        <f>SUM(B18:B34)</f>
        <v>-218877</v>
      </c>
      <c r="C36" s="39">
        <f>SUM(C18:C34)</f>
        <v>-258934</v>
      </c>
      <c r="D36" s="39">
        <f>SUM(D18:D34)</f>
        <v>-187844</v>
      </c>
      <c r="E36" s="39">
        <f>SUM(E18:E34)</f>
        <v>-247088.41999999998</v>
      </c>
      <c r="F36" s="39">
        <f>SUM(F18:F34)</f>
        <v>-325572.77</v>
      </c>
      <c r="G36" s="39">
        <f>SUM(G18:G35)</f>
        <v>-457445</v>
      </c>
      <c r="H36" s="11">
        <f>SUM(H18:H35)</f>
        <v>-389383</v>
      </c>
      <c r="I36" s="116">
        <f>SUM(I18:I35)</f>
        <v>-456600</v>
      </c>
      <c r="J36" s="11">
        <f>SUM(J18:J35)</f>
        <v>-320100</v>
      </c>
      <c r="K36" s="158"/>
      <c r="L36" s="17"/>
    </row>
    <row r="37" spans="1:12" x14ac:dyDescent="0.3">
      <c r="A37" s="7"/>
      <c r="B37" s="41"/>
      <c r="C37" s="41"/>
      <c r="D37" s="41"/>
      <c r="E37" s="39"/>
      <c r="F37" s="39"/>
      <c r="G37" s="39"/>
      <c r="H37" s="113"/>
      <c r="I37" s="117"/>
      <c r="J37" s="11"/>
      <c r="K37" s="158"/>
      <c r="L37" s="17"/>
    </row>
    <row r="38" spans="1:12" s="13" customFormat="1" x14ac:dyDescent="0.3">
      <c r="A38" s="7" t="s">
        <v>48</v>
      </c>
      <c r="B38" s="39">
        <f t="shared" ref="B38:I38" si="1">+B36+B15</f>
        <v>-27148</v>
      </c>
      <c r="C38" s="39">
        <f t="shared" si="1"/>
        <v>86552</v>
      </c>
      <c r="D38" s="39">
        <f t="shared" si="1"/>
        <v>32263</v>
      </c>
      <c r="E38" s="39">
        <f t="shared" si="1"/>
        <v>-7480.1300000000047</v>
      </c>
      <c r="F38" s="39">
        <f t="shared" si="1"/>
        <v>-25959.489999999991</v>
      </c>
      <c r="G38" s="39">
        <f t="shared" si="1"/>
        <v>-167525</v>
      </c>
      <c r="H38" s="11">
        <f t="shared" si="1"/>
        <v>39603</v>
      </c>
      <c r="I38" s="116">
        <f t="shared" si="1"/>
        <v>2400</v>
      </c>
      <c r="J38" s="11">
        <f>J15+J36</f>
        <v>12400</v>
      </c>
      <c r="K38" s="159"/>
      <c r="L38" s="17"/>
    </row>
    <row r="39" spans="1:12" s="13" customFormat="1" x14ac:dyDescent="0.3">
      <c r="A39" s="7"/>
      <c r="B39" s="41"/>
      <c r="C39" s="41"/>
      <c r="D39" s="41"/>
      <c r="E39" s="39"/>
      <c r="F39" s="39"/>
      <c r="G39" s="39"/>
      <c r="H39" s="11"/>
      <c r="I39" s="116"/>
      <c r="J39" s="11"/>
      <c r="K39" s="159"/>
    </row>
    <row r="40" spans="1:12" s="13" customFormat="1" x14ac:dyDescent="0.3">
      <c r="A40" s="7" t="s">
        <v>49</v>
      </c>
      <c r="B40" s="39">
        <v>-10000</v>
      </c>
      <c r="C40" s="39">
        <v>-10000</v>
      </c>
      <c r="D40" s="39">
        <v>-10000</v>
      </c>
      <c r="E40" s="39">
        <v>-10000</v>
      </c>
      <c r="F40" s="39">
        <v>-10000</v>
      </c>
      <c r="G40" s="39">
        <v>-14449</v>
      </c>
      <c r="H40" s="11">
        <v>0</v>
      </c>
      <c r="I40" s="116">
        <v>0</v>
      </c>
      <c r="J40" s="11">
        <v>0</v>
      </c>
      <c r="K40" s="159"/>
    </row>
    <row r="41" spans="1:12" s="13" customFormat="1" ht="16.2" thickBot="1" x14ac:dyDescent="0.35">
      <c r="A41" s="7"/>
      <c r="B41" s="41"/>
      <c r="C41" s="41"/>
      <c r="D41" s="41"/>
      <c r="E41" s="39"/>
      <c r="F41" s="39"/>
      <c r="G41" s="39"/>
      <c r="H41" s="11"/>
      <c r="I41" s="116"/>
      <c r="J41" s="11"/>
      <c r="K41" s="159"/>
    </row>
    <row r="42" spans="1:12" s="13" customFormat="1" ht="16.2" thickBot="1" x14ac:dyDescent="0.35">
      <c r="A42" s="7" t="s">
        <v>88</v>
      </c>
      <c r="B42" s="39">
        <f t="shared" ref="B42:J42" si="2">+B40+B38</f>
        <v>-37148</v>
      </c>
      <c r="C42" s="39">
        <f t="shared" si="2"/>
        <v>76552</v>
      </c>
      <c r="D42" s="39">
        <f t="shared" si="2"/>
        <v>22263</v>
      </c>
      <c r="E42" s="39">
        <f t="shared" si="2"/>
        <v>-17480.130000000005</v>
      </c>
      <c r="F42" s="39">
        <f t="shared" si="2"/>
        <v>-35959.489999999991</v>
      </c>
      <c r="G42" s="39">
        <f t="shared" si="2"/>
        <v>-181974</v>
      </c>
      <c r="H42" s="154">
        <f t="shared" si="2"/>
        <v>39603</v>
      </c>
      <c r="I42" s="33">
        <f t="shared" si="2"/>
        <v>2400</v>
      </c>
      <c r="J42" s="154">
        <f t="shared" si="2"/>
        <v>12400</v>
      </c>
      <c r="K42" s="159"/>
    </row>
    <row r="43" spans="1:12" s="13" customFormat="1" ht="16.2" thickBot="1" x14ac:dyDescent="0.35">
      <c r="A43" s="4"/>
      <c r="B43" s="4"/>
      <c r="C43" s="4"/>
      <c r="D43" s="4"/>
      <c r="E43" s="4"/>
      <c r="F43" s="4"/>
      <c r="G43" s="4"/>
      <c r="I43" s="58"/>
      <c r="J43" s="4"/>
      <c r="K43" s="159"/>
    </row>
    <row r="44" spans="1:12" x14ac:dyDescent="0.3">
      <c r="H44" s="119" t="s">
        <v>916</v>
      </c>
      <c r="I44" s="121"/>
    </row>
    <row r="45" spans="1:12" x14ac:dyDescent="0.3">
      <c r="H45" s="122" t="s">
        <v>917</v>
      </c>
      <c r="I45" s="123"/>
    </row>
    <row r="46" spans="1:12" x14ac:dyDescent="0.3">
      <c r="H46" s="122" t="s">
        <v>1212</v>
      </c>
      <c r="I46" s="168" t="s">
        <v>1210</v>
      </c>
    </row>
    <row r="47" spans="1:12" ht="36.6" x14ac:dyDescent="0.3">
      <c r="H47" s="122" t="s">
        <v>1211</v>
      </c>
      <c r="I47" s="169" t="s">
        <v>1213</v>
      </c>
    </row>
    <row r="48" spans="1:12" x14ac:dyDescent="0.3">
      <c r="H48" s="124"/>
      <c r="I48" s="123"/>
    </row>
    <row r="49" spans="8:9" x14ac:dyDescent="0.3">
      <c r="H49" s="124"/>
      <c r="I49" s="123"/>
    </row>
    <row r="50" spans="8:9" x14ac:dyDescent="0.3">
      <c r="H50" s="124"/>
      <c r="I50" s="123"/>
    </row>
    <row r="51" spans="8:9" x14ac:dyDescent="0.3">
      <c r="H51" s="124"/>
      <c r="I51" s="123"/>
    </row>
    <row r="52" spans="8:9" x14ac:dyDescent="0.3">
      <c r="H52" s="122" t="s">
        <v>918</v>
      </c>
      <c r="I52" s="123"/>
    </row>
    <row r="53" spans="8:9" x14ac:dyDescent="0.3">
      <c r="H53" s="124"/>
      <c r="I53" s="123"/>
    </row>
    <row r="54" spans="8:9" ht="16.2" thickBot="1" x14ac:dyDescent="0.35">
      <c r="H54" s="125"/>
      <c r="I54" s="127">
        <f>SUM(I45:I53)</f>
        <v>0</v>
      </c>
    </row>
  </sheetData>
  <pageMargins left="0.25" right="0.25" top="0.75" bottom="0.75" header="0.3" footer="0.3"/>
  <pageSetup paperSize="9" scale="67" orientation="landscape"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N54"/>
  <sheetViews>
    <sheetView topLeftCell="A11" workbookViewId="0">
      <selection activeCell="A31" sqref="A31"/>
    </sheetView>
  </sheetViews>
  <sheetFormatPr defaultColWidth="9.109375" defaultRowHeight="15.6" x14ac:dyDescent="0.3"/>
  <cols>
    <col min="1" max="1" width="30.6640625" style="4" bestFit="1" customWidth="1"/>
    <col min="2" max="7" width="14.33203125" style="4" customWidth="1"/>
    <col min="8" max="8" width="16.44140625" style="1" customWidth="1"/>
    <col min="9" max="9" width="18.5546875" style="1" bestFit="1" customWidth="1"/>
    <col min="10" max="10" width="14.88671875" style="4" customWidth="1"/>
    <col min="11" max="11" width="37.44140625" style="155" customWidth="1"/>
    <col min="12" max="16384" width="9.109375" style="1"/>
  </cols>
  <sheetData>
    <row r="1" spans="1:11" ht="31.8" thickBot="1" x14ac:dyDescent="0.65">
      <c r="A1" s="64" t="s">
        <v>486</v>
      </c>
      <c r="B1" s="61" t="s">
        <v>487</v>
      </c>
      <c r="C1" s="62"/>
      <c r="D1" s="63"/>
      <c r="E1" s="1"/>
    </row>
    <row r="2" spans="1:11" ht="16.2" thickBot="1" x14ac:dyDescent="0.35"/>
    <row r="3" spans="1:11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43" t="s">
        <v>971</v>
      </c>
      <c r="I3" s="57" t="s">
        <v>809</v>
      </c>
      <c r="J3" s="44" t="s">
        <v>922</v>
      </c>
      <c r="K3" s="156"/>
    </row>
    <row r="4" spans="1:11" s="35" customFormat="1" ht="16.2" thickBot="1" x14ac:dyDescent="0.35">
      <c r="A4" s="34"/>
      <c r="B4" s="34"/>
      <c r="C4" s="34"/>
      <c r="D4" s="34"/>
      <c r="E4" s="34"/>
      <c r="F4" s="34"/>
      <c r="G4" s="34"/>
      <c r="H4" s="110">
        <v>41912</v>
      </c>
      <c r="I4" s="110">
        <v>42004</v>
      </c>
      <c r="J4" s="36"/>
      <c r="K4" s="156"/>
    </row>
    <row r="5" spans="1:11" ht="16.2" thickBot="1" x14ac:dyDescent="0.35">
      <c r="A5" s="32" t="s">
        <v>19</v>
      </c>
      <c r="B5" s="10"/>
      <c r="C5" s="7"/>
      <c r="D5" s="7"/>
      <c r="H5" s="111"/>
      <c r="I5" s="111"/>
      <c r="J5" s="8"/>
    </row>
    <row r="6" spans="1:11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9">
        <f>86803-50000+10296+1600+71002</f>
        <v>119701</v>
      </c>
      <c r="I6" s="115">
        <v>130000</v>
      </c>
      <c r="J6" s="9">
        <v>100000</v>
      </c>
      <c r="K6" s="157"/>
    </row>
    <row r="7" spans="1:11" x14ac:dyDescent="0.3">
      <c r="A7" s="4" t="s">
        <v>492</v>
      </c>
      <c r="B7" s="38">
        <v>500</v>
      </c>
      <c r="C7" s="38">
        <v>85850</v>
      </c>
      <c r="D7" s="38">
        <v>62250</v>
      </c>
      <c r="E7" s="38">
        <v>66900</v>
      </c>
      <c r="F7" s="38">
        <v>91100</v>
      </c>
      <c r="G7" s="38">
        <v>83700</v>
      </c>
      <c r="H7" s="9">
        <v>94424</v>
      </c>
      <c r="I7" s="115">
        <v>94500</v>
      </c>
      <c r="J7" s="9">
        <v>85000</v>
      </c>
    </row>
    <row r="8" spans="1:11" ht="28.8" x14ac:dyDescent="0.3">
      <c r="A8" s="4" t="s">
        <v>22</v>
      </c>
      <c r="B8" s="38">
        <v>46200</v>
      </c>
      <c r="C8" s="38">
        <v>38350</v>
      </c>
      <c r="D8" s="38">
        <v>45250</v>
      </c>
      <c r="E8" s="38">
        <v>41550</v>
      </c>
      <c r="F8" s="38">
        <v>70983</v>
      </c>
      <c r="G8" s="38">
        <v>67300</v>
      </c>
      <c r="H8" s="9">
        <f>8000+6000+4250+6550+8100+12400+3100+8100+300+6750+800+5250+4950+2900+400+3200+2250+400+900+600+1200+150+300+400+750</f>
        <v>88000</v>
      </c>
      <c r="I8" s="115">
        <v>100000</v>
      </c>
      <c r="J8" s="9">
        <v>100000</v>
      </c>
      <c r="K8" s="158" t="s">
        <v>1137</v>
      </c>
    </row>
    <row r="9" spans="1:11" x14ac:dyDescent="0.3">
      <c r="A9" s="4" t="s">
        <v>23</v>
      </c>
      <c r="B9" s="38">
        <v>34790</v>
      </c>
      <c r="C9" s="38">
        <f>54700+14100</f>
        <v>68800</v>
      </c>
      <c r="D9" s="38">
        <v>26025</v>
      </c>
      <c r="E9" s="38">
        <v>20105</v>
      </c>
      <c r="F9" s="38">
        <v>28901</v>
      </c>
      <c r="G9" s="38">
        <v>26546</v>
      </c>
      <c r="H9" s="9">
        <v>10000</v>
      </c>
      <c r="I9" s="115">
        <v>60000</v>
      </c>
      <c r="J9" s="9">
        <v>30000</v>
      </c>
    </row>
    <row r="10" spans="1:11" x14ac:dyDescent="0.3">
      <c r="A10" s="4" t="s">
        <v>24</v>
      </c>
      <c r="B10" s="38">
        <v>5000</v>
      </c>
      <c r="C10" s="38">
        <v>10000</v>
      </c>
      <c r="D10" s="38">
        <v>0</v>
      </c>
      <c r="E10" s="38">
        <v>14600</v>
      </c>
      <c r="F10" s="38">
        <v>3840</v>
      </c>
      <c r="G10" s="38">
        <v>11500</v>
      </c>
      <c r="H10" s="9">
        <f>10568+5000+8000+5000</f>
        <v>28568</v>
      </c>
      <c r="I10" s="115">
        <v>35000</v>
      </c>
      <c r="J10" s="9">
        <v>15000</v>
      </c>
      <c r="K10" s="158"/>
    </row>
    <row r="11" spans="1:11" x14ac:dyDescent="0.3">
      <c r="A11" s="4" t="s">
        <v>489</v>
      </c>
      <c r="B11" s="38">
        <v>7200</v>
      </c>
      <c r="C11" s="38">
        <v>6866</v>
      </c>
      <c r="D11" s="38">
        <v>2515</v>
      </c>
      <c r="E11" s="38">
        <v>6728</v>
      </c>
      <c r="F11" s="38">
        <v>0</v>
      </c>
      <c r="G11" s="38">
        <v>2978</v>
      </c>
      <c r="H11" s="9">
        <f>12300+3240+23000+1280-23000</f>
        <v>16820</v>
      </c>
      <c r="I11" s="115">
        <v>17000</v>
      </c>
      <c r="J11" s="9">
        <v>0</v>
      </c>
    </row>
    <row r="12" spans="1:11" x14ac:dyDescent="0.3">
      <c r="A12" s="4" t="s">
        <v>26</v>
      </c>
      <c r="B12" s="38">
        <v>0</v>
      </c>
      <c r="C12" s="38">
        <v>0</v>
      </c>
      <c r="D12" s="38">
        <v>0</v>
      </c>
      <c r="E12" s="38">
        <v>5600</v>
      </c>
      <c r="F12" s="38">
        <v>4050</v>
      </c>
      <c r="G12" s="38">
        <v>0</v>
      </c>
      <c r="H12" s="9">
        <v>0</v>
      </c>
      <c r="I12" s="115">
        <v>0</v>
      </c>
      <c r="J12" s="9">
        <v>0</v>
      </c>
    </row>
    <row r="13" spans="1:1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9">
        <v>0</v>
      </c>
      <c r="I13" s="115">
        <v>500</v>
      </c>
      <c r="J13" s="9">
        <v>500</v>
      </c>
    </row>
    <row r="14" spans="1:1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v>4135</v>
      </c>
      <c r="F14" s="38">
        <v>1987</v>
      </c>
      <c r="G14" s="38">
        <v>1630</v>
      </c>
      <c r="H14" s="9">
        <f>1728+305+9454</f>
        <v>11487</v>
      </c>
      <c r="I14" s="115">
        <v>12000</v>
      </c>
      <c r="J14" s="9">
        <v>2000</v>
      </c>
    </row>
    <row r="15" spans="1:11" x14ac:dyDescent="0.3">
      <c r="A15" s="7" t="s">
        <v>29</v>
      </c>
      <c r="B15" s="39">
        <f>SUM(B6:B14)</f>
        <v>191729</v>
      </c>
      <c r="C15" s="39">
        <f>SUM(C6:C14)</f>
        <v>345486</v>
      </c>
      <c r="D15" s="39">
        <f>SUM(D6:D14)</f>
        <v>220107</v>
      </c>
      <c r="E15" s="39">
        <f t="shared" ref="E15:J15" si="0">SUM(E6:E14)</f>
        <v>239608.28999999998</v>
      </c>
      <c r="F15" s="39">
        <f t="shared" si="0"/>
        <v>299613.28000000003</v>
      </c>
      <c r="G15" s="39">
        <f t="shared" si="0"/>
        <v>289920</v>
      </c>
      <c r="H15" s="11">
        <f t="shared" si="0"/>
        <v>369000</v>
      </c>
      <c r="I15" s="116">
        <f t="shared" si="0"/>
        <v>449000</v>
      </c>
      <c r="J15" s="11">
        <f t="shared" si="0"/>
        <v>332500</v>
      </c>
    </row>
    <row r="16" spans="1:11" ht="16.2" thickBot="1" x14ac:dyDescent="0.35">
      <c r="B16" s="38"/>
      <c r="C16" s="40"/>
      <c r="D16" s="40"/>
      <c r="E16" s="38"/>
      <c r="F16" s="40"/>
      <c r="G16" s="40"/>
      <c r="H16" s="111"/>
      <c r="I16" s="117"/>
      <c r="J16" s="9"/>
    </row>
    <row r="17" spans="1:14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112"/>
      <c r="I17" s="118"/>
      <c r="J17" s="9"/>
      <c r="K17" s="159"/>
    </row>
    <row r="18" spans="1:14" x14ac:dyDescent="0.3">
      <c r="A18" s="4" t="s">
        <v>56</v>
      </c>
      <c r="B18" s="38">
        <v>-4459</v>
      </c>
      <c r="C18" s="38">
        <v>-12173</v>
      </c>
      <c r="D18" s="38">
        <v>0</v>
      </c>
      <c r="E18" s="38">
        <v>-180</v>
      </c>
      <c r="F18" s="38">
        <v>-1887</v>
      </c>
      <c r="G18" s="38">
        <v>0</v>
      </c>
      <c r="H18" s="9">
        <v>0</v>
      </c>
      <c r="I18" s="115">
        <v>0</v>
      </c>
      <c r="J18" s="9">
        <v>0</v>
      </c>
    </row>
    <row r="19" spans="1:14" x14ac:dyDescent="0.3">
      <c r="A19" s="4" t="s">
        <v>32</v>
      </c>
      <c r="B19" s="38">
        <f>-2650-3100-1600</f>
        <v>-7350</v>
      </c>
      <c r="C19" s="38">
        <f>-250-2500-1842</f>
        <v>-4592</v>
      </c>
      <c r="D19" s="38">
        <f>-250-4500-1899</f>
        <v>-6649</v>
      </c>
      <c r="E19" s="38">
        <v>-6338</v>
      </c>
      <c r="F19" s="38">
        <v>-6643</v>
      </c>
      <c r="G19" s="38">
        <v>-3530</v>
      </c>
      <c r="H19" s="9">
        <f>-774-250</f>
        <v>-1024</v>
      </c>
      <c r="I19" s="115">
        <v>-2000</v>
      </c>
      <c r="J19" s="9">
        <v>-4000</v>
      </c>
    </row>
    <row r="20" spans="1:14" x14ac:dyDescent="0.3">
      <c r="A20" s="4" t="s">
        <v>33</v>
      </c>
      <c r="B20" s="38">
        <v>0</v>
      </c>
      <c r="C20" s="38">
        <v>0</v>
      </c>
      <c r="D20" s="38">
        <v>0</v>
      </c>
      <c r="E20" s="38">
        <v>-741</v>
      </c>
      <c r="F20" s="38">
        <v>-547</v>
      </c>
      <c r="G20" s="38">
        <v>-154</v>
      </c>
      <c r="H20" s="9">
        <v>0</v>
      </c>
      <c r="I20" s="115">
        <v>-100</v>
      </c>
      <c r="J20" s="9">
        <v>-100</v>
      </c>
      <c r="L20" s="17"/>
    </row>
    <row r="21" spans="1:14" x14ac:dyDescent="0.3">
      <c r="A21" s="4" t="s">
        <v>493</v>
      </c>
      <c r="B21" s="38">
        <v>-635</v>
      </c>
      <c r="C21" s="38">
        <f>-1500-935-3800-2859-81</f>
        <v>-9175</v>
      </c>
      <c r="D21" s="38">
        <f>-755-1100</f>
        <v>-1855</v>
      </c>
      <c r="E21" s="38">
        <v>-2424</v>
      </c>
      <c r="F21" s="38">
        <v>-4637.7700000000004</v>
      </c>
      <c r="G21" s="38">
        <v>-2261</v>
      </c>
      <c r="H21" s="9">
        <f>1300-570</f>
        <v>730</v>
      </c>
      <c r="I21" s="115">
        <v>-6000</v>
      </c>
      <c r="J21" s="9">
        <v>-3000</v>
      </c>
      <c r="L21" s="17"/>
    </row>
    <row r="22" spans="1:14" x14ac:dyDescent="0.3">
      <c r="A22" s="4" t="s">
        <v>35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9">
        <f>-1531-562-4500-1950-200</f>
        <v>-8743</v>
      </c>
      <c r="I22" s="115">
        <v>-9000</v>
      </c>
      <c r="J22" s="9">
        <v>-5000</v>
      </c>
      <c r="L22" s="17"/>
    </row>
    <row r="23" spans="1:14" x14ac:dyDescent="0.3">
      <c r="A23" s="4" t="s">
        <v>36</v>
      </c>
      <c r="B23" s="38">
        <v>-5000</v>
      </c>
      <c r="C23" s="38">
        <v>-350</v>
      </c>
      <c r="D23" s="38">
        <v>0</v>
      </c>
      <c r="E23" s="38">
        <v>-3550</v>
      </c>
      <c r="F23" s="38">
        <v>-10190</v>
      </c>
      <c r="G23" s="38">
        <v>-27295</v>
      </c>
      <c r="H23" s="9">
        <f>-1400-1300-1400-800-1000-500-2000-950</f>
        <v>-9350</v>
      </c>
      <c r="I23" s="115">
        <v>-10000</v>
      </c>
      <c r="J23" s="9">
        <v>-15000</v>
      </c>
      <c r="K23" s="157"/>
      <c r="L23" s="17"/>
    </row>
    <row r="24" spans="1:14" x14ac:dyDescent="0.3">
      <c r="A24" s="4" t="s">
        <v>37</v>
      </c>
      <c r="B24" s="38">
        <v>-7900</v>
      </c>
      <c r="C24" s="38">
        <v>0</v>
      </c>
      <c r="D24" s="38">
        <v>0</v>
      </c>
      <c r="E24" s="38">
        <v>-5850</v>
      </c>
      <c r="F24" s="38">
        <v>0</v>
      </c>
      <c r="G24" s="38">
        <v>0</v>
      </c>
      <c r="H24" s="9">
        <v>0</v>
      </c>
      <c r="I24" s="115">
        <v>0</v>
      </c>
      <c r="J24" s="9">
        <v>0</v>
      </c>
      <c r="L24" s="17"/>
    </row>
    <row r="25" spans="1:14" x14ac:dyDescent="0.3">
      <c r="A25" s="4" t="s">
        <v>38</v>
      </c>
      <c r="B25" s="38">
        <v>-4800</v>
      </c>
      <c r="C25" s="38">
        <v>-3398</v>
      </c>
      <c r="D25" s="38">
        <v>0</v>
      </c>
      <c r="E25" s="38">
        <v>-7138</v>
      </c>
      <c r="F25" s="38">
        <v>-3450</v>
      </c>
      <c r="G25" s="38">
        <v>-8100</v>
      </c>
      <c r="H25" s="9">
        <f>-300-1050</f>
        <v>-1350</v>
      </c>
      <c r="I25" s="115">
        <v>-2000</v>
      </c>
      <c r="J25" s="9">
        <v>-10000</v>
      </c>
      <c r="L25" s="17"/>
    </row>
    <row r="26" spans="1:14" x14ac:dyDescent="0.3">
      <c r="A26" s="4" t="s">
        <v>39</v>
      </c>
      <c r="B26" s="38">
        <v>-18016</v>
      </c>
      <c r="C26" s="38">
        <v>-18105</v>
      </c>
      <c r="D26" s="38">
        <v>-14387</v>
      </c>
      <c r="E26" s="38">
        <v>-7915</v>
      </c>
      <c r="F26" s="38">
        <v>-13828</v>
      </c>
      <c r="G26" s="38">
        <v>-24118</v>
      </c>
      <c r="H26" s="9">
        <f>-305-260-545-550-165-870-410-290-580-280-380-790-380-658-380-380-380-790-665-290-250-380-580-380-730-230-380-230-380-380-230-530-760-380-380-515-278-230-230-380-380-635</f>
        <v>-18196</v>
      </c>
      <c r="I26" s="115">
        <v>-30000</v>
      </c>
      <c r="J26" s="9">
        <v>-25000</v>
      </c>
      <c r="L26" s="17"/>
    </row>
    <row r="27" spans="1:14" x14ac:dyDescent="0.3">
      <c r="A27" s="4" t="s">
        <v>40</v>
      </c>
      <c r="B27" s="38">
        <v>0</v>
      </c>
      <c r="C27" s="38">
        <v>-850</v>
      </c>
      <c r="D27" s="38">
        <v>-625</v>
      </c>
      <c r="E27" s="38">
        <v>-8200</v>
      </c>
      <c r="F27" s="38">
        <v>0</v>
      </c>
      <c r="G27" s="38">
        <v>0</v>
      </c>
      <c r="H27" s="9">
        <f>-2100</f>
        <v>-2100</v>
      </c>
      <c r="I27" s="115">
        <v>-2000</v>
      </c>
      <c r="J27" s="9">
        <v>0</v>
      </c>
      <c r="L27" s="17"/>
    </row>
    <row r="28" spans="1:14" x14ac:dyDescent="0.3">
      <c r="A28" s="4" t="s">
        <v>508</v>
      </c>
      <c r="B28" s="38">
        <v>-11755</v>
      </c>
      <c r="C28" s="38">
        <v>-20024</v>
      </c>
      <c r="D28" s="38">
        <v>-13297</v>
      </c>
      <c r="E28" s="38">
        <v>-14853.42</v>
      </c>
      <c r="F28" s="38">
        <v>-18717</v>
      </c>
      <c r="G28" s="38">
        <v>-4027</v>
      </c>
      <c r="H28" s="9">
        <f>-1785-800-765-8342-2145-3793-315-2288</f>
        <v>-20233</v>
      </c>
      <c r="I28" s="115">
        <v>-25000</v>
      </c>
      <c r="J28" s="9">
        <v>-8000</v>
      </c>
      <c r="L28" s="17"/>
    </row>
    <row r="29" spans="1:14" x14ac:dyDescent="0.3">
      <c r="A29" s="4" t="s">
        <v>154</v>
      </c>
      <c r="B29" s="38">
        <v>-19050</v>
      </c>
      <c r="C29" s="38">
        <f>-13250-1750</f>
        <v>-15000</v>
      </c>
      <c r="D29" s="38">
        <v>-19650</v>
      </c>
      <c r="E29" s="38">
        <v>-15750</v>
      </c>
      <c r="F29" s="38">
        <v>-21750</v>
      </c>
      <c r="G29" s="38">
        <v>-30300</v>
      </c>
      <c r="H29" s="9">
        <f>-4750-12750+1550</f>
        <v>-15950</v>
      </c>
      <c r="I29" s="115">
        <v>-18000</v>
      </c>
      <c r="J29" s="9">
        <v>-20000</v>
      </c>
      <c r="K29" s="157" t="s">
        <v>969</v>
      </c>
      <c r="L29" s="17"/>
    </row>
    <row r="30" spans="1:14" x14ac:dyDescent="0.3">
      <c r="A30" s="4" t="s">
        <v>43</v>
      </c>
      <c r="B30" s="38">
        <v>-14470</v>
      </c>
      <c r="C30" s="38">
        <v>-10300</v>
      </c>
      <c r="D30" s="38">
        <v>-4860</v>
      </c>
      <c r="E30" s="38">
        <v>0</v>
      </c>
      <c r="F30" s="38">
        <v>-18405</v>
      </c>
      <c r="G30" s="38">
        <v>-10950</v>
      </c>
      <c r="H30" s="9">
        <f>-6400</f>
        <v>-6400</v>
      </c>
      <c r="I30" s="115">
        <v>-10000</v>
      </c>
      <c r="J30" s="9">
        <v>-10000</v>
      </c>
      <c r="L30" s="17"/>
    </row>
    <row r="31" spans="1:14" x14ac:dyDescent="0.3">
      <c r="A31" s="4" t="s">
        <v>44</v>
      </c>
      <c r="B31" s="38">
        <v>-25000</v>
      </c>
      <c r="C31" s="38">
        <v>-15000</v>
      </c>
      <c r="D31" s="38">
        <v>-17500</v>
      </c>
      <c r="E31" s="38">
        <v>-30416</v>
      </c>
      <c r="F31" s="38">
        <v>-16000</v>
      </c>
      <c r="G31" s="38">
        <v>-34000</v>
      </c>
      <c r="H31" s="9">
        <v>0</v>
      </c>
      <c r="I31" s="115">
        <v>-35000</v>
      </c>
      <c r="J31" s="9">
        <v>-35000</v>
      </c>
      <c r="L31" s="17"/>
    </row>
    <row r="32" spans="1:14" x14ac:dyDescent="0.3">
      <c r="A32" s="4" t="s">
        <v>45</v>
      </c>
      <c r="B32" s="38">
        <v>-32646</v>
      </c>
      <c r="C32" s="38">
        <v>-42437</v>
      </c>
      <c r="D32" s="38">
        <v>-26923</v>
      </c>
      <c r="E32" s="38">
        <v>-32572</v>
      </c>
      <c r="F32" s="38">
        <v>-50743</v>
      </c>
      <c r="G32" s="38">
        <v>-52811</v>
      </c>
      <c r="H32" s="9">
        <f>-48644-17258-12025-10021-38638</f>
        <v>-126586</v>
      </c>
      <c r="I32" s="115">
        <v>-128000</v>
      </c>
      <c r="J32" s="9">
        <v>-60000</v>
      </c>
      <c r="L32" s="17"/>
      <c r="M32" s="55"/>
      <c r="N32" s="55"/>
    </row>
    <row r="33" spans="1:12" ht="24.6" x14ac:dyDescent="0.3">
      <c r="A33" s="4" t="s">
        <v>46</v>
      </c>
      <c r="B33" s="38">
        <f>-60296-7500</f>
        <v>-67796</v>
      </c>
      <c r="C33" s="38">
        <f>-18276-5135</f>
        <v>-23411</v>
      </c>
      <c r="D33" s="38">
        <v>-39936</v>
      </c>
      <c r="E33" s="38">
        <v>-107761</v>
      </c>
      <c r="F33" s="38">
        <v>-154875</v>
      </c>
      <c r="G33" s="38">
        <v>-138715</v>
      </c>
      <c r="H33" s="9">
        <f>-200-666-47-321-535-268-1053-65-438-412-149-976-1260-10825-3487-549-326-549-1236-549-1795-5436-549-3500-118-666-980-1098-104-1995-1521-874-10282-649-1098-838-293+12490-410+19990-392-134-151-13139-19587-348-4041-702-88-403-362+6800-530-6632-358-629-499-320-2990-450-540</f>
        <v>-69132</v>
      </c>
      <c r="I33" s="115">
        <v>-80000</v>
      </c>
      <c r="J33" s="9">
        <v>-45000</v>
      </c>
      <c r="K33" s="157" t="s">
        <v>1159</v>
      </c>
      <c r="L33" s="17"/>
    </row>
    <row r="34" spans="1:12" x14ac:dyDescent="0.3">
      <c r="A34" s="4" t="s">
        <v>491</v>
      </c>
      <c r="B34" s="38">
        <v>0</v>
      </c>
      <c r="C34" s="38">
        <f>-75994-6425</f>
        <v>-82419</v>
      </c>
      <c r="D34" s="38">
        <f>-29362-12800</f>
        <v>-42162</v>
      </c>
      <c r="E34" s="38">
        <v>0</v>
      </c>
      <c r="F34" s="38">
        <v>0</v>
      </c>
      <c r="G34" s="38">
        <v>-102305</v>
      </c>
      <c r="H34" s="9">
        <f>-800-668-800-800-800-800-800-800-800-800-800-800-800-800-800-800-800-800-800-400-800-800-1875-30600-44850</f>
        <v>-94393</v>
      </c>
      <c r="I34" s="115">
        <v>-94500</v>
      </c>
      <c r="J34" s="9">
        <v>-80000</v>
      </c>
      <c r="L34" s="17"/>
    </row>
    <row r="35" spans="1:12" x14ac:dyDescent="0.3">
      <c r="A35" s="4" t="s">
        <v>488</v>
      </c>
      <c r="G35" s="38">
        <v>-14329</v>
      </c>
      <c r="H35" s="9">
        <v>0</v>
      </c>
      <c r="I35" s="115">
        <v>0</v>
      </c>
      <c r="J35" s="9">
        <v>0</v>
      </c>
      <c r="K35" s="157"/>
    </row>
    <row r="36" spans="1:12" x14ac:dyDescent="0.3">
      <c r="A36" s="7" t="s">
        <v>47</v>
      </c>
      <c r="B36" s="39">
        <f>SUM(B18:B34)</f>
        <v>-218877</v>
      </c>
      <c r="C36" s="39">
        <f>SUM(C18:C34)</f>
        <v>-258934</v>
      </c>
      <c r="D36" s="39">
        <f>SUM(D18:D34)</f>
        <v>-187844</v>
      </c>
      <c r="E36" s="39">
        <f>SUM(E18:E34)</f>
        <v>-247088.41999999998</v>
      </c>
      <c r="F36" s="39">
        <f>SUM(F18:F34)</f>
        <v>-325572.77</v>
      </c>
      <c r="G36" s="39">
        <f>SUM(G18:G35)</f>
        <v>-457445</v>
      </c>
      <c r="H36" s="11">
        <f>SUM(H18:H35)</f>
        <v>-372727</v>
      </c>
      <c r="I36" s="116">
        <f>SUM(I18:I35)</f>
        <v>-451600</v>
      </c>
      <c r="J36" s="11">
        <f>SUM(J18:J35)</f>
        <v>-320100</v>
      </c>
      <c r="K36" s="158"/>
      <c r="L36" s="17"/>
    </row>
    <row r="37" spans="1:12" x14ac:dyDescent="0.3">
      <c r="A37" s="7"/>
      <c r="B37" s="41"/>
      <c r="C37" s="41"/>
      <c r="D37" s="41"/>
      <c r="E37" s="39"/>
      <c r="F37" s="39"/>
      <c r="G37" s="39"/>
      <c r="H37" s="113"/>
      <c r="I37" s="117"/>
      <c r="J37" s="11"/>
      <c r="K37" s="158"/>
      <c r="L37" s="17"/>
    </row>
    <row r="38" spans="1:12" s="13" customFormat="1" x14ac:dyDescent="0.3">
      <c r="A38" s="7" t="s">
        <v>48</v>
      </c>
      <c r="B38" s="39">
        <f t="shared" ref="B38:I38" si="1">+B36+B15</f>
        <v>-27148</v>
      </c>
      <c r="C38" s="39">
        <f t="shared" si="1"/>
        <v>86552</v>
      </c>
      <c r="D38" s="39">
        <f t="shared" si="1"/>
        <v>32263</v>
      </c>
      <c r="E38" s="39">
        <f t="shared" si="1"/>
        <v>-7480.1300000000047</v>
      </c>
      <c r="F38" s="39">
        <f t="shared" si="1"/>
        <v>-25959.489999999991</v>
      </c>
      <c r="G38" s="39">
        <f t="shared" si="1"/>
        <v>-167525</v>
      </c>
      <c r="H38" s="11">
        <f t="shared" si="1"/>
        <v>-3727</v>
      </c>
      <c r="I38" s="116">
        <f t="shared" si="1"/>
        <v>-2600</v>
      </c>
      <c r="J38" s="11">
        <f>J15+J36</f>
        <v>12400</v>
      </c>
      <c r="K38" s="159"/>
      <c r="L38" s="17"/>
    </row>
    <row r="39" spans="1:12" s="13" customFormat="1" x14ac:dyDescent="0.3">
      <c r="A39" s="7"/>
      <c r="B39" s="41"/>
      <c r="C39" s="41"/>
      <c r="D39" s="41"/>
      <c r="E39" s="39"/>
      <c r="F39" s="39"/>
      <c r="G39" s="39"/>
      <c r="H39" s="11"/>
      <c r="I39" s="116"/>
      <c r="J39" s="11"/>
      <c r="K39" s="159"/>
    </row>
    <row r="40" spans="1:12" s="13" customFormat="1" x14ac:dyDescent="0.3">
      <c r="A40" s="7" t="s">
        <v>49</v>
      </c>
      <c r="B40" s="39">
        <v>-10000</v>
      </c>
      <c r="C40" s="39">
        <v>-10000</v>
      </c>
      <c r="D40" s="39">
        <v>-10000</v>
      </c>
      <c r="E40" s="39">
        <v>-10000</v>
      </c>
      <c r="F40" s="39">
        <v>-10000</v>
      </c>
      <c r="G40" s="39">
        <v>-14449</v>
      </c>
      <c r="H40" s="11">
        <v>0</v>
      </c>
      <c r="I40" s="116">
        <v>0</v>
      </c>
      <c r="J40" s="11">
        <v>0</v>
      </c>
      <c r="K40" s="159"/>
    </row>
    <row r="41" spans="1:12" s="13" customFormat="1" ht="16.2" thickBot="1" x14ac:dyDescent="0.35">
      <c r="A41" s="7"/>
      <c r="B41" s="41"/>
      <c r="C41" s="41"/>
      <c r="D41" s="41"/>
      <c r="E41" s="39"/>
      <c r="F41" s="39"/>
      <c r="G41" s="39"/>
      <c r="H41" s="11"/>
      <c r="I41" s="116"/>
      <c r="J41" s="11"/>
      <c r="K41" s="159"/>
    </row>
    <row r="42" spans="1:12" s="13" customFormat="1" ht="16.2" thickBot="1" x14ac:dyDescent="0.35">
      <c r="A42" s="7" t="s">
        <v>88</v>
      </c>
      <c r="B42" s="39">
        <f t="shared" ref="B42:J42" si="2">+B40+B38</f>
        <v>-37148</v>
      </c>
      <c r="C42" s="39">
        <f t="shared" si="2"/>
        <v>76552</v>
      </c>
      <c r="D42" s="39">
        <f t="shared" si="2"/>
        <v>22263</v>
      </c>
      <c r="E42" s="39">
        <f t="shared" si="2"/>
        <v>-17480.130000000005</v>
      </c>
      <c r="F42" s="39">
        <f t="shared" si="2"/>
        <v>-35959.489999999991</v>
      </c>
      <c r="G42" s="39">
        <f t="shared" si="2"/>
        <v>-181974</v>
      </c>
      <c r="H42" s="154">
        <f t="shared" si="2"/>
        <v>-3727</v>
      </c>
      <c r="I42" s="33">
        <f t="shared" si="2"/>
        <v>-2600</v>
      </c>
      <c r="J42" s="154">
        <f t="shared" si="2"/>
        <v>12400</v>
      </c>
      <c r="K42" s="159"/>
    </row>
    <row r="43" spans="1:12" s="13" customFormat="1" ht="16.2" thickBot="1" x14ac:dyDescent="0.35">
      <c r="A43" s="4"/>
      <c r="B43" s="4"/>
      <c r="C43" s="4"/>
      <c r="D43" s="4"/>
      <c r="E43" s="4"/>
      <c r="F43" s="4"/>
      <c r="G43" s="4"/>
      <c r="I43" s="58"/>
      <c r="J43" s="4"/>
      <c r="K43" s="159"/>
    </row>
    <row r="44" spans="1:12" x14ac:dyDescent="0.3">
      <c r="H44" s="119" t="s">
        <v>916</v>
      </c>
      <c r="I44" s="121"/>
    </row>
    <row r="45" spans="1:12" x14ac:dyDescent="0.3">
      <c r="H45" s="122" t="s">
        <v>917</v>
      </c>
      <c r="I45" s="123"/>
    </row>
    <row r="46" spans="1:12" x14ac:dyDescent="0.3">
      <c r="H46" s="122"/>
      <c r="I46" s="123"/>
    </row>
    <row r="47" spans="1:12" x14ac:dyDescent="0.3">
      <c r="H47" s="124"/>
      <c r="I47" s="123"/>
    </row>
    <row r="48" spans="1:12" x14ac:dyDescent="0.3">
      <c r="H48" s="124"/>
      <c r="I48" s="123"/>
    </row>
    <row r="49" spans="8:9" x14ac:dyDescent="0.3">
      <c r="H49" s="124"/>
      <c r="I49" s="123"/>
    </row>
    <row r="50" spans="8:9" x14ac:dyDescent="0.3">
      <c r="H50" s="124"/>
      <c r="I50" s="123"/>
    </row>
    <row r="51" spans="8:9" x14ac:dyDescent="0.3">
      <c r="H51" s="124"/>
      <c r="I51" s="123"/>
    </row>
    <row r="52" spans="8:9" x14ac:dyDescent="0.3">
      <c r="H52" s="122" t="s">
        <v>918</v>
      </c>
      <c r="I52" s="123"/>
    </row>
    <row r="53" spans="8:9" x14ac:dyDescent="0.3">
      <c r="H53" s="124"/>
      <c r="I53" s="123"/>
    </row>
    <row r="54" spans="8:9" ht="16.2" thickBot="1" x14ac:dyDescent="0.35">
      <c r="H54" s="125"/>
      <c r="I54" s="127">
        <f>SUM(I45:I53)</f>
        <v>0</v>
      </c>
    </row>
  </sheetData>
  <pageMargins left="0.25" right="0.25" top="0.75" bottom="0.75" header="0.3" footer="0.3"/>
  <pageSetup paperSize="9" scale="67" orientation="landscape"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N54"/>
  <sheetViews>
    <sheetView workbookViewId="0"/>
  </sheetViews>
  <sheetFormatPr defaultColWidth="9.109375" defaultRowHeight="15.6" x14ac:dyDescent="0.3"/>
  <cols>
    <col min="1" max="1" width="30.6640625" style="4" bestFit="1" customWidth="1"/>
    <col min="2" max="7" width="14.33203125" style="4" customWidth="1"/>
    <col min="8" max="8" width="16.44140625" style="1" customWidth="1"/>
    <col min="9" max="9" width="18.5546875" style="1" bestFit="1" customWidth="1"/>
    <col min="10" max="10" width="14.88671875" style="4" customWidth="1"/>
    <col min="11" max="11" width="37.44140625" style="155" customWidth="1"/>
    <col min="12" max="16384" width="9.109375" style="1"/>
  </cols>
  <sheetData>
    <row r="1" spans="1:11" ht="31.8" thickBot="1" x14ac:dyDescent="0.65">
      <c r="A1" s="64" t="s">
        <v>486</v>
      </c>
      <c r="B1" s="61" t="s">
        <v>487</v>
      </c>
      <c r="C1" s="62"/>
      <c r="D1" s="63"/>
      <c r="E1" s="1"/>
    </row>
    <row r="2" spans="1:11" ht="16.2" thickBot="1" x14ac:dyDescent="0.35"/>
    <row r="3" spans="1:11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43" t="s">
        <v>971</v>
      </c>
      <c r="I3" s="57" t="s">
        <v>809</v>
      </c>
      <c r="J3" s="44" t="s">
        <v>922</v>
      </c>
      <c r="K3" s="156"/>
    </row>
    <row r="4" spans="1:11" s="35" customFormat="1" ht="16.2" thickBot="1" x14ac:dyDescent="0.35">
      <c r="A4" s="34"/>
      <c r="B4" s="34"/>
      <c r="C4" s="34"/>
      <c r="D4" s="34"/>
      <c r="E4" s="34"/>
      <c r="F4" s="34"/>
      <c r="G4" s="34"/>
      <c r="H4" s="110">
        <v>41897</v>
      </c>
      <c r="I4" s="110">
        <v>42004</v>
      </c>
      <c r="J4" s="36"/>
      <c r="K4" s="156"/>
    </row>
    <row r="5" spans="1:11" ht="16.2" thickBot="1" x14ac:dyDescent="0.35">
      <c r="A5" s="32" t="s">
        <v>19</v>
      </c>
      <c r="B5" s="10"/>
      <c r="C5" s="7"/>
      <c r="D5" s="7"/>
      <c r="H5" s="111"/>
      <c r="I5" s="111"/>
      <c r="J5" s="8"/>
    </row>
    <row r="6" spans="1:11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9">
        <f>86803-50000+10296+1600+71002</f>
        <v>119701</v>
      </c>
      <c r="I6" s="115">
        <v>130000</v>
      </c>
      <c r="J6" s="9">
        <v>100000</v>
      </c>
      <c r="K6" s="157"/>
    </row>
    <row r="7" spans="1:11" x14ac:dyDescent="0.3">
      <c r="A7" s="4" t="s">
        <v>492</v>
      </c>
      <c r="B7" s="38">
        <v>500</v>
      </c>
      <c r="C7" s="38">
        <v>85850</v>
      </c>
      <c r="D7" s="38">
        <v>62250</v>
      </c>
      <c r="E7" s="38">
        <v>66900</v>
      </c>
      <c r="F7" s="38">
        <v>91100</v>
      </c>
      <c r="G7" s="38">
        <v>83700</v>
      </c>
      <c r="H7" s="9">
        <v>94424</v>
      </c>
      <c r="I7" s="115">
        <v>94500</v>
      </c>
      <c r="J7" s="9">
        <v>85000</v>
      </c>
    </row>
    <row r="8" spans="1:11" ht="28.8" x14ac:dyDescent="0.3">
      <c r="A8" s="4" t="s">
        <v>22</v>
      </c>
      <c r="B8" s="38">
        <v>46200</v>
      </c>
      <c r="C8" s="38">
        <v>38350</v>
      </c>
      <c r="D8" s="38">
        <v>45250</v>
      </c>
      <c r="E8" s="38">
        <v>41550</v>
      </c>
      <c r="F8" s="38">
        <v>70983</v>
      </c>
      <c r="G8" s="38">
        <v>67300</v>
      </c>
      <c r="H8" s="9">
        <f>8000+6000+4250+6550+8100+12400+3100+8100+300+6750+800+5250+4950+2900+400+3200+2250+400+900+600+1200+150+300+400</f>
        <v>87250</v>
      </c>
      <c r="I8" s="115">
        <v>100000</v>
      </c>
      <c r="J8" s="9">
        <v>100000</v>
      </c>
      <c r="K8" s="158" t="s">
        <v>1137</v>
      </c>
    </row>
    <row r="9" spans="1:11" x14ac:dyDescent="0.3">
      <c r="A9" s="4" t="s">
        <v>23</v>
      </c>
      <c r="B9" s="38">
        <v>34790</v>
      </c>
      <c r="C9" s="38">
        <f>54700+14100</f>
        <v>68800</v>
      </c>
      <c r="D9" s="38">
        <v>26025</v>
      </c>
      <c r="E9" s="38">
        <v>20105</v>
      </c>
      <c r="F9" s="38">
        <v>28901</v>
      </c>
      <c r="G9" s="38">
        <v>26546</v>
      </c>
      <c r="H9" s="9">
        <v>10000</v>
      </c>
      <c r="I9" s="115">
        <v>45000</v>
      </c>
      <c r="J9" s="9">
        <v>30000</v>
      </c>
    </row>
    <row r="10" spans="1:11" x14ac:dyDescent="0.3">
      <c r="A10" s="4" t="s">
        <v>24</v>
      </c>
      <c r="B10" s="38">
        <v>5000</v>
      </c>
      <c r="C10" s="38">
        <v>10000</v>
      </c>
      <c r="D10" s="38">
        <v>0</v>
      </c>
      <c r="E10" s="38">
        <v>14600</v>
      </c>
      <c r="F10" s="38">
        <v>3840</v>
      </c>
      <c r="G10" s="38">
        <v>11500</v>
      </c>
      <c r="H10" s="9">
        <f>10568+5000+8000+5000</f>
        <v>28568</v>
      </c>
      <c r="I10" s="115">
        <v>30000</v>
      </c>
      <c r="J10" s="9">
        <v>15000</v>
      </c>
      <c r="K10" s="158"/>
    </row>
    <row r="11" spans="1:11" x14ac:dyDescent="0.3">
      <c r="A11" s="4" t="s">
        <v>489</v>
      </c>
      <c r="B11" s="38">
        <v>7200</v>
      </c>
      <c r="C11" s="38">
        <v>6866</v>
      </c>
      <c r="D11" s="38">
        <v>2515</v>
      </c>
      <c r="E11" s="38">
        <v>6728</v>
      </c>
      <c r="F11" s="38">
        <v>0</v>
      </c>
      <c r="G11" s="38">
        <v>2978</v>
      </c>
      <c r="H11" s="9">
        <f>12300+3240+23000+1280-23000</f>
        <v>16820</v>
      </c>
      <c r="I11" s="115">
        <v>17000</v>
      </c>
      <c r="J11" s="9">
        <v>0</v>
      </c>
    </row>
    <row r="12" spans="1:11" x14ac:dyDescent="0.3">
      <c r="A12" s="4" t="s">
        <v>26</v>
      </c>
      <c r="B12" s="38">
        <v>0</v>
      </c>
      <c r="C12" s="38">
        <v>0</v>
      </c>
      <c r="D12" s="38">
        <v>0</v>
      </c>
      <c r="E12" s="38">
        <v>5600</v>
      </c>
      <c r="F12" s="38">
        <v>4050</v>
      </c>
      <c r="G12" s="38">
        <v>0</v>
      </c>
      <c r="H12" s="9">
        <v>0</v>
      </c>
      <c r="I12" s="115">
        <v>0</v>
      </c>
      <c r="J12" s="9">
        <v>0</v>
      </c>
    </row>
    <row r="13" spans="1:1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9">
        <v>0</v>
      </c>
      <c r="I13" s="115">
        <v>500</v>
      </c>
      <c r="J13" s="9">
        <v>500</v>
      </c>
    </row>
    <row r="14" spans="1:1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v>4135</v>
      </c>
      <c r="F14" s="38">
        <v>1987</v>
      </c>
      <c r="G14" s="38">
        <v>1630</v>
      </c>
      <c r="H14" s="9">
        <f>1728+305+9454</f>
        <v>11487</v>
      </c>
      <c r="I14" s="115">
        <v>12000</v>
      </c>
      <c r="J14" s="9">
        <v>2000</v>
      </c>
    </row>
    <row r="15" spans="1:11" x14ac:dyDescent="0.3">
      <c r="A15" s="7" t="s">
        <v>29</v>
      </c>
      <c r="B15" s="39">
        <f>SUM(B6:B14)</f>
        <v>191729</v>
      </c>
      <c r="C15" s="39">
        <f>SUM(C6:C14)</f>
        <v>345486</v>
      </c>
      <c r="D15" s="39">
        <f>SUM(D6:D14)</f>
        <v>220107</v>
      </c>
      <c r="E15" s="39">
        <f t="shared" ref="E15:J15" si="0">SUM(E6:E14)</f>
        <v>239608.28999999998</v>
      </c>
      <c r="F15" s="39">
        <f t="shared" si="0"/>
        <v>299613.28000000003</v>
      </c>
      <c r="G15" s="39">
        <f t="shared" si="0"/>
        <v>289920</v>
      </c>
      <c r="H15" s="11">
        <f t="shared" si="0"/>
        <v>368250</v>
      </c>
      <c r="I15" s="116">
        <f t="shared" si="0"/>
        <v>429000</v>
      </c>
      <c r="J15" s="11">
        <f t="shared" si="0"/>
        <v>332500</v>
      </c>
    </row>
    <row r="16" spans="1:11" ht="16.2" thickBot="1" x14ac:dyDescent="0.35">
      <c r="B16" s="38"/>
      <c r="C16" s="40"/>
      <c r="D16" s="40"/>
      <c r="E16" s="38"/>
      <c r="F16" s="40"/>
      <c r="G16" s="40"/>
      <c r="H16" s="111"/>
      <c r="I16" s="117"/>
      <c r="J16" s="9"/>
    </row>
    <row r="17" spans="1:14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112"/>
      <c r="I17" s="118"/>
      <c r="J17" s="9"/>
      <c r="K17" s="159"/>
    </row>
    <row r="18" spans="1:14" x14ac:dyDescent="0.3">
      <c r="A18" s="4" t="s">
        <v>56</v>
      </c>
      <c r="B18" s="38">
        <v>-4459</v>
      </c>
      <c r="C18" s="38">
        <v>-12173</v>
      </c>
      <c r="D18" s="38">
        <v>0</v>
      </c>
      <c r="E18" s="38">
        <v>-180</v>
      </c>
      <c r="F18" s="38">
        <v>-1887</v>
      </c>
      <c r="G18" s="38">
        <v>0</v>
      </c>
      <c r="H18" s="9">
        <v>0</v>
      </c>
      <c r="I18" s="115">
        <v>0</v>
      </c>
      <c r="J18" s="9">
        <v>0</v>
      </c>
    </row>
    <row r="19" spans="1:14" x14ac:dyDescent="0.3">
      <c r="A19" s="4" t="s">
        <v>32</v>
      </c>
      <c r="B19" s="38">
        <f>-2650-3100-1600</f>
        <v>-7350</v>
      </c>
      <c r="C19" s="38">
        <f>-250-2500-1842</f>
        <v>-4592</v>
      </c>
      <c r="D19" s="38">
        <f>-250-4500-1899</f>
        <v>-6649</v>
      </c>
      <c r="E19" s="38">
        <v>-6338</v>
      </c>
      <c r="F19" s="38">
        <v>-6643</v>
      </c>
      <c r="G19" s="38">
        <v>-3530</v>
      </c>
      <c r="H19" s="9">
        <f>-774-250</f>
        <v>-1024</v>
      </c>
      <c r="I19" s="115">
        <v>-4000</v>
      </c>
      <c r="J19" s="9">
        <v>-4000</v>
      </c>
    </row>
    <row r="20" spans="1:14" x14ac:dyDescent="0.3">
      <c r="A20" s="4" t="s">
        <v>33</v>
      </c>
      <c r="B20" s="38">
        <v>0</v>
      </c>
      <c r="C20" s="38">
        <v>0</v>
      </c>
      <c r="D20" s="38">
        <v>0</v>
      </c>
      <c r="E20" s="38">
        <v>-741</v>
      </c>
      <c r="F20" s="38">
        <v>-547</v>
      </c>
      <c r="G20" s="38">
        <v>-154</v>
      </c>
      <c r="H20" s="9">
        <v>0</v>
      </c>
      <c r="I20" s="115">
        <v>-100</v>
      </c>
      <c r="J20" s="9">
        <v>-100</v>
      </c>
      <c r="L20" s="17"/>
    </row>
    <row r="21" spans="1:14" x14ac:dyDescent="0.3">
      <c r="A21" s="4" t="s">
        <v>493</v>
      </c>
      <c r="B21" s="38">
        <v>-635</v>
      </c>
      <c r="C21" s="38">
        <f>-1500-935-3800-2859-81</f>
        <v>-9175</v>
      </c>
      <c r="D21" s="38">
        <f>-755-1100</f>
        <v>-1855</v>
      </c>
      <c r="E21" s="38">
        <v>-2424</v>
      </c>
      <c r="F21" s="38">
        <v>-4637.7700000000004</v>
      </c>
      <c r="G21" s="38">
        <v>-2261</v>
      </c>
      <c r="H21" s="9">
        <f>1300-570</f>
        <v>730</v>
      </c>
      <c r="I21" s="115">
        <v>-5000</v>
      </c>
      <c r="J21" s="9">
        <v>-3000</v>
      </c>
      <c r="L21" s="17"/>
    </row>
    <row r="22" spans="1:14" x14ac:dyDescent="0.3">
      <c r="A22" s="4" t="s">
        <v>35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9">
        <f>-1531-562-4500-1950-200</f>
        <v>-8743</v>
      </c>
      <c r="I22" s="115">
        <v>-9000</v>
      </c>
      <c r="J22" s="9">
        <v>-5000</v>
      </c>
      <c r="L22" s="17"/>
    </row>
    <row r="23" spans="1:14" x14ac:dyDescent="0.3">
      <c r="A23" s="4" t="s">
        <v>36</v>
      </c>
      <c r="B23" s="38">
        <v>-5000</v>
      </c>
      <c r="C23" s="38">
        <v>-350</v>
      </c>
      <c r="D23" s="38">
        <v>0</v>
      </c>
      <c r="E23" s="38">
        <v>-3550</v>
      </c>
      <c r="F23" s="38">
        <v>-10190</v>
      </c>
      <c r="G23" s="38">
        <v>-27295</v>
      </c>
      <c r="H23" s="9">
        <f>-1400-1300-1400-800-1000-500-2000</f>
        <v>-8400</v>
      </c>
      <c r="I23" s="115">
        <v>-8000</v>
      </c>
      <c r="J23" s="9">
        <v>-15000</v>
      </c>
      <c r="K23" s="157"/>
      <c r="L23" s="17"/>
    </row>
    <row r="24" spans="1:14" x14ac:dyDescent="0.3">
      <c r="A24" s="4" t="s">
        <v>37</v>
      </c>
      <c r="B24" s="38">
        <v>-7900</v>
      </c>
      <c r="C24" s="38">
        <v>0</v>
      </c>
      <c r="D24" s="38">
        <v>0</v>
      </c>
      <c r="E24" s="38">
        <v>-5850</v>
      </c>
      <c r="F24" s="38">
        <v>0</v>
      </c>
      <c r="G24" s="38">
        <v>0</v>
      </c>
      <c r="H24" s="9">
        <v>0</v>
      </c>
      <c r="I24" s="115">
        <v>0</v>
      </c>
      <c r="J24" s="9">
        <v>0</v>
      </c>
      <c r="L24" s="17"/>
    </row>
    <row r="25" spans="1:14" x14ac:dyDescent="0.3">
      <c r="A25" s="4" t="s">
        <v>38</v>
      </c>
      <c r="B25" s="38">
        <v>-4800</v>
      </c>
      <c r="C25" s="38">
        <v>-3398</v>
      </c>
      <c r="D25" s="38">
        <v>0</v>
      </c>
      <c r="E25" s="38">
        <v>-7138</v>
      </c>
      <c r="F25" s="38">
        <v>-3450</v>
      </c>
      <c r="G25" s="38">
        <v>-8100</v>
      </c>
      <c r="H25" s="9">
        <f>-300-1050</f>
        <v>-1350</v>
      </c>
      <c r="I25" s="115">
        <v>-2000</v>
      </c>
      <c r="J25" s="9">
        <v>-10000</v>
      </c>
      <c r="L25" s="17"/>
    </row>
    <row r="26" spans="1:14" x14ac:dyDescent="0.3">
      <c r="A26" s="4" t="s">
        <v>39</v>
      </c>
      <c r="B26" s="38">
        <v>-18016</v>
      </c>
      <c r="C26" s="38">
        <v>-18105</v>
      </c>
      <c r="D26" s="38">
        <v>-14387</v>
      </c>
      <c r="E26" s="38">
        <v>-7915</v>
      </c>
      <c r="F26" s="38">
        <v>-13828</v>
      </c>
      <c r="G26" s="38">
        <v>-24118</v>
      </c>
      <c r="H26" s="9">
        <f>-305-260-545-550-165-870-410-290-580-280-380-790-380-658-380-380-380-790-665-290-250-380-580-380-730-230-380-230-380-380-230-530-760-380-380</f>
        <v>-15548</v>
      </c>
      <c r="I26" s="115">
        <v>-20000</v>
      </c>
      <c r="J26" s="9">
        <v>-25000</v>
      </c>
      <c r="L26" s="17"/>
    </row>
    <row r="27" spans="1:14" x14ac:dyDescent="0.3">
      <c r="A27" s="4" t="s">
        <v>40</v>
      </c>
      <c r="B27" s="38">
        <v>0</v>
      </c>
      <c r="C27" s="38">
        <v>-850</v>
      </c>
      <c r="D27" s="38">
        <v>-625</v>
      </c>
      <c r="E27" s="38">
        <v>-8200</v>
      </c>
      <c r="F27" s="38">
        <v>0</v>
      </c>
      <c r="G27" s="38">
        <v>0</v>
      </c>
      <c r="H27" s="9">
        <f>-2100</f>
        <v>-2100</v>
      </c>
      <c r="I27" s="115">
        <v>-2000</v>
      </c>
      <c r="J27" s="9">
        <v>0</v>
      </c>
      <c r="L27" s="17"/>
    </row>
    <row r="28" spans="1:14" x14ac:dyDescent="0.3">
      <c r="A28" s="4" t="s">
        <v>508</v>
      </c>
      <c r="B28" s="38">
        <v>-11755</v>
      </c>
      <c r="C28" s="38">
        <v>-20024</v>
      </c>
      <c r="D28" s="38">
        <v>-13297</v>
      </c>
      <c r="E28" s="38">
        <v>-14853.42</v>
      </c>
      <c r="F28" s="38">
        <v>-18717</v>
      </c>
      <c r="G28" s="38">
        <v>-4027</v>
      </c>
      <c r="H28" s="9">
        <f>-1785-800-765-8342-2145-3793-315-2288</f>
        <v>-20233</v>
      </c>
      <c r="I28" s="115">
        <v>-25000</v>
      </c>
      <c r="J28" s="9">
        <v>-8000</v>
      </c>
      <c r="L28" s="17"/>
    </row>
    <row r="29" spans="1:14" x14ac:dyDescent="0.3">
      <c r="A29" s="4" t="s">
        <v>154</v>
      </c>
      <c r="B29" s="38">
        <v>-19050</v>
      </c>
      <c r="C29" s="38">
        <f>-13250-1750</f>
        <v>-15000</v>
      </c>
      <c r="D29" s="38">
        <v>-19650</v>
      </c>
      <c r="E29" s="38">
        <v>-15750</v>
      </c>
      <c r="F29" s="38">
        <v>-21750</v>
      </c>
      <c r="G29" s="38">
        <v>-30300</v>
      </c>
      <c r="H29" s="9">
        <f>-4750-12750+1550</f>
        <v>-15950</v>
      </c>
      <c r="I29" s="115">
        <v>-18000</v>
      </c>
      <c r="J29" s="9">
        <v>-20000</v>
      </c>
      <c r="K29" s="157" t="s">
        <v>969</v>
      </c>
      <c r="L29" s="17"/>
    </row>
    <row r="30" spans="1:14" x14ac:dyDescent="0.3">
      <c r="A30" s="4" t="s">
        <v>43</v>
      </c>
      <c r="B30" s="38">
        <v>-14470</v>
      </c>
      <c r="C30" s="38">
        <v>-10300</v>
      </c>
      <c r="D30" s="38">
        <v>-4860</v>
      </c>
      <c r="E30" s="38">
        <v>0</v>
      </c>
      <c r="F30" s="38">
        <v>-18405</v>
      </c>
      <c r="G30" s="38">
        <v>-10950</v>
      </c>
      <c r="H30" s="9">
        <f>-6400</f>
        <v>-6400</v>
      </c>
      <c r="I30" s="115">
        <v>-10000</v>
      </c>
      <c r="J30" s="9">
        <v>-10000</v>
      </c>
      <c r="L30" s="17"/>
    </row>
    <row r="31" spans="1:14" x14ac:dyDescent="0.3">
      <c r="A31" s="4" t="s">
        <v>44</v>
      </c>
      <c r="B31" s="38">
        <v>-25000</v>
      </c>
      <c r="C31" s="38">
        <v>-15000</v>
      </c>
      <c r="D31" s="38">
        <v>-17500</v>
      </c>
      <c r="E31" s="38">
        <v>-30416</v>
      </c>
      <c r="F31" s="38">
        <v>-16000</v>
      </c>
      <c r="G31" s="38">
        <v>-34000</v>
      </c>
      <c r="H31" s="9">
        <v>0</v>
      </c>
      <c r="I31" s="115">
        <v>-35000</v>
      </c>
      <c r="J31" s="9">
        <v>-35000</v>
      </c>
      <c r="L31" s="17"/>
    </row>
    <row r="32" spans="1:14" x14ac:dyDescent="0.3">
      <c r="A32" s="4" t="s">
        <v>45</v>
      </c>
      <c r="B32" s="38">
        <v>-32646</v>
      </c>
      <c r="C32" s="38">
        <v>-42437</v>
      </c>
      <c r="D32" s="38">
        <v>-26923</v>
      </c>
      <c r="E32" s="38">
        <v>-32572</v>
      </c>
      <c r="F32" s="38">
        <v>-50743</v>
      </c>
      <c r="G32" s="38">
        <v>-52811</v>
      </c>
      <c r="H32" s="9">
        <f>-48644-17258-12025-10021</f>
        <v>-87948</v>
      </c>
      <c r="I32" s="115">
        <v>-125000</v>
      </c>
      <c r="J32" s="9">
        <v>-60000</v>
      </c>
      <c r="L32" s="17"/>
      <c r="M32" s="55"/>
      <c r="N32" s="55"/>
    </row>
    <row r="33" spans="1:12" ht="24.6" x14ac:dyDescent="0.3">
      <c r="A33" s="4" t="s">
        <v>46</v>
      </c>
      <c r="B33" s="38">
        <f>-60296-7500</f>
        <v>-67796</v>
      </c>
      <c r="C33" s="38">
        <f>-18276-5135</f>
        <v>-23411</v>
      </c>
      <c r="D33" s="38">
        <v>-39936</v>
      </c>
      <c r="E33" s="38">
        <v>-107761</v>
      </c>
      <c r="F33" s="38">
        <v>-154875</v>
      </c>
      <c r="G33" s="38">
        <v>-138715</v>
      </c>
      <c r="H33" s="9">
        <f>-200-666-47-321-535-268-1053-65-438-412-149-976-1260-10825-3487-549-326-549-1236-549-1795-5436-549-3500-118-666-980-1098-104-1995-1521-874-10282-649-1098-838-293+12490-410+19990-392-134-151-13139-19587-348-4041-702-88-403-362+6800-530-6632</f>
        <v>-63346</v>
      </c>
      <c r="I33" s="115">
        <v>-70000</v>
      </c>
      <c r="J33" s="9">
        <v>-45000</v>
      </c>
      <c r="K33" s="157" t="s">
        <v>1159</v>
      </c>
      <c r="L33" s="17"/>
    </row>
    <row r="34" spans="1:12" x14ac:dyDescent="0.3">
      <c r="A34" s="4" t="s">
        <v>491</v>
      </c>
      <c r="B34" s="38">
        <v>0</v>
      </c>
      <c r="C34" s="38">
        <f>-75994-6425</f>
        <v>-82419</v>
      </c>
      <c r="D34" s="38">
        <f>-29362-12800</f>
        <v>-42162</v>
      </c>
      <c r="E34" s="38">
        <v>0</v>
      </c>
      <c r="F34" s="38">
        <v>0</v>
      </c>
      <c r="G34" s="38">
        <v>-102305</v>
      </c>
      <c r="H34" s="9">
        <f>-800-668-800-800-800-800-800-800-800-800-800-800-800-800-800-800-800-800-800-400-800-800-1875-30600-44850</f>
        <v>-94393</v>
      </c>
      <c r="I34" s="115">
        <v>-95000</v>
      </c>
      <c r="J34" s="9">
        <v>-80000</v>
      </c>
      <c r="L34" s="17"/>
    </row>
    <row r="35" spans="1:12" x14ac:dyDescent="0.3">
      <c r="A35" s="4" t="s">
        <v>488</v>
      </c>
      <c r="G35" s="38">
        <v>-14329</v>
      </c>
      <c r="H35" s="9">
        <v>0</v>
      </c>
      <c r="I35" s="115">
        <v>0</v>
      </c>
      <c r="J35" s="9">
        <v>0</v>
      </c>
      <c r="K35" s="157"/>
    </row>
    <row r="36" spans="1:12" x14ac:dyDescent="0.3">
      <c r="A36" s="7" t="s">
        <v>47</v>
      </c>
      <c r="B36" s="39">
        <f>SUM(B18:B34)</f>
        <v>-218877</v>
      </c>
      <c r="C36" s="39">
        <f>SUM(C18:C34)</f>
        <v>-258934</v>
      </c>
      <c r="D36" s="39">
        <f>SUM(D18:D34)</f>
        <v>-187844</v>
      </c>
      <c r="E36" s="39">
        <f>SUM(E18:E34)</f>
        <v>-247088.41999999998</v>
      </c>
      <c r="F36" s="39">
        <f>SUM(F18:F34)</f>
        <v>-325572.77</v>
      </c>
      <c r="G36" s="39">
        <f>SUM(G18:G35)</f>
        <v>-457445</v>
      </c>
      <c r="H36" s="11">
        <f>SUM(H18:H35)</f>
        <v>-324705</v>
      </c>
      <c r="I36" s="116">
        <f>SUM(I18:I35)</f>
        <v>-428100</v>
      </c>
      <c r="J36" s="11">
        <f>SUM(J18:J35)</f>
        <v>-320100</v>
      </c>
      <c r="K36" s="158"/>
      <c r="L36" s="17"/>
    </row>
    <row r="37" spans="1:12" x14ac:dyDescent="0.3">
      <c r="A37" s="7"/>
      <c r="B37" s="41"/>
      <c r="C37" s="41"/>
      <c r="D37" s="41"/>
      <c r="E37" s="39"/>
      <c r="F37" s="39"/>
      <c r="G37" s="39"/>
      <c r="H37" s="113"/>
      <c r="I37" s="117"/>
      <c r="J37" s="11"/>
      <c r="K37" s="158"/>
      <c r="L37" s="17"/>
    </row>
    <row r="38" spans="1:12" s="13" customFormat="1" x14ac:dyDescent="0.3">
      <c r="A38" s="7" t="s">
        <v>48</v>
      </c>
      <c r="B38" s="39">
        <f t="shared" ref="B38:I38" si="1">+B36+B15</f>
        <v>-27148</v>
      </c>
      <c r="C38" s="39">
        <f t="shared" si="1"/>
        <v>86552</v>
      </c>
      <c r="D38" s="39">
        <f t="shared" si="1"/>
        <v>32263</v>
      </c>
      <c r="E38" s="39">
        <f t="shared" si="1"/>
        <v>-7480.1300000000047</v>
      </c>
      <c r="F38" s="39">
        <f t="shared" si="1"/>
        <v>-25959.489999999991</v>
      </c>
      <c r="G38" s="39">
        <f t="shared" si="1"/>
        <v>-167525</v>
      </c>
      <c r="H38" s="11">
        <f t="shared" si="1"/>
        <v>43545</v>
      </c>
      <c r="I38" s="116">
        <f t="shared" si="1"/>
        <v>900</v>
      </c>
      <c r="J38" s="11">
        <f>J15+J36</f>
        <v>12400</v>
      </c>
      <c r="K38" s="159"/>
      <c r="L38" s="17"/>
    </row>
    <row r="39" spans="1:12" s="13" customFormat="1" x14ac:dyDescent="0.3">
      <c r="A39" s="7"/>
      <c r="B39" s="41"/>
      <c r="C39" s="41"/>
      <c r="D39" s="41"/>
      <c r="E39" s="39"/>
      <c r="F39" s="39"/>
      <c r="G39" s="39"/>
      <c r="H39" s="11"/>
      <c r="I39" s="116"/>
      <c r="J39" s="11"/>
      <c r="K39" s="159"/>
    </row>
    <row r="40" spans="1:12" s="13" customFormat="1" x14ac:dyDescent="0.3">
      <c r="A40" s="7" t="s">
        <v>49</v>
      </c>
      <c r="B40" s="39">
        <v>-10000</v>
      </c>
      <c r="C40" s="39">
        <v>-10000</v>
      </c>
      <c r="D40" s="39">
        <v>-10000</v>
      </c>
      <c r="E40" s="39">
        <v>-10000</v>
      </c>
      <c r="F40" s="39">
        <v>-10000</v>
      </c>
      <c r="G40" s="39">
        <v>-14449</v>
      </c>
      <c r="H40" s="11">
        <v>0</v>
      </c>
      <c r="I40" s="116">
        <v>0</v>
      </c>
      <c r="J40" s="11">
        <v>0</v>
      </c>
      <c r="K40" s="159"/>
    </row>
    <row r="41" spans="1:12" s="13" customFormat="1" ht="16.2" thickBot="1" x14ac:dyDescent="0.35">
      <c r="A41" s="7"/>
      <c r="B41" s="41"/>
      <c r="C41" s="41"/>
      <c r="D41" s="41"/>
      <c r="E41" s="39"/>
      <c r="F41" s="39"/>
      <c r="G41" s="39"/>
      <c r="H41" s="11"/>
      <c r="I41" s="116"/>
      <c r="J41" s="11"/>
      <c r="K41" s="159"/>
    </row>
    <row r="42" spans="1:12" s="13" customFormat="1" ht="16.2" thickBot="1" x14ac:dyDescent="0.35">
      <c r="A42" s="7" t="s">
        <v>88</v>
      </c>
      <c r="B42" s="39">
        <f t="shared" ref="B42:J42" si="2">+B40+B38</f>
        <v>-37148</v>
      </c>
      <c r="C42" s="39">
        <f t="shared" si="2"/>
        <v>76552</v>
      </c>
      <c r="D42" s="39">
        <f t="shared" si="2"/>
        <v>22263</v>
      </c>
      <c r="E42" s="39">
        <f t="shared" si="2"/>
        <v>-17480.130000000005</v>
      </c>
      <c r="F42" s="39">
        <f t="shared" si="2"/>
        <v>-35959.489999999991</v>
      </c>
      <c r="G42" s="39">
        <f t="shared" si="2"/>
        <v>-181974</v>
      </c>
      <c r="H42" s="154">
        <f t="shared" si="2"/>
        <v>43545</v>
      </c>
      <c r="I42" s="33">
        <f t="shared" si="2"/>
        <v>900</v>
      </c>
      <c r="J42" s="154">
        <f t="shared" si="2"/>
        <v>12400</v>
      </c>
      <c r="K42" s="159"/>
    </row>
    <row r="43" spans="1:12" s="13" customFormat="1" ht="16.2" thickBot="1" x14ac:dyDescent="0.35">
      <c r="A43" s="4"/>
      <c r="B43" s="4"/>
      <c r="C43" s="4"/>
      <c r="D43" s="4"/>
      <c r="E43" s="4"/>
      <c r="F43" s="4"/>
      <c r="G43" s="4"/>
      <c r="I43" s="58"/>
      <c r="J43" s="4"/>
      <c r="K43" s="159"/>
    </row>
    <row r="44" spans="1:12" x14ac:dyDescent="0.3">
      <c r="H44" s="119" t="s">
        <v>916</v>
      </c>
      <c r="I44" s="121"/>
    </row>
    <row r="45" spans="1:12" x14ac:dyDescent="0.3">
      <c r="H45" s="122" t="s">
        <v>917</v>
      </c>
      <c r="I45" s="123"/>
    </row>
    <row r="46" spans="1:12" x14ac:dyDescent="0.3">
      <c r="H46" s="122"/>
      <c r="I46" s="123"/>
    </row>
    <row r="47" spans="1:12" x14ac:dyDescent="0.3">
      <c r="H47" s="124"/>
      <c r="I47" s="123"/>
    </row>
    <row r="48" spans="1:12" x14ac:dyDescent="0.3">
      <c r="H48" s="124"/>
      <c r="I48" s="123"/>
    </row>
    <row r="49" spans="8:9" x14ac:dyDescent="0.3">
      <c r="H49" s="124"/>
      <c r="I49" s="123"/>
    </row>
    <row r="50" spans="8:9" x14ac:dyDescent="0.3">
      <c r="H50" s="124"/>
      <c r="I50" s="123"/>
    </row>
    <row r="51" spans="8:9" x14ac:dyDescent="0.3">
      <c r="H51" s="124"/>
      <c r="I51" s="123"/>
    </row>
    <row r="52" spans="8:9" x14ac:dyDescent="0.3">
      <c r="H52" s="122" t="s">
        <v>918</v>
      </c>
      <c r="I52" s="123"/>
    </row>
    <row r="53" spans="8:9" x14ac:dyDescent="0.3">
      <c r="H53" s="124"/>
      <c r="I53" s="123"/>
    </row>
    <row r="54" spans="8:9" ht="16.2" thickBot="1" x14ac:dyDescent="0.35">
      <c r="H54" s="125"/>
      <c r="I54" s="127">
        <f>SUM(I45:I53)</f>
        <v>0</v>
      </c>
    </row>
  </sheetData>
  <pageMargins left="0.25" right="0.25" top="0.75" bottom="0.75" header="0.3" footer="0.3"/>
  <pageSetup paperSize="9" scale="6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CB34E-4EA4-4FA5-ACE8-3A4E950B9F95}">
  <sheetPr>
    <tabColor theme="9" tint="-0.499984740745262"/>
    <pageSetUpPr fitToPage="1"/>
  </sheetPr>
  <dimension ref="A1:G33"/>
  <sheetViews>
    <sheetView workbookViewId="0"/>
  </sheetViews>
  <sheetFormatPr defaultColWidth="9.109375" defaultRowHeight="14.4" x14ac:dyDescent="0.3"/>
  <cols>
    <col min="1" max="1" width="9.109375" style="1"/>
    <col min="2" max="2" width="39.6640625" style="1" customWidth="1"/>
    <col min="3" max="5" width="13.6640625" style="1" customWidth="1"/>
    <col min="6" max="16384" width="9.109375" style="1"/>
  </cols>
  <sheetData>
    <row r="1" spans="1:7" ht="34.200000000000003" thickBot="1" x14ac:dyDescent="0.7">
      <c r="A1" s="193" t="s">
        <v>2790</v>
      </c>
      <c r="B1" s="194"/>
      <c r="C1" s="195"/>
      <c r="D1" s="195"/>
      <c r="E1" s="194"/>
    </row>
    <row r="2" spans="1:7" ht="18.75" customHeight="1" thickBot="1" x14ac:dyDescent="0.7">
      <c r="A2" s="135"/>
      <c r="B2" s="130"/>
      <c r="E2" s="136"/>
    </row>
    <row r="3" spans="1:7" ht="15" thickBot="1" x14ac:dyDescent="0.35">
      <c r="A3" s="124"/>
      <c r="C3" s="102" t="s">
        <v>0</v>
      </c>
      <c r="D3" s="102" t="s">
        <v>904</v>
      </c>
      <c r="E3" s="102" t="s">
        <v>2</v>
      </c>
    </row>
    <row r="4" spans="1:7" ht="15" thickBot="1" x14ac:dyDescent="0.35">
      <c r="A4" s="147" t="s">
        <v>905</v>
      </c>
      <c r="C4" s="103">
        <v>45292</v>
      </c>
      <c r="D4" s="104"/>
      <c r="E4" s="103">
        <v>45657</v>
      </c>
    </row>
    <row r="5" spans="1:7" x14ac:dyDescent="0.3">
      <c r="A5" s="124"/>
      <c r="E5" s="136"/>
    </row>
    <row r="6" spans="1:7" ht="15.6" x14ac:dyDescent="0.3">
      <c r="A6" s="146" t="s">
        <v>906</v>
      </c>
      <c r="E6" s="136"/>
    </row>
    <row r="7" spans="1:7" ht="15" thickBot="1" x14ac:dyDescent="0.35">
      <c r="A7" s="124"/>
      <c r="B7" s="1" t="s">
        <v>5</v>
      </c>
      <c r="C7" s="105">
        <v>0</v>
      </c>
      <c r="D7" s="105">
        <v>0</v>
      </c>
      <c r="E7" s="140">
        <v>0</v>
      </c>
    </row>
    <row r="8" spans="1:7" x14ac:dyDescent="0.3">
      <c r="A8" s="137" t="s">
        <v>907</v>
      </c>
      <c r="C8" s="106">
        <f>SUM(C7:C7)</f>
        <v>0</v>
      </c>
      <c r="D8" s="106">
        <f>SUM(D7:D7)</f>
        <v>0</v>
      </c>
      <c r="E8" s="141">
        <f>SUM(E7:E7)</f>
        <v>0</v>
      </c>
    </row>
    <row r="9" spans="1:7" x14ac:dyDescent="0.3">
      <c r="A9" s="124"/>
      <c r="C9" s="138"/>
      <c r="D9" s="138"/>
      <c r="E9" s="139"/>
    </row>
    <row r="10" spans="1:7" ht="15.6" x14ac:dyDescent="0.3">
      <c r="A10" s="146" t="s">
        <v>9</v>
      </c>
      <c r="C10" s="138"/>
      <c r="D10" s="138"/>
      <c r="E10" s="139"/>
    </row>
    <row r="11" spans="1:7" x14ac:dyDescent="0.3">
      <c r="A11" s="124"/>
      <c r="B11" s="55" t="s">
        <v>2432</v>
      </c>
      <c r="C11" s="138">
        <v>251749.44</v>
      </c>
      <c r="D11" s="273">
        <f>+E11-C11</f>
        <v>-218918.2</v>
      </c>
      <c r="E11" s="184">
        <v>32831.24</v>
      </c>
    </row>
    <row r="12" spans="1:7" ht="15" thickBot="1" x14ac:dyDescent="0.35">
      <c r="A12" s="124"/>
      <c r="B12" s="55" t="s">
        <v>2433</v>
      </c>
      <c r="C12" s="107">
        <v>0</v>
      </c>
      <c r="D12" s="105">
        <f>+E12-C12</f>
        <v>231206.49</v>
      </c>
      <c r="E12" s="142">
        <v>231206.49</v>
      </c>
      <c r="G12" s="2"/>
    </row>
    <row r="13" spans="1:7" x14ac:dyDescent="0.3">
      <c r="A13" s="137" t="s">
        <v>14</v>
      </c>
      <c r="C13" s="106">
        <f>SUM(C11:C12)</f>
        <v>251749.44</v>
      </c>
      <c r="D13" s="106">
        <f>SUM(D11:D12)</f>
        <v>12288.289999999979</v>
      </c>
      <c r="E13" s="141">
        <f>SUM(E11:E12)</f>
        <v>264037.73</v>
      </c>
    </row>
    <row r="14" spans="1:7" x14ac:dyDescent="0.3">
      <c r="A14" s="124"/>
      <c r="C14" s="138"/>
      <c r="D14" s="138"/>
      <c r="E14" s="139"/>
    </row>
    <row r="15" spans="1:7" ht="15.6" x14ac:dyDescent="0.3">
      <c r="A15" s="146" t="s">
        <v>911</v>
      </c>
      <c r="C15" s="138"/>
      <c r="D15" s="138"/>
      <c r="E15" s="139"/>
    </row>
    <row r="16" spans="1:7" ht="15" thickBot="1" x14ac:dyDescent="0.35">
      <c r="A16" s="122"/>
      <c r="B16" s="55"/>
      <c r="C16" s="107">
        <v>0</v>
      </c>
      <c r="D16" s="105">
        <f>+E16-C16</f>
        <v>0</v>
      </c>
      <c r="E16" s="142">
        <v>0</v>
      </c>
    </row>
    <row r="17" spans="1:5" x14ac:dyDescent="0.3">
      <c r="A17" s="137" t="s">
        <v>913</v>
      </c>
      <c r="C17" s="106">
        <f>SUM(C16:C16)</f>
        <v>0</v>
      </c>
      <c r="D17" s="106">
        <f>SUM(D16:D16)</f>
        <v>0</v>
      </c>
      <c r="E17" s="141">
        <f>SUM(E16:E16)</f>
        <v>0</v>
      </c>
    </row>
    <row r="18" spans="1:5" x14ac:dyDescent="0.3">
      <c r="A18" s="124"/>
      <c r="C18" s="138"/>
      <c r="D18" s="138"/>
      <c r="E18" s="139"/>
    </row>
    <row r="19" spans="1:5" s="58" customFormat="1" ht="15" thickBot="1" x14ac:dyDescent="0.35">
      <c r="A19" s="143" t="s">
        <v>15</v>
      </c>
      <c r="C19" s="108">
        <f>+C8+C13+C17</f>
        <v>251749.44</v>
      </c>
      <c r="D19" s="108">
        <f>+E19-C19</f>
        <v>12288.289999999979</v>
      </c>
      <c r="E19" s="144">
        <f>+E8+E13+E16</f>
        <v>264037.73</v>
      </c>
    </row>
    <row r="20" spans="1:5" ht="15" thickTop="1" x14ac:dyDescent="0.3">
      <c r="A20" s="124"/>
      <c r="C20" s="138"/>
      <c r="D20" s="138"/>
      <c r="E20" s="139"/>
    </row>
    <row r="21" spans="1:5" x14ac:dyDescent="0.3">
      <c r="A21" s="124"/>
      <c r="C21" s="138"/>
      <c r="D21" s="138"/>
      <c r="E21" s="139"/>
    </row>
    <row r="22" spans="1:5" x14ac:dyDescent="0.3">
      <c r="A22" s="147" t="s">
        <v>923</v>
      </c>
      <c r="C22" s="138"/>
      <c r="D22" s="138"/>
      <c r="E22" s="139"/>
    </row>
    <row r="23" spans="1:5" x14ac:dyDescent="0.3">
      <c r="A23" s="124"/>
      <c r="C23" s="138"/>
      <c r="D23" s="138"/>
      <c r="E23" s="139"/>
    </row>
    <row r="24" spans="1:5" ht="15.6" x14ac:dyDescent="0.3">
      <c r="A24" s="146" t="s">
        <v>2461</v>
      </c>
      <c r="C24" s="138"/>
      <c r="D24" s="138"/>
      <c r="E24" s="139"/>
    </row>
    <row r="25" spans="1:5" ht="15" thickBot="1" x14ac:dyDescent="0.35">
      <c r="A25" s="122"/>
      <c r="B25" s="55" t="s">
        <v>2809</v>
      </c>
      <c r="C25" s="107">
        <v>0</v>
      </c>
      <c r="D25" s="105">
        <f>+E25-C25</f>
        <v>10000</v>
      </c>
      <c r="E25" s="142">
        <v>10000</v>
      </c>
    </row>
    <row r="26" spans="1:5" x14ac:dyDescent="0.3">
      <c r="A26" s="137" t="s">
        <v>2462</v>
      </c>
      <c r="C26" s="106">
        <f>SUM(C25:C25)</f>
        <v>0</v>
      </c>
      <c r="D26" s="106">
        <f>SUM(D25:D25)</f>
        <v>10000</v>
      </c>
      <c r="E26" s="141">
        <f>SUM(E25:E25)</f>
        <v>10000</v>
      </c>
    </row>
    <row r="27" spans="1:5" x14ac:dyDescent="0.3">
      <c r="A27" s="137"/>
      <c r="C27" s="106"/>
      <c r="D27" s="106"/>
      <c r="E27" s="141"/>
    </row>
    <row r="28" spans="1:5" ht="15.6" x14ac:dyDescent="0.3">
      <c r="A28" s="146" t="s">
        <v>8</v>
      </c>
      <c r="C28" s="138"/>
      <c r="D28" s="138"/>
      <c r="E28" s="139"/>
    </row>
    <row r="29" spans="1:5" ht="15" thickBot="1" x14ac:dyDescent="0.35">
      <c r="A29" s="124"/>
      <c r="B29" s="55" t="s">
        <v>8</v>
      </c>
      <c r="C29" s="105">
        <v>251749.44</v>
      </c>
      <c r="D29" s="105">
        <f>+E29-C29</f>
        <v>2288.2900000000081</v>
      </c>
      <c r="E29" s="140">
        <v>254037.73</v>
      </c>
    </row>
    <row r="30" spans="1:5" x14ac:dyDescent="0.3">
      <c r="A30" s="137" t="s">
        <v>914</v>
      </c>
      <c r="C30" s="106">
        <f>SUM(C29:C29)</f>
        <v>251749.44</v>
      </c>
      <c r="D30" s="106">
        <f>SUM(D29:D29)</f>
        <v>2288.2900000000081</v>
      </c>
      <c r="E30" s="141">
        <f>SUM(E29:E29)</f>
        <v>254037.73</v>
      </c>
    </row>
    <row r="31" spans="1:5" x14ac:dyDescent="0.3">
      <c r="A31" s="124"/>
      <c r="E31" s="136"/>
    </row>
    <row r="32" spans="1:5" s="58" customFormat="1" ht="15" thickBot="1" x14ac:dyDescent="0.35">
      <c r="A32" s="143" t="s">
        <v>915</v>
      </c>
      <c r="C32" s="108">
        <f>+C30+C26</f>
        <v>251749.44</v>
      </c>
      <c r="D32" s="108">
        <f>+D30+D26</f>
        <v>12288.290000000008</v>
      </c>
      <c r="E32" s="144">
        <f>+E30+E26</f>
        <v>264037.73</v>
      </c>
    </row>
    <row r="33" spans="1:5" ht="15.6" thickTop="1" thickBot="1" x14ac:dyDescent="0.35">
      <c r="A33" s="125"/>
      <c r="B33" s="126"/>
      <c r="C33" s="126"/>
      <c r="D33" s="126"/>
      <c r="E33" s="145"/>
    </row>
  </sheetData>
  <pageMargins left="1.18" right="0.7" top="0.75" bottom="0.75" header="0.3" footer="0.3"/>
  <pageSetup paperSize="9" scale="90" orientation="portrait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L54"/>
  <sheetViews>
    <sheetView workbookViewId="0"/>
  </sheetViews>
  <sheetFormatPr defaultColWidth="9.109375" defaultRowHeight="15.6" x14ac:dyDescent="0.3"/>
  <cols>
    <col min="1" max="1" width="30.6640625" style="4" bestFit="1" customWidth="1"/>
    <col min="2" max="7" width="14.33203125" style="4" customWidth="1"/>
    <col min="8" max="8" width="16.44140625" style="1" customWidth="1"/>
    <col min="9" max="9" width="18.5546875" style="1" bestFit="1" customWidth="1"/>
    <col min="10" max="10" width="14.88671875" style="4" customWidth="1"/>
    <col min="11" max="11" width="37.44140625" style="155" customWidth="1"/>
    <col min="12" max="16384" width="9.109375" style="1"/>
  </cols>
  <sheetData>
    <row r="1" spans="1:11" ht="31.8" thickBot="1" x14ac:dyDescent="0.65">
      <c r="A1" s="64" t="s">
        <v>486</v>
      </c>
      <c r="B1" s="61" t="s">
        <v>487</v>
      </c>
      <c r="C1" s="62"/>
      <c r="D1" s="63"/>
      <c r="E1" s="1"/>
    </row>
    <row r="2" spans="1:11" ht="16.2" thickBot="1" x14ac:dyDescent="0.35"/>
    <row r="3" spans="1:11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43" t="s">
        <v>971</v>
      </c>
      <c r="I3" s="57" t="s">
        <v>809</v>
      </c>
      <c r="J3" s="44" t="s">
        <v>922</v>
      </c>
      <c r="K3" s="156"/>
    </row>
    <row r="4" spans="1:11" s="35" customFormat="1" ht="16.2" thickBot="1" x14ac:dyDescent="0.35">
      <c r="A4" s="34"/>
      <c r="B4" s="34"/>
      <c r="C4" s="34"/>
      <c r="D4" s="34"/>
      <c r="E4" s="34"/>
      <c r="F4" s="34"/>
      <c r="G4" s="34"/>
      <c r="H4" s="110">
        <v>41759</v>
      </c>
      <c r="I4" s="110">
        <v>42004</v>
      </c>
      <c r="J4" s="36"/>
      <c r="K4" s="156"/>
    </row>
    <row r="5" spans="1:11" ht="16.2" thickBot="1" x14ac:dyDescent="0.35">
      <c r="A5" s="32" t="s">
        <v>19</v>
      </c>
      <c r="B5" s="10"/>
      <c r="C5" s="7"/>
      <c r="D5" s="7"/>
      <c r="H5" s="111"/>
      <c r="I5" s="111"/>
      <c r="J5" s="8"/>
    </row>
    <row r="6" spans="1:11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9">
        <f>86803-50000</f>
        <v>36803</v>
      </c>
      <c r="I6" s="115">
        <v>110000</v>
      </c>
      <c r="J6" s="9">
        <v>100000</v>
      </c>
      <c r="K6" s="157"/>
    </row>
    <row r="7" spans="1:11" x14ac:dyDescent="0.3">
      <c r="A7" s="4" t="s">
        <v>492</v>
      </c>
      <c r="B7" s="38">
        <v>500</v>
      </c>
      <c r="C7" s="38">
        <v>85850</v>
      </c>
      <c r="D7" s="38">
        <v>62250</v>
      </c>
      <c r="E7" s="38">
        <v>66900</v>
      </c>
      <c r="F7" s="38">
        <v>91100</v>
      </c>
      <c r="G7" s="38">
        <v>83700</v>
      </c>
      <c r="H7" s="9">
        <v>0</v>
      </c>
      <c r="I7" s="115">
        <v>97000</v>
      </c>
      <c r="J7" s="9">
        <v>85000</v>
      </c>
    </row>
    <row r="8" spans="1:11" x14ac:dyDescent="0.3">
      <c r="A8" s="4" t="s">
        <v>22</v>
      </c>
      <c r="B8" s="38">
        <v>46200</v>
      </c>
      <c r="C8" s="38">
        <v>38350</v>
      </c>
      <c r="D8" s="38">
        <v>45250</v>
      </c>
      <c r="E8" s="38">
        <v>41550</v>
      </c>
      <c r="F8" s="38">
        <v>70983</v>
      </c>
      <c r="G8" s="38">
        <v>67300</v>
      </c>
      <c r="H8" s="9">
        <f>8000+6000+4250+6550+8100</f>
        <v>32900</v>
      </c>
      <c r="I8" s="115">
        <v>100000</v>
      </c>
      <c r="J8" s="9">
        <v>100000</v>
      </c>
      <c r="K8" s="158"/>
    </row>
    <row r="9" spans="1:11" x14ac:dyDescent="0.3">
      <c r="A9" s="4" t="s">
        <v>23</v>
      </c>
      <c r="B9" s="38">
        <v>34790</v>
      </c>
      <c r="C9" s="38">
        <f>54700+14100</f>
        <v>68800</v>
      </c>
      <c r="D9" s="38">
        <v>26025</v>
      </c>
      <c r="E9" s="38">
        <v>20105</v>
      </c>
      <c r="F9" s="38">
        <v>28901</v>
      </c>
      <c r="G9" s="38">
        <v>26546</v>
      </c>
      <c r="H9" s="9">
        <v>0</v>
      </c>
      <c r="I9" s="115">
        <v>40000</v>
      </c>
      <c r="J9" s="9">
        <v>30000</v>
      </c>
    </row>
    <row r="10" spans="1:11" ht="28.8" x14ac:dyDescent="0.3">
      <c r="A10" s="4" t="s">
        <v>24</v>
      </c>
      <c r="B10" s="38">
        <v>5000</v>
      </c>
      <c r="C10" s="38">
        <v>10000</v>
      </c>
      <c r="D10" s="38">
        <v>0</v>
      </c>
      <c r="E10" s="38">
        <v>14600</v>
      </c>
      <c r="F10" s="38">
        <v>3840</v>
      </c>
      <c r="G10" s="38">
        <v>11500</v>
      </c>
      <c r="H10" s="9">
        <f>10568+5000+8000+5000</f>
        <v>28568</v>
      </c>
      <c r="I10" s="115">
        <v>40000</v>
      </c>
      <c r="J10" s="9">
        <v>15000</v>
      </c>
      <c r="K10" s="158" t="s">
        <v>972</v>
      </c>
    </row>
    <row r="11" spans="1:11" x14ac:dyDescent="0.3">
      <c r="A11" s="4" t="s">
        <v>489</v>
      </c>
      <c r="B11" s="38">
        <v>7200</v>
      </c>
      <c r="C11" s="38">
        <v>6866</v>
      </c>
      <c r="D11" s="38">
        <v>2515</v>
      </c>
      <c r="E11" s="38">
        <v>6728</v>
      </c>
      <c r="F11" s="38">
        <v>0</v>
      </c>
      <c r="G11" s="38">
        <v>2978</v>
      </c>
      <c r="H11" s="9">
        <f>12300+3240+23000+1280</f>
        <v>39820</v>
      </c>
      <c r="I11" s="115">
        <v>40000</v>
      </c>
      <c r="J11" s="9">
        <v>0</v>
      </c>
    </row>
    <row r="12" spans="1:11" x14ac:dyDescent="0.3">
      <c r="A12" s="4" t="s">
        <v>26</v>
      </c>
      <c r="B12" s="38">
        <v>0</v>
      </c>
      <c r="C12" s="38">
        <v>0</v>
      </c>
      <c r="D12" s="38">
        <v>0</v>
      </c>
      <c r="E12" s="38">
        <v>5600</v>
      </c>
      <c r="F12" s="38">
        <v>4050</v>
      </c>
      <c r="G12" s="38">
        <v>0</v>
      </c>
      <c r="H12" s="9">
        <v>0</v>
      </c>
      <c r="I12" s="115">
        <v>0</v>
      </c>
      <c r="J12" s="9">
        <v>0</v>
      </c>
    </row>
    <row r="13" spans="1:1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9">
        <v>0</v>
      </c>
      <c r="I13" s="115">
        <v>500</v>
      </c>
      <c r="J13" s="9">
        <v>500</v>
      </c>
    </row>
    <row r="14" spans="1:1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v>4135</v>
      </c>
      <c r="F14" s="38">
        <v>1987</v>
      </c>
      <c r="G14" s="38">
        <v>1630</v>
      </c>
      <c r="H14" s="9">
        <f>1728+305</f>
        <v>2033</v>
      </c>
      <c r="I14" s="115">
        <v>2000</v>
      </c>
      <c r="J14" s="9">
        <v>2000</v>
      </c>
    </row>
    <row r="15" spans="1:11" x14ac:dyDescent="0.3">
      <c r="A15" s="7" t="s">
        <v>29</v>
      </c>
      <c r="B15" s="39">
        <f>SUM(B6:B14)</f>
        <v>191729</v>
      </c>
      <c r="C15" s="39">
        <f>SUM(C6:C14)</f>
        <v>345486</v>
      </c>
      <c r="D15" s="39">
        <f>SUM(D6:D14)</f>
        <v>220107</v>
      </c>
      <c r="E15" s="39">
        <f t="shared" ref="E15:J15" si="0">SUM(E6:E14)</f>
        <v>239608.28999999998</v>
      </c>
      <c r="F15" s="39">
        <f t="shared" si="0"/>
        <v>299613.28000000003</v>
      </c>
      <c r="G15" s="39">
        <f t="shared" si="0"/>
        <v>289920</v>
      </c>
      <c r="H15" s="11">
        <f t="shared" si="0"/>
        <v>140124</v>
      </c>
      <c r="I15" s="116">
        <f t="shared" si="0"/>
        <v>429500</v>
      </c>
      <c r="J15" s="11">
        <f t="shared" si="0"/>
        <v>332500</v>
      </c>
    </row>
    <row r="16" spans="1:11" ht="16.2" thickBot="1" x14ac:dyDescent="0.35">
      <c r="B16" s="38"/>
      <c r="C16" s="40"/>
      <c r="D16" s="40"/>
      <c r="E16" s="38"/>
      <c r="F16" s="40"/>
      <c r="G16" s="40"/>
      <c r="H16" s="111"/>
      <c r="I16" s="117"/>
      <c r="J16" s="9"/>
    </row>
    <row r="17" spans="1:12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112"/>
      <c r="I17" s="118"/>
      <c r="J17" s="9"/>
      <c r="K17" s="159"/>
    </row>
    <row r="18" spans="1:12" x14ac:dyDescent="0.3">
      <c r="A18" s="4" t="s">
        <v>56</v>
      </c>
      <c r="B18" s="38">
        <v>-4459</v>
      </c>
      <c r="C18" s="38">
        <v>-12173</v>
      </c>
      <c r="D18" s="38">
        <v>0</v>
      </c>
      <c r="E18" s="38">
        <v>-180</v>
      </c>
      <c r="F18" s="38">
        <v>-1887</v>
      </c>
      <c r="G18" s="38">
        <v>0</v>
      </c>
      <c r="H18" s="9">
        <v>0</v>
      </c>
      <c r="I18" s="115">
        <v>0</v>
      </c>
      <c r="J18" s="9">
        <v>0</v>
      </c>
    </row>
    <row r="19" spans="1:12" x14ac:dyDescent="0.3">
      <c r="A19" s="4" t="s">
        <v>32</v>
      </c>
      <c r="B19" s="38">
        <f>-2650-3100-1600</f>
        <v>-7350</v>
      </c>
      <c r="C19" s="38">
        <f>-250-2500-1842</f>
        <v>-4592</v>
      </c>
      <c r="D19" s="38">
        <f>-250-4500-1899</f>
        <v>-6649</v>
      </c>
      <c r="E19" s="38">
        <v>-6338</v>
      </c>
      <c r="F19" s="38">
        <v>-6643</v>
      </c>
      <c r="G19" s="38">
        <v>-3530</v>
      </c>
      <c r="H19" s="9">
        <f>-774-250</f>
        <v>-1024</v>
      </c>
      <c r="I19" s="115">
        <v>-4000</v>
      </c>
      <c r="J19" s="9">
        <v>-4000</v>
      </c>
    </row>
    <row r="20" spans="1:12" x14ac:dyDescent="0.3">
      <c r="A20" s="4" t="s">
        <v>33</v>
      </c>
      <c r="B20" s="38">
        <v>0</v>
      </c>
      <c r="C20" s="38">
        <v>0</v>
      </c>
      <c r="D20" s="38">
        <v>0</v>
      </c>
      <c r="E20" s="38">
        <v>-741</v>
      </c>
      <c r="F20" s="38">
        <v>-547</v>
      </c>
      <c r="G20" s="38">
        <v>-154</v>
      </c>
      <c r="H20" s="9">
        <v>0</v>
      </c>
      <c r="I20" s="115">
        <v>-100</v>
      </c>
      <c r="J20" s="9">
        <v>-100</v>
      </c>
      <c r="L20" s="17"/>
    </row>
    <row r="21" spans="1:12" x14ac:dyDescent="0.3">
      <c r="A21" s="4" t="s">
        <v>493</v>
      </c>
      <c r="B21" s="38">
        <v>-635</v>
      </c>
      <c r="C21" s="38">
        <f>-1500-935-3800-2859-81</f>
        <v>-9175</v>
      </c>
      <c r="D21" s="38">
        <f>-755-1100</f>
        <v>-1855</v>
      </c>
      <c r="E21" s="38">
        <v>-2424</v>
      </c>
      <c r="F21" s="38">
        <v>-4637.7700000000004</v>
      </c>
      <c r="G21" s="38">
        <v>-2261</v>
      </c>
      <c r="H21" s="9">
        <f>1300-570</f>
        <v>730</v>
      </c>
      <c r="I21" s="115">
        <v>-3000</v>
      </c>
      <c r="J21" s="9">
        <v>-3000</v>
      </c>
      <c r="L21" s="17"/>
    </row>
    <row r="22" spans="1:12" x14ac:dyDescent="0.3">
      <c r="A22" s="4" t="s">
        <v>35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9">
        <f>-1531-562</f>
        <v>-2093</v>
      </c>
      <c r="I22" s="115">
        <v>-5000</v>
      </c>
      <c r="J22" s="9">
        <v>-5000</v>
      </c>
      <c r="L22" s="17"/>
    </row>
    <row r="23" spans="1:12" x14ac:dyDescent="0.3">
      <c r="A23" s="4" t="s">
        <v>36</v>
      </c>
      <c r="B23" s="38">
        <v>-5000</v>
      </c>
      <c r="C23" s="38">
        <v>-350</v>
      </c>
      <c r="D23" s="38">
        <v>0</v>
      </c>
      <c r="E23" s="38">
        <v>-3550</v>
      </c>
      <c r="F23" s="38">
        <v>-10190</v>
      </c>
      <c r="G23" s="38">
        <v>-27295</v>
      </c>
      <c r="H23" s="9">
        <f>-1400-1300-1400-800-1000</f>
        <v>-5900</v>
      </c>
      <c r="I23" s="115">
        <v>-20000</v>
      </c>
      <c r="J23" s="9">
        <v>-15000</v>
      </c>
      <c r="K23" s="157"/>
      <c r="L23" s="17"/>
    </row>
    <row r="24" spans="1:12" x14ac:dyDescent="0.3">
      <c r="A24" s="4" t="s">
        <v>37</v>
      </c>
      <c r="B24" s="38">
        <v>-7900</v>
      </c>
      <c r="C24" s="38">
        <v>0</v>
      </c>
      <c r="D24" s="38">
        <v>0</v>
      </c>
      <c r="E24" s="38">
        <v>-5850</v>
      </c>
      <c r="F24" s="38">
        <v>0</v>
      </c>
      <c r="G24" s="38">
        <v>0</v>
      </c>
      <c r="H24" s="9">
        <v>0</v>
      </c>
      <c r="I24" s="115">
        <v>0</v>
      </c>
      <c r="J24" s="9">
        <v>0</v>
      </c>
      <c r="L24" s="17"/>
    </row>
    <row r="25" spans="1:12" x14ac:dyDescent="0.3">
      <c r="A25" s="4" t="s">
        <v>38</v>
      </c>
      <c r="B25" s="38">
        <v>-4800</v>
      </c>
      <c r="C25" s="38">
        <v>-3398</v>
      </c>
      <c r="D25" s="38">
        <v>0</v>
      </c>
      <c r="E25" s="38">
        <v>-7138</v>
      </c>
      <c r="F25" s="38">
        <v>-3450</v>
      </c>
      <c r="G25" s="38">
        <v>-8100</v>
      </c>
      <c r="H25" s="9">
        <f>-300</f>
        <v>-300</v>
      </c>
      <c r="I25" s="115">
        <v>-10000</v>
      </c>
      <c r="J25" s="9">
        <v>-10000</v>
      </c>
      <c r="L25" s="17"/>
    </row>
    <row r="26" spans="1:12" x14ac:dyDescent="0.3">
      <c r="A26" s="4" t="s">
        <v>39</v>
      </c>
      <c r="B26" s="38">
        <v>-18016</v>
      </c>
      <c r="C26" s="38">
        <v>-18105</v>
      </c>
      <c r="D26" s="38">
        <v>-14387</v>
      </c>
      <c r="E26" s="38">
        <v>-7915</v>
      </c>
      <c r="F26" s="38">
        <v>-13828</v>
      </c>
      <c r="G26" s="38">
        <v>-24118</v>
      </c>
      <c r="H26" s="9">
        <f>-305-260-545-550-165</f>
        <v>-1825</v>
      </c>
      <c r="I26" s="115">
        <v>-30000</v>
      </c>
      <c r="J26" s="9">
        <v>-25000</v>
      </c>
      <c r="L26" s="17"/>
    </row>
    <row r="27" spans="1:12" x14ac:dyDescent="0.3">
      <c r="A27" s="4" t="s">
        <v>40</v>
      </c>
      <c r="B27" s="38">
        <v>0</v>
      </c>
      <c r="C27" s="38">
        <v>-850</v>
      </c>
      <c r="D27" s="38">
        <v>-625</v>
      </c>
      <c r="E27" s="38">
        <v>-8200</v>
      </c>
      <c r="F27" s="38">
        <v>0</v>
      </c>
      <c r="G27" s="38">
        <v>0</v>
      </c>
      <c r="H27" s="9">
        <v>0</v>
      </c>
      <c r="I27" s="115">
        <v>0</v>
      </c>
      <c r="J27" s="9">
        <v>0</v>
      </c>
      <c r="L27" s="17"/>
    </row>
    <row r="28" spans="1:12" x14ac:dyDescent="0.3">
      <c r="A28" s="4" t="s">
        <v>41</v>
      </c>
      <c r="B28" s="38">
        <v>-11755</v>
      </c>
      <c r="C28" s="38">
        <v>-20024</v>
      </c>
      <c r="D28" s="38">
        <v>-13297</v>
      </c>
      <c r="E28" s="38">
        <v>-14853.42</v>
      </c>
      <c r="F28" s="38">
        <v>-18717</v>
      </c>
      <c r="G28" s="38">
        <v>-4027</v>
      </c>
      <c r="H28" s="9">
        <v>0</v>
      </c>
      <c r="I28" s="115">
        <v>-12000</v>
      </c>
      <c r="J28" s="9">
        <v>-8000</v>
      </c>
      <c r="L28" s="17"/>
    </row>
    <row r="29" spans="1:12" x14ac:dyDescent="0.3">
      <c r="A29" s="4" t="s">
        <v>154</v>
      </c>
      <c r="B29" s="38">
        <v>-19050</v>
      </c>
      <c r="C29" s="38">
        <f>-13250-1750</f>
        <v>-15000</v>
      </c>
      <c r="D29" s="38">
        <v>-19650</v>
      </c>
      <c r="E29" s="38">
        <v>-15750</v>
      </c>
      <c r="F29" s="38">
        <v>-21750</v>
      </c>
      <c r="G29" s="38">
        <v>-30300</v>
      </c>
      <c r="H29" s="9">
        <f>-4750-12750</f>
        <v>-17500</v>
      </c>
      <c r="I29" s="115">
        <v>-22000</v>
      </c>
      <c r="J29" s="9">
        <v>-20000</v>
      </c>
      <c r="K29" s="157" t="s">
        <v>969</v>
      </c>
      <c r="L29" s="17"/>
    </row>
    <row r="30" spans="1:12" x14ac:dyDescent="0.3">
      <c r="A30" s="4" t="s">
        <v>43</v>
      </c>
      <c r="B30" s="38">
        <v>-14470</v>
      </c>
      <c r="C30" s="38">
        <v>-10300</v>
      </c>
      <c r="D30" s="38">
        <v>-4860</v>
      </c>
      <c r="E30" s="38">
        <v>0</v>
      </c>
      <c r="F30" s="38">
        <v>-18405</v>
      </c>
      <c r="G30" s="38">
        <v>-10950</v>
      </c>
      <c r="H30" s="9">
        <v>0</v>
      </c>
      <c r="I30" s="115">
        <v>-10000</v>
      </c>
      <c r="J30" s="9">
        <v>-10000</v>
      </c>
      <c r="L30" s="17"/>
    </row>
    <row r="31" spans="1:12" x14ac:dyDescent="0.3">
      <c r="A31" s="4" t="s">
        <v>44</v>
      </c>
      <c r="B31" s="38">
        <v>-25000</v>
      </c>
      <c r="C31" s="38">
        <v>-15000</v>
      </c>
      <c r="D31" s="38">
        <v>-17500</v>
      </c>
      <c r="E31" s="38">
        <v>-30416</v>
      </c>
      <c r="F31" s="38">
        <v>-16000</v>
      </c>
      <c r="G31" s="38">
        <v>-34000</v>
      </c>
      <c r="H31" s="9">
        <v>0</v>
      </c>
      <c r="I31" s="115">
        <v>-35000</v>
      </c>
      <c r="J31" s="9">
        <v>-35000</v>
      </c>
      <c r="L31" s="17"/>
    </row>
    <row r="32" spans="1:12" x14ac:dyDescent="0.3">
      <c r="A32" s="4" t="s">
        <v>45</v>
      </c>
      <c r="B32" s="38">
        <v>-32646</v>
      </c>
      <c r="C32" s="38">
        <v>-42437</v>
      </c>
      <c r="D32" s="38">
        <v>-26923</v>
      </c>
      <c r="E32" s="38">
        <v>-32572</v>
      </c>
      <c r="F32" s="38">
        <v>-50743</v>
      </c>
      <c r="G32" s="38">
        <v>-52811</v>
      </c>
      <c r="H32" s="9">
        <f>-48644-17258</f>
        <v>-65902</v>
      </c>
      <c r="I32" s="115">
        <v>-100000</v>
      </c>
      <c r="J32" s="9">
        <v>-60000</v>
      </c>
      <c r="L32" s="17"/>
    </row>
    <row r="33" spans="1:12" x14ac:dyDescent="0.3">
      <c r="A33" s="4" t="s">
        <v>46</v>
      </c>
      <c r="B33" s="38">
        <f>-60296-7500</f>
        <v>-67796</v>
      </c>
      <c r="C33" s="38">
        <f>-18276-5135</f>
        <v>-23411</v>
      </c>
      <c r="D33" s="38">
        <v>-39936</v>
      </c>
      <c r="E33" s="38">
        <v>-107761</v>
      </c>
      <c r="F33" s="38">
        <v>-154875</v>
      </c>
      <c r="G33" s="38">
        <v>-138715</v>
      </c>
      <c r="H33" s="9">
        <f>-200-666-47-321-535-268-1053-65-438</f>
        <v>-3593</v>
      </c>
      <c r="I33" s="115">
        <v>-65000</v>
      </c>
      <c r="J33" s="9">
        <v>-45000</v>
      </c>
      <c r="K33" s="157" t="s">
        <v>970</v>
      </c>
      <c r="L33" s="17"/>
    </row>
    <row r="34" spans="1:12" x14ac:dyDescent="0.3">
      <c r="A34" s="4" t="s">
        <v>491</v>
      </c>
      <c r="B34" s="38">
        <v>0</v>
      </c>
      <c r="C34" s="38">
        <f>-75994-6425</f>
        <v>-82419</v>
      </c>
      <c r="D34" s="38">
        <f>-29362-12800</f>
        <v>-42162</v>
      </c>
      <c r="E34" s="38">
        <v>0</v>
      </c>
      <c r="F34" s="38">
        <v>0</v>
      </c>
      <c r="G34" s="38">
        <v>-102305</v>
      </c>
      <c r="H34" s="9">
        <v>0</v>
      </c>
      <c r="I34" s="115">
        <v>-103000</v>
      </c>
      <c r="J34" s="9">
        <v>-80000</v>
      </c>
      <c r="L34" s="17"/>
    </row>
    <row r="35" spans="1:12" x14ac:dyDescent="0.3">
      <c r="A35" s="4" t="s">
        <v>488</v>
      </c>
      <c r="G35" s="38">
        <v>-14329</v>
      </c>
      <c r="H35" s="9">
        <v>0</v>
      </c>
      <c r="I35" s="115">
        <v>0</v>
      </c>
      <c r="J35" s="9">
        <v>0</v>
      </c>
      <c r="K35" s="157"/>
    </row>
    <row r="36" spans="1:12" x14ac:dyDescent="0.3">
      <c r="A36" s="7" t="s">
        <v>47</v>
      </c>
      <c r="B36" s="39">
        <f>SUM(B18:B34)</f>
        <v>-218877</v>
      </c>
      <c r="C36" s="39">
        <f>SUM(C18:C34)</f>
        <v>-258934</v>
      </c>
      <c r="D36" s="39">
        <f>SUM(D18:D34)</f>
        <v>-187844</v>
      </c>
      <c r="E36" s="39">
        <f>SUM(E18:E34)</f>
        <v>-247088.41999999998</v>
      </c>
      <c r="F36" s="39">
        <f>SUM(F18:F34)</f>
        <v>-325572.77</v>
      </c>
      <c r="G36" s="39">
        <f>SUM(G18:G35)</f>
        <v>-457445</v>
      </c>
      <c r="H36" s="11">
        <f>SUM(H18:H35)</f>
        <v>-97407</v>
      </c>
      <c r="I36" s="116">
        <f>SUM(I18:I35)</f>
        <v>-419100</v>
      </c>
      <c r="J36" s="11">
        <f>SUM(J18:J35)</f>
        <v>-320100</v>
      </c>
      <c r="L36" s="17"/>
    </row>
    <row r="37" spans="1:12" x14ac:dyDescent="0.3">
      <c r="A37" s="7"/>
      <c r="B37" s="41"/>
      <c r="C37" s="41"/>
      <c r="D37" s="41"/>
      <c r="E37" s="39"/>
      <c r="F37" s="39"/>
      <c r="G37" s="39"/>
      <c r="H37" s="113"/>
      <c r="I37" s="117"/>
      <c r="J37" s="11"/>
      <c r="L37" s="17"/>
    </row>
    <row r="38" spans="1:12" s="13" customFormat="1" x14ac:dyDescent="0.3">
      <c r="A38" s="7" t="s">
        <v>48</v>
      </c>
      <c r="B38" s="39">
        <f t="shared" ref="B38:I38" si="1">+B36+B15</f>
        <v>-27148</v>
      </c>
      <c r="C38" s="39">
        <f t="shared" si="1"/>
        <v>86552</v>
      </c>
      <c r="D38" s="39">
        <f t="shared" si="1"/>
        <v>32263</v>
      </c>
      <c r="E38" s="39">
        <f t="shared" si="1"/>
        <v>-7480.1300000000047</v>
      </c>
      <c r="F38" s="39">
        <f t="shared" si="1"/>
        <v>-25959.489999999991</v>
      </c>
      <c r="G38" s="39">
        <f t="shared" si="1"/>
        <v>-167525</v>
      </c>
      <c r="H38" s="11">
        <f t="shared" si="1"/>
        <v>42717</v>
      </c>
      <c r="I38" s="116">
        <f t="shared" si="1"/>
        <v>10400</v>
      </c>
      <c r="J38" s="11">
        <f>J15+J36</f>
        <v>12400</v>
      </c>
      <c r="K38" s="159"/>
      <c r="L38" s="17"/>
    </row>
    <row r="39" spans="1:12" s="13" customFormat="1" x14ac:dyDescent="0.3">
      <c r="A39" s="7"/>
      <c r="B39" s="41"/>
      <c r="C39" s="41"/>
      <c r="D39" s="41"/>
      <c r="E39" s="39"/>
      <c r="F39" s="39"/>
      <c r="G39" s="39"/>
      <c r="H39" s="11"/>
      <c r="I39" s="116"/>
      <c r="J39" s="11"/>
      <c r="K39" s="159"/>
    </row>
    <row r="40" spans="1:12" s="13" customFormat="1" x14ac:dyDescent="0.3">
      <c r="A40" s="7" t="s">
        <v>49</v>
      </c>
      <c r="B40" s="39">
        <v>-10000</v>
      </c>
      <c r="C40" s="39">
        <v>-10000</v>
      </c>
      <c r="D40" s="39">
        <v>-10000</v>
      </c>
      <c r="E40" s="39">
        <v>-10000</v>
      </c>
      <c r="F40" s="39">
        <v>-10000</v>
      </c>
      <c r="G40" s="39">
        <v>-14449</v>
      </c>
      <c r="H40" s="11">
        <v>0</v>
      </c>
      <c r="I40" s="116">
        <v>0</v>
      </c>
      <c r="J40" s="11">
        <v>0</v>
      </c>
      <c r="K40" s="159"/>
    </row>
    <row r="41" spans="1:12" s="13" customFormat="1" ht="16.2" thickBot="1" x14ac:dyDescent="0.35">
      <c r="A41" s="7"/>
      <c r="B41" s="41"/>
      <c r="C41" s="41"/>
      <c r="D41" s="41"/>
      <c r="E41" s="39"/>
      <c r="F41" s="39"/>
      <c r="G41" s="39"/>
      <c r="H41" s="11"/>
      <c r="I41" s="116"/>
      <c r="J41" s="11"/>
      <c r="K41" s="159"/>
    </row>
    <row r="42" spans="1:12" s="13" customFormat="1" ht="16.2" thickBot="1" x14ac:dyDescent="0.35">
      <c r="A42" s="7" t="s">
        <v>88</v>
      </c>
      <c r="B42" s="39">
        <f t="shared" ref="B42:J42" si="2">+B40+B38</f>
        <v>-37148</v>
      </c>
      <c r="C42" s="39">
        <f t="shared" si="2"/>
        <v>76552</v>
      </c>
      <c r="D42" s="39">
        <f t="shared" si="2"/>
        <v>22263</v>
      </c>
      <c r="E42" s="39">
        <f t="shared" si="2"/>
        <v>-17480.130000000005</v>
      </c>
      <c r="F42" s="39">
        <f t="shared" si="2"/>
        <v>-35959.489999999991</v>
      </c>
      <c r="G42" s="39">
        <f t="shared" si="2"/>
        <v>-181974</v>
      </c>
      <c r="H42" s="154">
        <f t="shared" si="2"/>
        <v>42717</v>
      </c>
      <c r="I42" s="33">
        <f t="shared" si="2"/>
        <v>10400</v>
      </c>
      <c r="J42" s="154">
        <f t="shared" si="2"/>
        <v>12400</v>
      </c>
      <c r="K42" s="159"/>
    </row>
    <row r="43" spans="1:12" s="13" customFormat="1" ht="16.2" thickBot="1" x14ac:dyDescent="0.35">
      <c r="A43" s="4"/>
      <c r="B43" s="4"/>
      <c r="C43" s="4"/>
      <c r="D43" s="4"/>
      <c r="E43" s="4"/>
      <c r="F43" s="4"/>
      <c r="G43" s="4"/>
      <c r="I43" s="58"/>
      <c r="J43" s="4"/>
      <c r="K43" s="159"/>
    </row>
    <row r="44" spans="1:12" x14ac:dyDescent="0.3">
      <c r="H44" s="119" t="s">
        <v>916</v>
      </c>
      <c r="I44" s="121"/>
    </row>
    <row r="45" spans="1:12" x14ac:dyDescent="0.3">
      <c r="H45" s="122" t="s">
        <v>917</v>
      </c>
      <c r="I45" s="123"/>
    </row>
    <row r="46" spans="1:12" x14ac:dyDescent="0.3">
      <c r="H46" s="122"/>
      <c r="I46" s="123"/>
    </row>
    <row r="47" spans="1:12" x14ac:dyDescent="0.3">
      <c r="H47" s="124"/>
      <c r="I47" s="123"/>
    </row>
    <row r="48" spans="1:12" x14ac:dyDescent="0.3">
      <c r="H48" s="124"/>
      <c r="I48" s="123"/>
    </row>
    <row r="49" spans="8:9" x14ac:dyDescent="0.3">
      <c r="H49" s="124"/>
      <c r="I49" s="123"/>
    </row>
    <row r="50" spans="8:9" x14ac:dyDescent="0.3">
      <c r="H50" s="124"/>
      <c r="I50" s="123"/>
    </row>
    <row r="51" spans="8:9" x14ac:dyDescent="0.3">
      <c r="H51" s="124"/>
      <c r="I51" s="123"/>
    </row>
    <row r="52" spans="8:9" x14ac:dyDescent="0.3">
      <c r="H52" s="122" t="s">
        <v>918</v>
      </c>
      <c r="I52" s="123"/>
    </row>
    <row r="53" spans="8:9" x14ac:dyDescent="0.3">
      <c r="H53" s="124"/>
      <c r="I53" s="123"/>
    </row>
    <row r="54" spans="8:9" ht="16.2" thickBot="1" x14ac:dyDescent="0.35">
      <c r="H54" s="125"/>
      <c r="I54" s="127">
        <f>SUM(I45:I53)</f>
        <v>0</v>
      </c>
    </row>
  </sheetData>
  <pageMargins left="0.25" right="0.25" top="0.75" bottom="0.75" header="0.3" footer="0.3"/>
  <pageSetup paperSize="9" scale="68" orientation="landscape" r:id="rId1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1:N54"/>
  <sheetViews>
    <sheetView workbookViewId="0"/>
  </sheetViews>
  <sheetFormatPr defaultColWidth="9.109375" defaultRowHeight="15.6" x14ac:dyDescent="0.3"/>
  <cols>
    <col min="1" max="1" width="30.6640625" style="4" bestFit="1" customWidth="1"/>
    <col min="2" max="7" width="14.33203125" style="4" customWidth="1"/>
    <col min="8" max="8" width="16.44140625" style="1" customWidth="1"/>
    <col min="9" max="9" width="18.5546875" style="1" bestFit="1" customWidth="1"/>
    <col min="10" max="10" width="14.88671875" style="4" customWidth="1"/>
    <col min="11" max="11" width="37.44140625" style="155" customWidth="1"/>
    <col min="12" max="16384" width="9.109375" style="1"/>
  </cols>
  <sheetData>
    <row r="1" spans="1:11" ht="31.8" thickBot="1" x14ac:dyDescent="0.65">
      <c r="A1" s="64" t="s">
        <v>486</v>
      </c>
      <c r="B1" s="61" t="s">
        <v>487</v>
      </c>
      <c r="C1" s="62"/>
      <c r="D1" s="63"/>
      <c r="E1" s="1"/>
    </row>
    <row r="2" spans="1:11" ht="16.2" thickBot="1" x14ac:dyDescent="0.35"/>
    <row r="3" spans="1:11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43" t="s">
        <v>971</v>
      </c>
      <c r="I3" s="57" t="s">
        <v>809</v>
      </c>
      <c r="J3" s="44" t="s">
        <v>922</v>
      </c>
      <c r="K3" s="156"/>
    </row>
    <row r="4" spans="1:11" s="35" customFormat="1" ht="16.2" thickBot="1" x14ac:dyDescent="0.35">
      <c r="A4" s="34"/>
      <c r="B4" s="34"/>
      <c r="C4" s="34"/>
      <c r="D4" s="34"/>
      <c r="E4" s="34"/>
      <c r="F4" s="34"/>
      <c r="G4" s="34"/>
      <c r="H4" s="110">
        <v>41790</v>
      </c>
      <c r="I4" s="110">
        <v>42004</v>
      </c>
      <c r="J4" s="36"/>
      <c r="K4" s="156"/>
    </row>
    <row r="5" spans="1:11" ht="16.2" thickBot="1" x14ac:dyDescent="0.35">
      <c r="A5" s="32" t="s">
        <v>19</v>
      </c>
      <c r="B5" s="10"/>
      <c r="C5" s="7"/>
      <c r="D5" s="7"/>
      <c r="H5" s="111"/>
      <c r="I5" s="111"/>
      <c r="J5" s="8"/>
    </row>
    <row r="6" spans="1:11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9">
        <f>86803-50000+10296</f>
        <v>47099</v>
      </c>
      <c r="I6" s="115">
        <v>110000</v>
      </c>
      <c r="J6" s="9">
        <v>100000</v>
      </c>
      <c r="K6" s="157"/>
    </row>
    <row r="7" spans="1:11" x14ac:dyDescent="0.3">
      <c r="A7" s="4" t="s">
        <v>492</v>
      </c>
      <c r="B7" s="38">
        <v>500</v>
      </c>
      <c r="C7" s="38">
        <v>85850</v>
      </c>
      <c r="D7" s="38">
        <v>62250</v>
      </c>
      <c r="E7" s="38">
        <v>66900</v>
      </c>
      <c r="F7" s="38">
        <v>91100</v>
      </c>
      <c r="G7" s="38">
        <v>83700</v>
      </c>
      <c r="H7" s="9">
        <v>0</v>
      </c>
      <c r="I7" s="115">
        <v>97000</v>
      </c>
      <c r="J7" s="9">
        <v>85000</v>
      </c>
    </row>
    <row r="8" spans="1:11" ht="28.8" x14ac:dyDescent="0.3">
      <c r="A8" s="4" t="s">
        <v>22</v>
      </c>
      <c r="B8" s="38">
        <v>46200</v>
      </c>
      <c r="C8" s="38">
        <v>38350</v>
      </c>
      <c r="D8" s="38">
        <v>45250</v>
      </c>
      <c r="E8" s="38">
        <v>41550</v>
      </c>
      <c r="F8" s="38">
        <v>70983</v>
      </c>
      <c r="G8" s="38">
        <v>67300</v>
      </c>
      <c r="H8" s="9">
        <f>8000+6000+4250+6550+8100+12400+3100+8100+300+6750+800+5250+4950</f>
        <v>74550</v>
      </c>
      <c r="I8" s="115">
        <v>100000</v>
      </c>
      <c r="J8" s="9">
        <v>100000</v>
      </c>
      <c r="K8" s="158" t="s">
        <v>1015</v>
      </c>
    </row>
    <row r="9" spans="1:11" x14ac:dyDescent="0.3">
      <c r="A9" s="4" t="s">
        <v>23</v>
      </c>
      <c r="B9" s="38">
        <v>34790</v>
      </c>
      <c r="C9" s="38">
        <f>54700+14100</f>
        <v>68800</v>
      </c>
      <c r="D9" s="38">
        <v>26025</v>
      </c>
      <c r="E9" s="38">
        <v>20105</v>
      </c>
      <c r="F9" s="38">
        <v>28901</v>
      </c>
      <c r="G9" s="38">
        <v>26546</v>
      </c>
      <c r="H9" s="9">
        <v>0</v>
      </c>
      <c r="I9" s="115">
        <v>40000</v>
      </c>
      <c r="J9" s="9">
        <v>30000</v>
      </c>
    </row>
    <row r="10" spans="1:11" x14ac:dyDescent="0.3">
      <c r="A10" s="4" t="s">
        <v>24</v>
      </c>
      <c r="B10" s="38">
        <v>5000</v>
      </c>
      <c r="C10" s="38">
        <v>10000</v>
      </c>
      <c r="D10" s="38">
        <v>0</v>
      </c>
      <c r="E10" s="38">
        <v>14600</v>
      </c>
      <c r="F10" s="38">
        <v>3840</v>
      </c>
      <c r="G10" s="38">
        <v>11500</v>
      </c>
      <c r="H10" s="9">
        <f>10568+5000+8000+5000</f>
        <v>28568</v>
      </c>
      <c r="I10" s="115">
        <v>35000</v>
      </c>
      <c r="J10" s="9">
        <v>15000</v>
      </c>
      <c r="K10" s="158"/>
    </row>
    <row r="11" spans="1:11" x14ac:dyDescent="0.3">
      <c r="A11" s="4" t="s">
        <v>489</v>
      </c>
      <c r="B11" s="38">
        <v>7200</v>
      </c>
      <c r="C11" s="38">
        <v>6866</v>
      </c>
      <c r="D11" s="38">
        <v>2515</v>
      </c>
      <c r="E11" s="38">
        <v>6728</v>
      </c>
      <c r="F11" s="38">
        <v>0</v>
      </c>
      <c r="G11" s="38">
        <v>2978</v>
      </c>
      <c r="H11" s="9">
        <f>12300+3240+23000+1280-23000</f>
        <v>16820</v>
      </c>
      <c r="I11" s="115">
        <v>20000</v>
      </c>
      <c r="J11" s="9">
        <v>0</v>
      </c>
    </row>
    <row r="12" spans="1:11" x14ac:dyDescent="0.3">
      <c r="A12" s="4" t="s">
        <v>26</v>
      </c>
      <c r="B12" s="38">
        <v>0</v>
      </c>
      <c r="C12" s="38">
        <v>0</v>
      </c>
      <c r="D12" s="38">
        <v>0</v>
      </c>
      <c r="E12" s="38">
        <v>5600</v>
      </c>
      <c r="F12" s="38">
        <v>4050</v>
      </c>
      <c r="G12" s="38">
        <v>0</v>
      </c>
      <c r="H12" s="9">
        <v>0</v>
      </c>
      <c r="I12" s="115">
        <v>0</v>
      </c>
      <c r="J12" s="9">
        <v>0</v>
      </c>
    </row>
    <row r="13" spans="1:1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9">
        <v>0</v>
      </c>
      <c r="I13" s="115">
        <v>500</v>
      </c>
      <c r="J13" s="9">
        <v>500</v>
      </c>
    </row>
    <row r="14" spans="1:1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v>4135</v>
      </c>
      <c r="F14" s="38">
        <v>1987</v>
      </c>
      <c r="G14" s="38">
        <v>1630</v>
      </c>
      <c r="H14" s="9">
        <f>1728+305+9454</f>
        <v>11487</v>
      </c>
      <c r="I14" s="115">
        <v>12000</v>
      </c>
      <c r="J14" s="9">
        <v>2000</v>
      </c>
    </row>
    <row r="15" spans="1:11" x14ac:dyDescent="0.3">
      <c r="A15" s="7" t="s">
        <v>29</v>
      </c>
      <c r="B15" s="39">
        <f>SUM(B6:B14)</f>
        <v>191729</v>
      </c>
      <c r="C15" s="39">
        <f>SUM(C6:C14)</f>
        <v>345486</v>
      </c>
      <c r="D15" s="39">
        <f>SUM(D6:D14)</f>
        <v>220107</v>
      </c>
      <c r="E15" s="39">
        <f t="shared" ref="E15:J15" si="0">SUM(E6:E14)</f>
        <v>239608.28999999998</v>
      </c>
      <c r="F15" s="39">
        <f t="shared" si="0"/>
        <v>299613.28000000003</v>
      </c>
      <c r="G15" s="39">
        <f t="shared" si="0"/>
        <v>289920</v>
      </c>
      <c r="H15" s="11">
        <f t="shared" si="0"/>
        <v>178524</v>
      </c>
      <c r="I15" s="116">
        <f t="shared" si="0"/>
        <v>414500</v>
      </c>
      <c r="J15" s="11">
        <f t="shared" si="0"/>
        <v>332500</v>
      </c>
    </row>
    <row r="16" spans="1:11" ht="16.2" thickBot="1" x14ac:dyDescent="0.35">
      <c r="B16" s="38"/>
      <c r="C16" s="40"/>
      <c r="D16" s="40"/>
      <c r="E16" s="38"/>
      <c r="F16" s="40"/>
      <c r="G16" s="40"/>
      <c r="H16" s="111"/>
      <c r="I16" s="117"/>
      <c r="J16" s="9"/>
    </row>
    <row r="17" spans="1:14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112"/>
      <c r="I17" s="118"/>
      <c r="J17" s="9"/>
      <c r="K17" s="159"/>
    </row>
    <row r="18" spans="1:14" x14ac:dyDescent="0.3">
      <c r="A18" s="4" t="s">
        <v>56</v>
      </c>
      <c r="B18" s="38">
        <v>-4459</v>
      </c>
      <c r="C18" s="38">
        <v>-12173</v>
      </c>
      <c r="D18" s="38">
        <v>0</v>
      </c>
      <c r="E18" s="38">
        <v>-180</v>
      </c>
      <c r="F18" s="38">
        <v>-1887</v>
      </c>
      <c r="G18" s="38">
        <v>0</v>
      </c>
      <c r="H18" s="9">
        <v>0</v>
      </c>
      <c r="I18" s="115">
        <v>0</v>
      </c>
      <c r="J18" s="9">
        <v>0</v>
      </c>
    </row>
    <row r="19" spans="1:14" x14ac:dyDescent="0.3">
      <c r="A19" s="4" t="s">
        <v>32</v>
      </c>
      <c r="B19" s="38">
        <f>-2650-3100-1600</f>
        <v>-7350</v>
      </c>
      <c r="C19" s="38">
        <f>-250-2500-1842</f>
        <v>-4592</v>
      </c>
      <c r="D19" s="38">
        <f>-250-4500-1899</f>
        <v>-6649</v>
      </c>
      <c r="E19" s="38">
        <v>-6338</v>
      </c>
      <c r="F19" s="38">
        <v>-6643</v>
      </c>
      <c r="G19" s="38">
        <v>-3530</v>
      </c>
      <c r="H19" s="9">
        <f>-774-250</f>
        <v>-1024</v>
      </c>
      <c r="I19" s="115">
        <v>-4000</v>
      </c>
      <c r="J19" s="9">
        <v>-4000</v>
      </c>
    </row>
    <row r="20" spans="1:14" x14ac:dyDescent="0.3">
      <c r="A20" s="4" t="s">
        <v>33</v>
      </c>
      <c r="B20" s="38">
        <v>0</v>
      </c>
      <c r="C20" s="38">
        <v>0</v>
      </c>
      <c r="D20" s="38">
        <v>0</v>
      </c>
      <c r="E20" s="38">
        <v>-741</v>
      </c>
      <c r="F20" s="38">
        <v>-547</v>
      </c>
      <c r="G20" s="38">
        <v>-154</v>
      </c>
      <c r="H20" s="9">
        <v>0</v>
      </c>
      <c r="I20" s="115">
        <v>-100</v>
      </c>
      <c r="J20" s="9">
        <v>-100</v>
      </c>
      <c r="L20" s="17"/>
    </row>
    <row r="21" spans="1:14" x14ac:dyDescent="0.3">
      <c r="A21" s="4" t="s">
        <v>493</v>
      </c>
      <c r="B21" s="38">
        <v>-635</v>
      </c>
      <c r="C21" s="38">
        <f>-1500-935-3800-2859-81</f>
        <v>-9175</v>
      </c>
      <c r="D21" s="38">
        <f>-755-1100</f>
        <v>-1855</v>
      </c>
      <c r="E21" s="38">
        <v>-2424</v>
      </c>
      <c r="F21" s="38">
        <v>-4637.7700000000004</v>
      </c>
      <c r="G21" s="38">
        <v>-2261</v>
      </c>
      <c r="H21" s="9">
        <f>1300-570</f>
        <v>730</v>
      </c>
      <c r="I21" s="115">
        <v>-3000</v>
      </c>
      <c r="J21" s="9">
        <v>-3000</v>
      </c>
      <c r="L21" s="17"/>
    </row>
    <row r="22" spans="1:14" x14ac:dyDescent="0.3">
      <c r="A22" s="4" t="s">
        <v>35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9">
        <f>-1531-562</f>
        <v>-2093</v>
      </c>
      <c r="I22" s="115">
        <v>-5000</v>
      </c>
      <c r="J22" s="9">
        <v>-5000</v>
      </c>
      <c r="L22" s="17"/>
    </row>
    <row r="23" spans="1:14" x14ac:dyDescent="0.3">
      <c r="A23" s="4" t="s">
        <v>36</v>
      </c>
      <c r="B23" s="38">
        <v>-5000</v>
      </c>
      <c r="C23" s="38">
        <v>-350</v>
      </c>
      <c r="D23" s="38">
        <v>0</v>
      </c>
      <c r="E23" s="38">
        <v>-3550</v>
      </c>
      <c r="F23" s="38">
        <v>-10190</v>
      </c>
      <c r="G23" s="38">
        <v>-27295</v>
      </c>
      <c r="H23" s="9">
        <f>-1400-1300-1400-800-1000</f>
        <v>-5900</v>
      </c>
      <c r="I23" s="115">
        <v>-15000</v>
      </c>
      <c r="J23" s="9">
        <v>-15000</v>
      </c>
      <c r="K23" s="157"/>
      <c r="L23" s="17"/>
    </row>
    <row r="24" spans="1:14" x14ac:dyDescent="0.3">
      <c r="A24" s="4" t="s">
        <v>37</v>
      </c>
      <c r="B24" s="38">
        <v>-7900</v>
      </c>
      <c r="C24" s="38">
        <v>0</v>
      </c>
      <c r="D24" s="38">
        <v>0</v>
      </c>
      <c r="E24" s="38">
        <v>-5850</v>
      </c>
      <c r="F24" s="38">
        <v>0</v>
      </c>
      <c r="G24" s="38">
        <v>0</v>
      </c>
      <c r="H24" s="9">
        <v>0</v>
      </c>
      <c r="I24" s="115">
        <v>0</v>
      </c>
      <c r="J24" s="9">
        <v>0</v>
      </c>
      <c r="L24" s="17"/>
    </row>
    <row r="25" spans="1:14" x14ac:dyDescent="0.3">
      <c r="A25" s="4" t="s">
        <v>38</v>
      </c>
      <c r="B25" s="38">
        <v>-4800</v>
      </c>
      <c r="C25" s="38">
        <v>-3398</v>
      </c>
      <c r="D25" s="38">
        <v>0</v>
      </c>
      <c r="E25" s="38">
        <v>-7138</v>
      </c>
      <c r="F25" s="38">
        <v>-3450</v>
      </c>
      <c r="G25" s="38">
        <v>-8100</v>
      </c>
      <c r="H25" s="9">
        <f>-300</f>
        <v>-300</v>
      </c>
      <c r="I25" s="115">
        <v>-10000</v>
      </c>
      <c r="J25" s="9">
        <v>-10000</v>
      </c>
      <c r="L25" s="17"/>
    </row>
    <row r="26" spans="1:14" x14ac:dyDescent="0.3">
      <c r="A26" s="4" t="s">
        <v>39</v>
      </c>
      <c r="B26" s="38">
        <v>-18016</v>
      </c>
      <c r="C26" s="38">
        <v>-18105</v>
      </c>
      <c r="D26" s="38">
        <v>-14387</v>
      </c>
      <c r="E26" s="38">
        <v>-7915</v>
      </c>
      <c r="F26" s="38">
        <v>-13828</v>
      </c>
      <c r="G26" s="38">
        <v>-24118</v>
      </c>
      <c r="H26" s="9">
        <f>-305-260-545-550-165-870-410-290-580-280-380-790-380-658-380</f>
        <v>-6843</v>
      </c>
      <c r="I26" s="115">
        <v>-30000</v>
      </c>
      <c r="J26" s="9">
        <v>-25000</v>
      </c>
      <c r="L26" s="17"/>
    </row>
    <row r="27" spans="1:14" x14ac:dyDescent="0.3">
      <c r="A27" s="4" t="s">
        <v>40</v>
      </c>
      <c r="B27" s="38">
        <v>0</v>
      </c>
      <c r="C27" s="38">
        <v>-850</v>
      </c>
      <c r="D27" s="38">
        <v>-625</v>
      </c>
      <c r="E27" s="38">
        <v>-8200</v>
      </c>
      <c r="F27" s="38">
        <v>0</v>
      </c>
      <c r="G27" s="38">
        <v>0</v>
      </c>
      <c r="H27" s="9">
        <v>0</v>
      </c>
      <c r="I27" s="115">
        <v>0</v>
      </c>
      <c r="J27" s="9">
        <v>0</v>
      </c>
      <c r="L27" s="17"/>
    </row>
    <row r="28" spans="1:14" x14ac:dyDescent="0.3">
      <c r="A28" s="4" t="s">
        <v>41</v>
      </c>
      <c r="B28" s="38">
        <v>-11755</v>
      </c>
      <c r="C28" s="38">
        <v>-20024</v>
      </c>
      <c r="D28" s="38">
        <v>-13297</v>
      </c>
      <c r="E28" s="38">
        <v>-14853.42</v>
      </c>
      <c r="F28" s="38">
        <v>-18717</v>
      </c>
      <c r="G28" s="38">
        <v>-4027</v>
      </c>
      <c r="H28" s="9">
        <f>-1785</f>
        <v>-1785</v>
      </c>
      <c r="I28" s="115">
        <v>-15000</v>
      </c>
      <c r="J28" s="9">
        <v>-8000</v>
      </c>
      <c r="L28" s="17"/>
    </row>
    <row r="29" spans="1:14" x14ac:dyDescent="0.3">
      <c r="A29" s="4" t="s">
        <v>154</v>
      </c>
      <c r="B29" s="38">
        <v>-19050</v>
      </c>
      <c r="C29" s="38">
        <f>-13250-1750</f>
        <v>-15000</v>
      </c>
      <c r="D29" s="38">
        <v>-19650</v>
      </c>
      <c r="E29" s="38">
        <v>-15750</v>
      </c>
      <c r="F29" s="38">
        <v>-21750</v>
      </c>
      <c r="G29" s="38">
        <v>-30300</v>
      </c>
      <c r="H29" s="9">
        <f>-4750-12750</f>
        <v>-17500</v>
      </c>
      <c r="I29" s="115">
        <v>-22000</v>
      </c>
      <c r="J29" s="9">
        <v>-20000</v>
      </c>
      <c r="K29" s="157" t="s">
        <v>969</v>
      </c>
      <c r="L29" s="17"/>
    </row>
    <row r="30" spans="1:14" x14ac:dyDescent="0.3">
      <c r="A30" s="4" t="s">
        <v>43</v>
      </c>
      <c r="B30" s="38">
        <v>-14470</v>
      </c>
      <c r="C30" s="38">
        <v>-10300</v>
      </c>
      <c r="D30" s="38">
        <v>-4860</v>
      </c>
      <c r="E30" s="38">
        <v>0</v>
      </c>
      <c r="F30" s="38">
        <v>-18405</v>
      </c>
      <c r="G30" s="38">
        <v>-10950</v>
      </c>
      <c r="H30" s="9">
        <f>-6400</f>
        <v>-6400</v>
      </c>
      <c r="I30" s="115">
        <v>-10000</v>
      </c>
      <c r="J30" s="9">
        <v>-10000</v>
      </c>
      <c r="L30" s="17"/>
    </row>
    <row r="31" spans="1:14" x14ac:dyDescent="0.3">
      <c r="A31" s="4" t="s">
        <v>44</v>
      </c>
      <c r="B31" s="38">
        <v>-25000</v>
      </c>
      <c r="C31" s="38">
        <v>-15000</v>
      </c>
      <c r="D31" s="38">
        <v>-17500</v>
      </c>
      <c r="E31" s="38">
        <v>-30416</v>
      </c>
      <c r="F31" s="38">
        <v>-16000</v>
      </c>
      <c r="G31" s="38">
        <v>-34000</v>
      </c>
      <c r="H31" s="9">
        <v>0</v>
      </c>
      <c r="I31" s="115">
        <v>-35000</v>
      </c>
      <c r="J31" s="9">
        <v>-35000</v>
      </c>
      <c r="L31" s="17"/>
    </row>
    <row r="32" spans="1:14" x14ac:dyDescent="0.3">
      <c r="A32" s="4" t="s">
        <v>45</v>
      </c>
      <c r="B32" s="38">
        <v>-32646</v>
      </c>
      <c r="C32" s="38">
        <v>-42437</v>
      </c>
      <c r="D32" s="38">
        <v>-26923</v>
      </c>
      <c r="E32" s="38">
        <v>-32572</v>
      </c>
      <c r="F32" s="38">
        <v>-50743</v>
      </c>
      <c r="G32" s="38">
        <v>-52811</v>
      </c>
      <c r="H32" s="9">
        <f>-48644-17258</f>
        <v>-65902</v>
      </c>
      <c r="I32" s="115">
        <v>-90000</v>
      </c>
      <c r="J32" s="9">
        <v>-60000</v>
      </c>
      <c r="L32" s="17"/>
      <c r="M32" s="55"/>
      <c r="N32" s="55"/>
    </row>
    <row r="33" spans="1:12" ht="24.6" x14ac:dyDescent="0.3">
      <c r="A33" s="4" t="s">
        <v>46</v>
      </c>
      <c r="B33" s="38">
        <f>-60296-7500</f>
        <v>-67796</v>
      </c>
      <c r="C33" s="38">
        <f>-18276-5135</f>
        <v>-23411</v>
      </c>
      <c r="D33" s="38">
        <v>-39936</v>
      </c>
      <c r="E33" s="38">
        <v>-107761</v>
      </c>
      <c r="F33" s="38">
        <v>-154875</v>
      </c>
      <c r="G33" s="38">
        <v>-138715</v>
      </c>
      <c r="H33" s="9">
        <f>-200-666-47-321-535-268-1053-65-438-412-149-976-1260-10825-3487-549-326-549-1236-549-1795-5436-549-3500</f>
        <v>-35191</v>
      </c>
      <c r="I33" s="115">
        <v>-75000</v>
      </c>
      <c r="J33" s="9">
        <v>-45000</v>
      </c>
      <c r="K33" s="157" t="s">
        <v>1014</v>
      </c>
      <c r="L33" s="17"/>
    </row>
    <row r="34" spans="1:12" x14ac:dyDescent="0.3">
      <c r="A34" s="4" t="s">
        <v>491</v>
      </c>
      <c r="B34" s="38">
        <v>0</v>
      </c>
      <c r="C34" s="38">
        <f>-75994-6425</f>
        <v>-82419</v>
      </c>
      <c r="D34" s="38">
        <f>-29362-12800</f>
        <v>-42162</v>
      </c>
      <c r="E34" s="38">
        <v>0</v>
      </c>
      <c r="F34" s="38">
        <v>0</v>
      </c>
      <c r="G34" s="38">
        <v>-102305</v>
      </c>
      <c r="H34" s="9">
        <v>0</v>
      </c>
      <c r="I34" s="115">
        <v>-103000</v>
      </c>
      <c r="J34" s="9">
        <v>-80000</v>
      </c>
      <c r="K34" s="155">
        <v>31385</v>
      </c>
      <c r="L34" s="17"/>
    </row>
    <row r="35" spans="1:12" x14ac:dyDescent="0.3">
      <c r="A35" s="4" t="s">
        <v>488</v>
      </c>
      <c r="G35" s="38">
        <v>-14329</v>
      </c>
      <c r="H35" s="9">
        <v>0</v>
      </c>
      <c r="I35" s="115">
        <v>0</v>
      </c>
      <c r="J35" s="9">
        <v>0</v>
      </c>
      <c r="K35" s="157"/>
    </row>
    <row r="36" spans="1:12" x14ac:dyDescent="0.3">
      <c r="A36" s="7" t="s">
        <v>47</v>
      </c>
      <c r="B36" s="39">
        <f>SUM(B18:B34)</f>
        <v>-218877</v>
      </c>
      <c r="C36" s="39">
        <f>SUM(C18:C34)</f>
        <v>-258934</v>
      </c>
      <c r="D36" s="39">
        <f>SUM(D18:D34)</f>
        <v>-187844</v>
      </c>
      <c r="E36" s="39">
        <f>SUM(E18:E34)</f>
        <v>-247088.41999999998</v>
      </c>
      <c r="F36" s="39">
        <f>SUM(F18:F34)</f>
        <v>-325572.77</v>
      </c>
      <c r="G36" s="39">
        <f>SUM(G18:G35)</f>
        <v>-457445</v>
      </c>
      <c r="H36" s="11">
        <f>SUM(H18:H35)</f>
        <v>-142208</v>
      </c>
      <c r="I36" s="116">
        <f>SUM(I18:I35)</f>
        <v>-417100</v>
      </c>
      <c r="J36" s="11">
        <f>SUM(J18:J35)</f>
        <v>-320100</v>
      </c>
      <c r="L36" s="17"/>
    </row>
    <row r="37" spans="1:12" x14ac:dyDescent="0.3">
      <c r="A37" s="7"/>
      <c r="B37" s="41"/>
      <c r="C37" s="41"/>
      <c r="D37" s="41"/>
      <c r="E37" s="39"/>
      <c r="F37" s="39"/>
      <c r="G37" s="39"/>
      <c r="H37" s="113"/>
      <c r="I37" s="117"/>
      <c r="J37" s="11"/>
      <c r="L37" s="17"/>
    </row>
    <row r="38" spans="1:12" s="13" customFormat="1" x14ac:dyDescent="0.3">
      <c r="A38" s="7" t="s">
        <v>48</v>
      </c>
      <c r="B38" s="39">
        <f t="shared" ref="B38:I38" si="1">+B36+B15</f>
        <v>-27148</v>
      </c>
      <c r="C38" s="39">
        <f t="shared" si="1"/>
        <v>86552</v>
      </c>
      <c r="D38" s="39">
        <f t="shared" si="1"/>
        <v>32263</v>
      </c>
      <c r="E38" s="39">
        <f t="shared" si="1"/>
        <v>-7480.1300000000047</v>
      </c>
      <c r="F38" s="39">
        <f t="shared" si="1"/>
        <v>-25959.489999999991</v>
      </c>
      <c r="G38" s="39">
        <f t="shared" si="1"/>
        <v>-167525</v>
      </c>
      <c r="H38" s="11">
        <f t="shared" si="1"/>
        <v>36316</v>
      </c>
      <c r="I38" s="116">
        <f t="shared" si="1"/>
        <v>-2600</v>
      </c>
      <c r="J38" s="11">
        <f>J15+J36</f>
        <v>12400</v>
      </c>
      <c r="K38" s="159"/>
      <c r="L38" s="17"/>
    </row>
    <row r="39" spans="1:12" s="13" customFormat="1" x14ac:dyDescent="0.3">
      <c r="A39" s="7"/>
      <c r="B39" s="41"/>
      <c r="C39" s="41"/>
      <c r="D39" s="41"/>
      <c r="E39" s="39"/>
      <c r="F39" s="39"/>
      <c r="G39" s="39"/>
      <c r="H39" s="11"/>
      <c r="I39" s="116"/>
      <c r="J39" s="11"/>
      <c r="K39" s="159"/>
    </row>
    <row r="40" spans="1:12" s="13" customFormat="1" x14ac:dyDescent="0.3">
      <c r="A40" s="7" t="s">
        <v>49</v>
      </c>
      <c r="B40" s="39">
        <v>-10000</v>
      </c>
      <c r="C40" s="39">
        <v>-10000</v>
      </c>
      <c r="D40" s="39">
        <v>-10000</v>
      </c>
      <c r="E40" s="39">
        <v>-10000</v>
      </c>
      <c r="F40" s="39">
        <v>-10000</v>
      </c>
      <c r="G40" s="39">
        <v>-14449</v>
      </c>
      <c r="H40" s="11">
        <v>0</v>
      </c>
      <c r="I40" s="116">
        <v>0</v>
      </c>
      <c r="J40" s="11">
        <v>0</v>
      </c>
      <c r="K40" s="159"/>
    </row>
    <row r="41" spans="1:12" s="13" customFormat="1" ht="16.2" thickBot="1" x14ac:dyDescent="0.35">
      <c r="A41" s="7"/>
      <c r="B41" s="41"/>
      <c r="C41" s="41"/>
      <c r="D41" s="41"/>
      <c r="E41" s="39"/>
      <c r="F41" s="39"/>
      <c r="G41" s="39"/>
      <c r="H41" s="11"/>
      <c r="I41" s="116"/>
      <c r="J41" s="11"/>
      <c r="K41" s="159"/>
    </row>
    <row r="42" spans="1:12" s="13" customFormat="1" ht="16.2" thickBot="1" x14ac:dyDescent="0.35">
      <c r="A42" s="7" t="s">
        <v>88</v>
      </c>
      <c r="B42" s="39">
        <f t="shared" ref="B42:J42" si="2">+B40+B38</f>
        <v>-37148</v>
      </c>
      <c r="C42" s="39">
        <f t="shared" si="2"/>
        <v>76552</v>
      </c>
      <c r="D42" s="39">
        <f t="shared" si="2"/>
        <v>22263</v>
      </c>
      <c r="E42" s="39">
        <f t="shared" si="2"/>
        <v>-17480.130000000005</v>
      </c>
      <c r="F42" s="39">
        <f t="shared" si="2"/>
        <v>-35959.489999999991</v>
      </c>
      <c r="G42" s="39">
        <f t="shared" si="2"/>
        <v>-181974</v>
      </c>
      <c r="H42" s="154">
        <f t="shared" si="2"/>
        <v>36316</v>
      </c>
      <c r="I42" s="33">
        <f t="shared" si="2"/>
        <v>-2600</v>
      </c>
      <c r="J42" s="154">
        <f t="shared" si="2"/>
        <v>12400</v>
      </c>
      <c r="K42" s="159"/>
    </row>
    <row r="43" spans="1:12" s="13" customFormat="1" ht="16.2" thickBot="1" x14ac:dyDescent="0.35">
      <c r="A43" s="4"/>
      <c r="B43" s="4"/>
      <c r="C43" s="4"/>
      <c r="D43" s="4"/>
      <c r="E43" s="4"/>
      <c r="F43" s="4"/>
      <c r="G43" s="4"/>
      <c r="I43" s="58"/>
      <c r="J43" s="4"/>
      <c r="K43" s="159"/>
    </row>
    <row r="44" spans="1:12" x14ac:dyDescent="0.3">
      <c r="H44" s="119" t="s">
        <v>916</v>
      </c>
      <c r="I44" s="121"/>
    </row>
    <row r="45" spans="1:12" x14ac:dyDescent="0.3">
      <c r="H45" s="122" t="s">
        <v>917</v>
      </c>
      <c r="I45" s="123"/>
    </row>
    <row r="46" spans="1:12" x14ac:dyDescent="0.3">
      <c r="H46" s="122"/>
      <c r="I46" s="123"/>
    </row>
    <row r="47" spans="1:12" x14ac:dyDescent="0.3">
      <c r="H47" s="124"/>
      <c r="I47" s="123"/>
    </row>
    <row r="48" spans="1:12" x14ac:dyDescent="0.3">
      <c r="H48" s="124"/>
      <c r="I48" s="123"/>
    </row>
    <row r="49" spans="8:9" x14ac:dyDescent="0.3">
      <c r="H49" s="124"/>
      <c r="I49" s="123"/>
    </row>
    <row r="50" spans="8:9" x14ac:dyDescent="0.3">
      <c r="H50" s="124"/>
      <c r="I50" s="123"/>
    </row>
    <row r="51" spans="8:9" x14ac:dyDescent="0.3">
      <c r="H51" s="124"/>
      <c r="I51" s="123"/>
    </row>
    <row r="52" spans="8:9" x14ac:dyDescent="0.3">
      <c r="H52" s="122" t="s">
        <v>918</v>
      </c>
      <c r="I52" s="123"/>
    </row>
    <row r="53" spans="8:9" x14ac:dyDescent="0.3">
      <c r="H53" s="124"/>
      <c r="I53" s="123"/>
    </row>
    <row r="54" spans="8:9" ht="16.2" thickBot="1" x14ac:dyDescent="0.35">
      <c r="H54" s="125"/>
      <c r="I54" s="127">
        <f>SUM(I45:I53)</f>
        <v>0</v>
      </c>
    </row>
  </sheetData>
  <pageMargins left="0.25" right="0.25" top="0.75" bottom="0.75" header="0.3" footer="0.3"/>
  <pageSetup paperSize="9" scale="67" orientation="landscape" r:id="rId1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A1:N54"/>
  <sheetViews>
    <sheetView workbookViewId="0"/>
  </sheetViews>
  <sheetFormatPr defaultColWidth="9.109375" defaultRowHeight="15.6" x14ac:dyDescent="0.3"/>
  <cols>
    <col min="1" max="1" width="30.6640625" style="4" bestFit="1" customWidth="1"/>
    <col min="2" max="7" width="14.33203125" style="4" customWidth="1"/>
    <col min="8" max="8" width="16.44140625" style="1" customWidth="1"/>
    <col min="9" max="9" width="18.5546875" style="1" bestFit="1" customWidth="1"/>
    <col min="10" max="10" width="14.88671875" style="4" customWidth="1"/>
    <col min="11" max="11" width="37.44140625" style="155" customWidth="1"/>
    <col min="12" max="16384" width="9.109375" style="1"/>
  </cols>
  <sheetData>
    <row r="1" spans="1:11" ht="31.8" thickBot="1" x14ac:dyDescent="0.65">
      <c r="A1" s="64" t="s">
        <v>486</v>
      </c>
      <c r="B1" s="61" t="s">
        <v>487</v>
      </c>
      <c r="C1" s="62"/>
      <c r="D1" s="63"/>
      <c r="E1" s="1"/>
    </row>
    <row r="2" spans="1:11" ht="16.2" thickBot="1" x14ac:dyDescent="0.35"/>
    <row r="3" spans="1:11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43" t="s">
        <v>971</v>
      </c>
      <c r="I3" s="57" t="s">
        <v>809</v>
      </c>
      <c r="J3" s="44" t="s">
        <v>922</v>
      </c>
      <c r="K3" s="156"/>
    </row>
    <row r="4" spans="1:11" s="35" customFormat="1" ht="16.2" thickBot="1" x14ac:dyDescent="0.35">
      <c r="A4" s="34"/>
      <c r="B4" s="34"/>
      <c r="C4" s="34"/>
      <c r="D4" s="34"/>
      <c r="E4" s="34"/>
      <c r="F4" s="34"/>
      <c r="G4" s="34"/>
      <c r="H4" s="110">
        <v>41851</v>
      </c>
      <c r="I4" s="110">
        <v>42004</v>
      </c>
      <c r="J4" s="36"/>
      <c r="K4" s="156"/>
    </row>
    <row r="5" spans="1:11" ht="16.2" thickBot="1" x14ac:dyDescent="0.35">
      <c r="A5" s="32" t="s">
        <v>19</v>
      </c>
      <c r="B5" s="10"/>
      <c r="C5" s="7"/>
      <c r="D5" s="7"/>
      <c r="H5" s="111"/>
      <c r="I5" s="111"/>
      <c r="J5" s="8"/>
    </row>
    <row r="6" spans="1:11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9">
        <f>86803-50000+10296+1600</f>
        <v>48699</v>
      </c>
      <c r="I6" s="115">
        <v>130000</v>
      </c>
      <c r="J6" s="9">
        <v>100000</v>
      </c>
      <c r="K6" s="157"/>
    </row>
    <row r="7" spans="1:11" x14ac:dyDescent="0.3">
      <c r="A7" s="4" t="s">
        <v>492</v>
      </c>
      <c r="B7" s="38">
        <v>500</v>
      </c>
      <c r="C7" s="38">
        <v>85850</v>
      </c>
      <c r="D7" s="38">
        <v>62250</v>
      </c>
      <c r="E7" s="38">
        <v>66900</v>
      </c>
      <c r="F7" s="38">
        <v>91100</v>
      </c>
      <c r="G7" s="38">
        <v>83700</v>
      </c>
      <c r="H7" s="9">
        <v>94424</v>
      </c>
      <c r="I7" s="115">
        <v>94500</v>
      </c>
      <c r="J7" s="9">
        <v>85000</v>
      </c>
    </row>
    <row r="8" spans="1:11" ht="28.8" x14ac:dyDescent="0.3">
      <c r="A8" s="4" t="s">
        <v>22</v>
      </c>
      <c r="B8" s="38">
        <v>46200</v>
      </c>
      <c r="C8" s="38">
        <v>38350</v>
      </c>
      <c r="D8" s="38">
        <v>45250</v>
      </c>
      <c r="E8" s="38">
        <v>41550</v>
      </c>
      <c r="F8" s="38">
        <v>70983</v>
      </c>
      <c r="G8" s="38">
        <v>67300</v>
      </c>
      <c r="H8" s="9">
        <f>8000+6000+4250+6550+8100+12400+3100+8100+300+6750+800+5250+4950+2900+400+3200+2250+400+900+600</f>
        <v>85200</v>
      </c>
      <c r="I8" s="115">
        <v>100000</v>
      </c>
      <c r="J8" s="9">
        <v>100000</v>
      </c>
      <c r="K8" s="158" t="s">
        <v>1137</v>
      </c>
    </row>
    <row r="9" spans="1:11" x14ac:dyDescent="0.3">
      <c r="A9" s="4" t="s">
        <v>23</v>
      </c>
      <c r="B9" s="38">
        <v>34790</v>
      </c>
      <c r="C9" s="38">
        <f>54700+14100</f>
        <v>68800</v>
      </c>
      <c r="D9" s="38">
        <v>26025</v>
      </c>
      <c r="E9" s="38">
        <v>20105</v>
      </c>
      <c r="F9" s="38">
        <v>28901</v>
      </c>
      <c r="G9" s="38">
        <v>26546</v>
      </c>
      <c r="H9" s="9">
        <v>0</v>
      </c>
      <c r="I9" s="115">
        <v>40000</v>
      </c>
      <c r="J9" s="9">
        <v>30000</v>
      </c>
    </row>
    <row r="10" spans="1:11" x14ac:dyDescent="0.3">
      <c r="A10" s="4" t="s">
        <v>24</v>
      </c>
      <c r="B10" s="38">
        <v>5000</v>
      </c>
      <c r="C10" s="38">
        <v>10000</v>
      </c>
      <c r="D10" s="38">
        <v>0</v>
      </c>
      <c r="E10" s="38">
        <v>14600</v>
      </c>
      <c r="F10" s="38">
        <v>3840</v>
      </c>
      <c r="G10" s="38">
        <v>11500</v>
      </c>
      <c r="H10" s="9">
        <f>10568+5000+8000+5000</f>
        <v>28568</v>
      </c>
      <c r="I10" s="115">
        <v>30000</v>
      </c>
      <c r="J10" s="9">
        <v>15000</v>
      </c>
      <c r="K10" s="158"/>
    </row>
    <row r="11" spans="1:11" x14ac:dyDescent="0.3">
      <c r="A11" s="4" t="s">
        <v>489</v>
      </c>
      <c r="B11" s="38">
        <v>7200</v>
      </c>
      <c r="C11" s="38">
        <v>6866</v>
      </c>
      <c r="D11" s="38">
        <v>2515</v>
      </c>
      <c r="E11" s="38">
        <v>6728</v>
      </c>
      <c r="F11" s="38">
        <v>0</v>
      </c>
      <c r="G11" s="38">
        <v>2978</v>
      </c>
      <c r="H11" s="9">
        <f>12300+3240+23000+1280-23000</f>
        <v>16820</v>
      </c>
      <c r="I11" s="115">
        <v>20000</v>
      </c>
      <c r="J11" s="9">
        <v>0</v>
      </c>
    </row>
    <row r="12" spans="1:11" x14ac:dyDescent="0.3">
      <c r="A12" s="4" t="s">
        <v>26</v>
      </c>
      <c r="B12" s="38">
        <v>0</v>
      </c>
      <c r="C12" s="38">
        <v>0</v>
      </c>
      <c r="D12" s="38">
        <v>0</v>
      </c>
      <c r="E12" s="38">
        <v>5600</v>
      </c>
      <c r="F12" s="38">
        <v>4050</v>
      </c>
      <c r="G12" s="38">
        <v>0</v>
      </c>
      <c r="H12" s="9">
        <v>0</v>
      </c>
      <c r="I12" s="115">
        <v>0</v>
      </c>
      <c r="J12" s="9">
        <v>0</v>
      </c>
    </row>
    <row r="13" spans="1:1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9">
        <v>0</v>
      </c>
      <c r="I13" s="115">
        <v>500</v>
      </c>
      <c r="J13" s="9">
        <v>500</v>
      </c>
    </row>
    <row r="14" spans="1:1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v>4135</v>
      </c>
      <c r="F14" s="38">
        <v>1987</v>
      </c>
      <c r="G14" s="38">
        <v>1630</v>
      </c>
      <c r="H14" s="9">
        <f>1728+305+9454</f>
        <v>11487</v>
      </c>
      <c r="I14" s="115">
        <v>12000</v>
      </c>
      <c r="J14" s="9">
        <v>2000</v>
      </c>
    </row>
    <row r="15" spans="1:11" x14ac:dyDescent="0.3">
      <c r="A15" s="7" t="s">
        <v>29</v>
      </c>
      <c r="B15" s="39">
        <f>SUM(B6:B14)</f>
        <v>191729</v>
      </c>
      <c r="C15" s="39">
        <f>SUM(C6:C14)</f>
        <v>345486</v>
      </c>
      <c r="D15" s="39">
        <f>SUM(D6:D14)</f>
        <v>220107</v>
      </c>
      <c r="E15" s="39">
        <f t="shared" ref="E15:J15" si="0">SUM(E6:E14)</f>
        <v>239608.28999999998</v>
      </c>
      <c r="F15" s="39">
        <f t="shared" si="0"/>
        <v>299613.28000000003</v>
      </c>
      <c r="G15" s="39">
        <f t="shared" si="0"/>
        <v>289920</v>
      </c>
      <c r="H15" s="11">
        <f t="shared" si="0"/>
        <v>285198</v>
      </c>
      <c r="I15" s="116">
        <f t="shared" si="0"/>
        <v>427000</v>
      </c>
      <c r="J15" s="11">
        <f t="shared" si="0"/>
        <v>332500</v>
      </c>
    </row>
    <row r="16" spans="1:11" ht="16.2" thickBot="1" x14ac:dyDescent="0.35">
      <c r="B16" s="38"/>
      <c r="C16" s="40"/>
      <c r="D16" s="40"/>
      <c r="E16" s="38"/>
      <c r="F16" s="40"/>
      <c r="G16" s="40"/>
      <c r="H16" s="111"/>
      <c r="I16" s="117"/>
      <c r="J16" s="9"/>
    </row>
    <row r="17" spans="1:14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112"/>
      <c r="I17" s="118"/>
      <c r="J17" s="9"/>
      <c r="K17" s="159"/>
    </row>
    <row r="18" spans="1:14" x14ac:dyDescent="0.3">
      <c r="A18" s="4" t="s">
        <v>56</v>
      </c>
      <c r="B18" s="38">
        <v>-4459</v>
      </c>
      <c r="C18" s="38">
        <v>-12173</v>
      </c>
      <c r="D18" s="38">
        <v>0</v>
      </c>
      <c r="E18" s="38">
        <v>-180</v>
      </c>
      <c r="F18" s="38">
        <v>-1887</v>
      </c>
      <c r="G18" s="38">
        <v>0</v>
      </c>
      <c r="H18" s="9">
        <v>0</v>
      </c>
      <c r="I18" s="115">
        <v>0</v>
      </c>
      <c r="J18" s="9">
        <v>0</v>
      </c>
    </row>
    <row r="19" spans="1:14" x14ac:dyDescent="0.3">
      <c r="A19" s="4" t="s">
        <v>32</v>
      </c>
      <c r="B19" s="38">
        <f>-2650-3100-1600</f>
        <v>-7350</v>
      </c>
      <c r="C19" s="38">
        <f>-250-2500-1842</f>
        <v>-4592</v>
      </c>
      <c r="D19" s="38">
        <f>-250-4500-1899</f>
        <v>-6649</v>
      </c>
      <c r="E19" s="38">
        <v>-6338</v>
      </c>
      <c r="F19" s="38">
        <v>-6643</v>
      </c>
      <c r="G19" s="38">
        <v>-3530</v>
      </c>
      <c r="H19" s="9">
        <f>-774-250</f>
        <v>-1024</v>
      </c>
      <c r="I19" s="115">
        <v>-4000</v>
      </c>
      <c r="J19" s="9">
        <v>-4000</v>
      </c>
    </row>
    <row r="20" spans="1:14" x14ac:dyDescent="0.3">
      <c r="A20" s="4" t="s">
        <v>33</v>
      </c>
      <c r="B20" s="38">
        <v>0</v>
      </c>
      <c r="C20" s="38">
        <v>0</v>
      </c>
      <c r="D20" s="38">
        <v>0</v>
      </c>
      <c r="E20" s="38">
        <v>-741</v>
      </c>
      <c r="F20" s="38">
        <v>-547</v>
      </c>
      <c r="G20" s="38">
        <v>-154</v>
      </c>
      <c r="H20" s="9">
        <v>0</v>
      </c>
      <c r="I20" s="115">
        <v>-100</v>
      </c>
      <c r="J20" s="9">
        <v>-100</v>
      </c>
      <c r="L20" s="17"/>
    </row>
    <row r="21" spans="1:14" x14ac:dyDescent="0.3">
      <c r="A21" s="4" t="s">
        <v>493</v>
      </c>
      <c r="B21" s="38">
        <v>-635</v>
      </c>
      <c r="C21" s="38">
        <f>-1500-935-3800-2859-81</f>
        <v>-9175</v>
      </c>
      <c r="D21" s="38">
        <f>-755-1100</f>
        <v>-1855</v>
      </c>
      <c r="E21" s="38">
        <v>-2424</v>
      </c>
      <c r="F21" s="38">
        <v>-4637.7700000000004</v>
      </c>
      <c r="G21" s="38">
        <v>-2261</v>
      </c>
      <c r="H21" s="9">
        <f>1300-570</f>
        <v>730</v>
      </c>
      <c r="I21" s="115">
        <v>-3000</v>
      </c>
      <c r="J21" s="9">
        <v>-3000</v>
      </c>
      <c r="L21" s="17"/>
    </row>
    <row r="22" spans="1:14" x14ac:dyDescent="0.3">
      <c r="A22" s="4" t="s">
        <v>35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9">
        <f>-1531-562-4500-1950</f>
        <v>-8543</v>
      </c>
      <c r="I22" s="115">
        <v>-9000</v>
      </c>
      <c r="J22" s="9">
        <v>-5000</v>
      </c>
      <c r="L22" s="17"/>
    </row>
    <row r="23" spans="1:14" x14ac:dyDescent="0.3">
      <c r="A23" s="4" t="s">
        <v>36</v>
      </c>
      <c r="B23" s="38">
        <v>-5000</v>
      </c>
      <c r="C23" s="38">
        <v>-350</v>
      </c>
      <c r="D23" s="38">
        <v>0</v>
      </c>
      <c r="E23" s="38">
        <v>-3550</v>
      </c>
      <c r="F23" s="38">
        <v>-10190</v>
      </c>
      <c r="G23" s="38">
        <v>-27295</v>
      </c>
      <c r="H23" s="9">
        <f>-1400-1300-1400-800-1000-500</f>
        <v>-6400</v>
      </c>
      <c r="I23" s="115">
        <v>-7000</v>
      </c>
      <c r="J23" s="9">
        <v>-15000</v>
      </c>
      <c r="K23" s="157"/>
      <c r="L23" s="17"/>
    </row>
    <row r="24" spans="1:14" x14ac:dyDescent="0.3">
      <c r="A24" s="4" t="s">
        <v>37</v>
      </c>
      <c r="B24" s="38">
        <v>-7900</v>
      </c>
      <c r="C24" s="38">
        <v>0</v>
      </c>
      <c r="D24" s="38">
        <v>0</v>
      </c>
      <c r="E24" s="38">
        <v>-5850</v>
      </c>
      <c r="F24" s="38">
        <v>0</v>
      </c>
      <c r="G24" s="38">
        <v>0</v>
      </c>
      <c r="H24" s="9">
        <v>0</v>
      </c>
      <c r="I24" s="115">
        <v>0</v>
      </c>
      <c r="J24" s="9">
        <v>0</v>
      </c>
      <c r="L24" s="17"/>
    </row>
    <row r="25" spans="1:14" x14ac:dyDescent="0.3">
      <c r="A25" s="4" t="s">
        <v>38</v>
      </c>
      <c r="B25" s="38">
        <v>-4800</v>
      </c>
      <c r="C25" s="38">
        <v>-3398</v>
      </c>
      <c r="D25" s="38">
        <v>0</v>
      </c>
      <c r="E25" s="38">
        <v>-7138</v>
      </c>
      <c r="F25" s="38">
        <v>-3450</v>
      </c>
      <c r="G25" s="38">
        <v>-8100</v>
      </c>
      <c r="H25" s="9">
        <f>-300-1050</f>
        <v>-1350</v>
      </c>
      <c r="I25" s="115">
        <v>-5000</v>
      </c>
      <c r="J25" s="9">
        <v>-10000</v>
      </c>
      <c r="L25" s="17"/>
    </row>
    <row r="26" spans="1:14" x14ac:dyDescent="0.3">
      <c r="A26" s="4" t="s">
        <v>39</v>
      </c>
      <c r="B26" s="38">
        <v>-18016</v>
      </c>
      <c r="C26" s="38">
        <v>-18105</v>
      </c>
      <c r="D26" s="38">
        <v>-14387</v>
      </c>
      <c r="E26" s="38">
        <v>-7915</v>
      </c>
      <c r="F26" s="38">
        <v>-13828</v>
      </c>
      <c r="G26" s="38">
        <v>-24118</v>
      </c>
      <c r="H26" s="9">
        <f>-305-260-545-550-165-870-410-290-580-280-380-790-380-658-380-380-380-790-665-290-250-380-580-380-730</f>
        <v>-11668</v>
      </c>
      <c r="I26" s="115">
        <v>-20000</v>
      </c>
      <c r="J26" s="9">
        <v>-25000</v>
      </c>
      <c r="L26" s="17"/>
    </row>
    <row r="27" spans="1:14" x14ac:dyDescent="0.3">
      <c r="A27" s="4" t="s">
        <v>40</v>
      </c>
      <c r="B27" s="38">
        <v>0</v>
      </c>
      <c r="C27" s="38">
        <v>-850</v>
      </c>
      <c r="D27" s="38">
        <v>-625</v>
      </c>
      <c r="E27" s="38">
        <v>-8200</v>
      </c>
      <c r="F27" s="38">
        <v>0</v>
      </c>
      <c r="G27" s="38">
        <v>0</v>
      </c>
      <c r="H27" s="9">
        <f>-2100</f>
        <v>-2100</v>
      </c>
      <c r="I27" s="115">
        <v>-2100</v>
      </c>
      <c r="J27" s="9">
        <v>0</v>
      </c>
      <c r="L27" s="17"/>
    </row>
    <row r="28" spans="1:14" x14ac:dyDescent="0.3">
      <c r="A28" s="4" t="s">
        <v>508</v>
      </c>
      <c r="B28" s="38">
        <v>-11755</v>
      </c>
      <c r="C28" s="38">
        <v>-20024</v>
      </c>
      <c r="D28" s="38">
        <v>-13297</v>
      </c>
      <c r="E28" s="38">
        <v>-14853.42</v>
      </c>
      <c r="F28" s="38">
        <v>-18717</v>
      </c>
      <c r="G28" s="38">
        <v>-4027</v>
      </c>
      <c r="H28" s="9">
        <f>-1785-800-765-8342-2145-3793-315-2288</f>
        <v>-20233</v>
      </c>
      <c r="I28" s="115">
        <v>-25000</v>
      </c>
      <c r="J28" s="9">
        <v>-8000</v>
      </c>
      <c r="L28" s="17"/>
    </row>
    <row r="29" spans="1:14" x14ac:dyDescent="0.3">
      <c r="A29" s="4" t="s">
        <v>154</v>
      </c>
      <c r="B29" s="38">
        <v>-19050</v>
      </c>
      <c r="C29" s="38">
        <f>-13250-1750</f>
        <v>-15000</v>
      </c>
      <c r="D29" s="38">
        <v>-19650</v>
      </c>
      <c r="E29" s="38">
        <v>-15750</v>
      </c>
      <c r="F29" s="38">
        <v>-21750</v>
      </c>
      <c r="G29" s="38">
        <v>-30300</v>
      </c>
      <c r="H29" s="9">
        <f>-4750-12750+1550</f>
        <v>-15950</v>
      </c>
      <c r="I29" s="115">
        <v>-20000</v>
      </c>
      <c r="J29" s="9">
        <v>-20000</v>
      </c>
      <c r="K29" s="157" t="s">
        <v>969</v>
      </c>
      <c r="L29" s="17"/>
    </row>
    <row r="30" spans="1:14" x14ac:dyDescent="0.3">
      <c r="A30" s="4" t="s">
        <v>43</v>
      </c>
      <c r="B30" s="38">
        <v>-14470</v>
      </c>
      <c r="C30" s="38">
        <v>-10300</v>
      </c>
      <c r="D30" s="38">
        <v>-4860</v>
      </c>
      <c r="E30" s="38">
        <v>0</v>
      </c>
      <c r="F30" s="38">
        <v>-18405</v>
      </c>
      <c r="G30" s="38">
        <v>-10950</v>
      </c>
      <c r="H30" s="9">
        <f>-6400</f>
        <v>-6400</v>
      </c>
      <c r="I30" s="115">
        <v>-10000</v>
      </c>
      <c r="J30" s="9">
        <v>-10000</v>
      </c>
      <c r="L30" s="17"/>
    </row>
    <row r="31" spans="1:14" x14ac:dyDescent="0.3">
      <c r="A31" s="4" t="s">
        <v>44</v>
      </c>
      <c r="B31" s="38">
        <v>-25000</v>
      </c>
      <c r="C31" s="38">
        <v>-15000</v>
      </c>
      <c r="D31" s="38">
        <v>-17500</v>
      </c>
      <c r="E31" s="38">
        <v>-30416</v>
      </c>
      <c r="F31" s="38">
        <v>-16000</v>
      </c>
      <c r="G31" s="38">
        <v>-34000</v>
      </c>
      <c r="H31" s="9">
        <v>0</v>
      </c>
      <c r="I31" s="115">
        <v>-35000</v>
      </c>
      <c r="J31" s="9">
        <v>-35000</v>
      </c>
      <c r="L31" s="17"/>
    </row>
    <row r="32" spans="1:14" x14ac:dyDescent="0.3">
      <c r="A32" s="4" t="s">
        <v>45</v>
      </c>
      <c r="B32" s="38">
        <v>-32646</v>
      </c>
      <c r="C32" s="38">
        <v>-42437</v>
      </c>
      <c r="D32" s="38">
        <v>-26923</v>
      </c>
      <c r="E32" s="38">
        <v>-32572</v>
      </c>
      <c r="F32" s="38">
        <v>-50743</v>
      </c>
      <c r="G32" s="38">
        <v>-52811</v>
      </c>
      <c r="H32" s="9">
        <f>-48644-17258-12025-10021</f>
        <v>-87948</v>
      </c>
      <c r="I32" s="115">
        <v>-115000</v>
      </c>
      <c r="J32" s="9">
        <v>-60000</v>
      </c>
      <c r="L32" s="17"/>
      <c r="M32" s="55"/>
      <c r="N32" s="55"/>
    </row>
    <row r="33" spans="1:12" ht="24.6" x14ac:dyDescent="0.3">
      <c r="A33" s="4" t="s">
        <v>46</v>
      </c>
      <c r="B33" s="38">
        <f>-60296-7500</f>
        <v>-67796</v>
      </c>
      <c r="C33" s="38">
        <f>-18276-5135</f>
        <v>-23411</v>
      </c>
      <c r="D33" s="38">
        <v>-39936</v>
      </c>
      <c r="E33" s="38">
        <v>-107761</v>
      </c>
      <c r="F33" s="38">
        <v>-154875</v>
      </c>
      <c r="G33" s="38">
        <v>-138715</v>
      </c>
      <c r="H33" s="9">
        <f>-200-666-47-321-535-268-1053-65-438-412-149-976-1260-10825-3487-549-326-549-1236-549-1795-5436-549-3500-118-666-980-1098-104-1995-1521-874-10282-649-1098-838-293+12490-410+19990-392-134-151-13139-19587-348-4041</f>
        <v>-61429</v>
      </c>
      <c r="I33" s="115">
        <v>-70000</v>
      </c>
      <c r="J33" s="9">
        <v>-45000</v>
      </c>
      <c r="K33" s="157" t="s">
        <v>1138</v>
      </c>
      <c r="L33" s="17"/>
    </row>
    <row r="34" spans="1:12" x14ac:dyDescent="0.3">
      <c r="A34" s="4" t="s">
        <v>491</v>
      </c>
      <c r="B34" s="38">
        <v>0</v>
      </c>
      <c r="C34" s="38">
        <f>-75994-6425</f>
        <v>-82419</v>
      </c>
      <c r="D34" s="38">
        <f>-29362-12800</f>
        <v>-42162</v>
      </c>
      <c r="E34" s="38">
        <v>0</v>
      </c>
      <c r="F34" s="38">
        <v>0</v>
      </c>
      <c r="G34" s="38">
        <v>-102305</v>
      </c>
      <c r="H34" s="9">
        <f>-800-668-800-800-800-800-800-800-800-800-800-800-800-800-800-800-800-800-800-400-800-800-1875-30600</f>
        <v>-49543</v>
      </c>
      <c r="I34" s="115">
        <v>-97000</v>
      </c>
      <c r="J34" s="9">
        <v>-80000</v>
      </c>
      <c r="L34" s="17"/>
    </row>
    <row r="35" spans="1:12" x14ac:dyDescent="0.3">
      <c r="A35" s="4" t="s">
        <v>488</v>
      </c>
      <c r="G35" s="38">
        <v>-14329</v>
      </c>
      <c r="H35" s="9">
        <v>0</v>
      </c>
      <c r="I35" s="115">
        <v>0</v>
      </c>
      <c r="J35" s="9">
        <v>0</v>
      </c>
      <c r="K35" s="157"/>
    </row>
    <row r="36" spans="1:12" x14ac:dyDescent="0.3">
      <c r="A36" s="7" t="s">
        <v>47</v>
      </c>
      <c r="B36" s="39">
        <f>SUM(B18:B34)</f>
        <v>-218877</v>
      </c>
      <c r="C36" s="39">
        <f>SUM(C18:C34)</f>
        <v>-258934</v>
      </c>
      <c r="D36" s="39">
        <f>SUM(D18:D34)</f>
        <v>-187844</v>
      </c>
      <c r="E36" s="39">
        <f>SUM(E18:E34)</f>
        <v>-247088.41999999998</v>
      </c>
      <c r="F36" s="39">
        <f>SUM(F18:F34)</f>
        <v>-325572.77</v>
      </c>
      <c r="G36" s="39">
        <f>SUM(G18:G35)</f>
        <v>-457445</v>
      </c>
      <c r="H36" s="11">
        <f>SUM(H18:H35)</f>
        <v>-271858</v>
      </c>
      <c r="I36" s="116">
        <f>SUM(I18:I35)</f>
        <v>-422200</v>
      </c>
      <c r="J36" s="11">
        <f>SUM(J18:J35)</f>
        <v>-320100</v>
      </c>
      <c r="K36" s="158"/>
      <c r="L36" s="17"/>
    </row>
    <row r="37" spans="1:12" x14ac:dyDescent="0.3">
      <c r="A37" s="7"/>
      <c r="B37" s="41"/>
      <c r="C37" s="41"/>
      <c r="D37" s="41"/>
      <c r="E37" s="39"/>
      <c r="F37" s="39"/>
      <c r="G37" s="39"/>
      <c r="H37" s="113"/>
      <c r="I37" s="117"/>
      <c r="J37" s="11"/>
      <c r="K37" s="158"/>
      <c r="L37" s="17"/>
    </row>
    <row r="38" spans="1:12" s="13" customFormat="1" x14ac:dyDescent="0.3">
      <c r="A38" s="7" t="s">
        <v>48</v>
      </c>
      <c r="B38" s="39">
        <f t="shared" ref="B38:I38" si="1">+B36+B15</f>
        <v>-27148</v>
      </c>
      <c r="C38" s="39">
        <f t="shared" si="1"/>
        <v>86552</v>
      </c>
      <c r="D38" s="39">
        <f t="shared" si="1"/>
        <v>32263</v>
      </c>
      <c r="E38" s="39">
        <f t="shared" si="1"/>
        <v>-7480.1300000000047</v>
      </c>
      <c r="F38" s="39">
        <f t="shared" si="1"/>
        <v>-25959.489999999991</v>
      </c>
      <c r="G38" s="39">
        <f t="shared" si="1"/>
        <v>-167525</v>
      </c>
      <c r="H38" s="11">
        <f t="shared" si="1"/>
        <v>13340</v>
      </c>
      <c r="I38" s="116">
        <f t="shared" si="1"/>
        <v>4800</v>
      </c>
      <c r="J38" s="11">
        <f>J15+J36</f>
        <v>12400</v>
      </c>
      <c r="K38" s="159"/>
      <c r="L38" s="17"/>
    </row>
    <row r="39" spans="1:12" s="13" customFormat="1" x14ac:dyDescent="0.3">
      <c r="A39" s="7"/>
      <c r="B39" s="41"/>
      <c r="C39" s="41"/>
      <c r="D39" s="41"/>
      <c r="E39" s="39"/>
      <c r="F39" s="39"/>
      <c r="G39" s="39"/>
      <c r="H39" s="11"/>
      <c r="I39" s="116"/>
      <c r="J39" s="11"/>
      <c r="K39" s="159"/>
    </row>
    <row r="40" spans="1:12" s="13" customFormat="1" x14ac:dyDescent="0.3">
      <c r="A40" s="7" t="s">
        <v>49</v>
      </c>
      <c r="B40" s="39">
        <v>-10000</v>
      </c>
      <c r="C40" s="39">
        <v>-10000</v>
      </c>
      <c r="D40" s="39">
        <v>-10000</v>
      </c>
      <c r="E40" s="39">
        <v>-10000</v>
      </c>
      <c r="F40" s="39">
        <v>-10000</v>
      </c>
      <c r="G40" s="39">
        <v>-14449</v>
      </c>
      <c r="H40" s="11">
        <v>0</v>
      </c>
      <c r="I40" s="116">
        <v>0</v>
      </c>
      <c r="J40" s="11">
        <v>0</v>
      </c>
      <c r="K40" s="159"/>
    </row>
    <row r="41" spans="1:12" s="13" customFormat="1" ht="16.2" thickBot="1" x14ac:dyDescent="0.35">
      <c r="A41" s="7"/>
      <c r="B41" s="41"/>
      <c r="C41" s="41"/>
      <c r="D41" s="41"/>
      <c r="E41" s="39"/>
      <c r="F41" s="39"/>
      <c r="G41" s="39"/>
      <c r="H41" s="11"/>
      <c r="I41" s="116"/>
      <c r="J41" s="11"/>
      <c r="K41" s="159"/>
    </row>
    <row r="42" spans="1:12" s="13" customFormat="1" ht="16.2" thickBot="1" x14ac:dyDescent="0.35">
      <c r="A42" s="7" t="s">
        <v>88</v>
      </c>
      <c r="B42" s="39">
        <f t="shared" ref="B42:J42" si="2">+B40+B38</f>
        <v>-37148</v>
      </c>
      <c r="C42" s="39">
        <f t="shared" si="2"/>
        <v>76552</v>
      </c>
      <c r="D42" s="39">
        <f t="shared" si="2"/>
        <v>22263</v>
      </c>
      <c r="E42" s="39">
        <f t="shared" si="2"/>
        <v>-17480.130000000005</v>
      </c>
      <c r="F42" s="39">
        <f t="shared" si="2"/>
        <v>-35959.489999999991</v>
      </c>
      <c r="G42" s="39">
        <f t="shared" si="2"/>
        <v>-181974</v>
      </c>
      <c r="H42" s="154">
        <f t="shared" si="2"/>
        <v>13340</v>
      </c>
      <c r="I42" s="33">
        <f t="shared" si="2"/>
        <v>4800</v>
      </c>
      <c r="J42" s="154">
        <f t="shared" si="2"/>
        <v>12400</v>
      </c>
      <c r="K42" s="159"/>
    </row>
    <row r="43" spans="1:12" s="13" customFormat="1" ht="16.2" thickBot="1" x14ac:dyDescent="0.35">
      <c r="A43" s="4"/>
      <c r="B43" s="4"/>
      <c r="C43" s="4"/>
      <c r="D43" s="4"/>
      <c r="E43" s="4"/>
      <c r="F43" s="4"/>
      <c r="G43" s="4"/>
      <c r="I43" s="58"/>
      <c r="J43" s="4"/>
      <c r="K43" s="159"/>
    </row>
    <row r="44" spans="1:12" x14ac:dyDescent="0.3">
      <c r="H44" s="119" t="s">
        <v>916</v>
      </c>
      <c r="I44" s="121"/>
    </row>
    <row r="45" spans="1:12" x14ac:dyDescent="0.3">
      <c r="H45" s="122" t="s">
        <v>917</v>
      </c>
      <c r="I45" s="123"/>
    </row>
    <row r="46" spans="1:12" x14ac:dyDescent="0.3">
      <c r="H46" s="122"/>
      <c r="I46" s="123"/>
    </row>
    <row r="47" spans="1:12" x14ac:dyDescent="0.3">
      <c r="H47" s="124"/>
      <c r="I47" s="123"/>
    </row>
    <row r="48" spans="1:12" x14ac:dyDescent="0.3">
      <c r="H48" s="124"/>
      <c r="I48" s="123"/>
    </row>
    <row r="49" spans="8:9" x14ac:dyDescent="0.3">
      <c r="H49" s="124"/>
      <c r="I49" s="123"/>
    </row>
    <row r="50" spans="8:9" x14ac:dyDescent="0.3">
      <c r="H50" s="124"/>
      <c r="I50" s="123"/>
    </row>
    <row r="51" spans="8:9" x14ac:dyDescent="0.3">
      <c r="H51" s="124"/>
      <c r="I51" s="123"/>
    </row>
    <row r="52" spans="8:9" x14ac:dyDescent="0.3">
      <c r="H52" s="122" t="s">
        <v>918</v>
      </c>
      <c r="I52" s="123"/>
    </row>
    <row r="53" spans="8:9" x14ac:dyDescent="0.3">
      <c r="H53" s="124"/>
      <c r="I53" s="123"/>
    </row>
    <row r="54" spans="8:9" ht="16.2" thickBot="1" x14ac:dyDescent="0.35">
      <c r="H54" s="125"/>
      <c r="I54" s="127">
        <f>SUM(I45:I53)</f>
        <v>0</v>
      </c>
    </row>
  </sheetData>
  <pageMargins left="0.25" right="0.25" top="0.75" bottom="0.75" header="0.3" footer="0.3"/>
  <pageSetup paperSize="9" scale="67" orientation="landscape" r:id="rId1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:J43"/>
  <sheetViews>
    <sheetView workbookViewId="0"/>
  </sheetViews>
  <sheetFormatPr defaultColWidth="9.109375" defaultRowHeight="15.6" x14ac:dyDescent="0.3"/>
  <cols>
    <col min="1" max="1" width="30.6640625" style="4" bestFit="1" customWidth="1"/>
    <col min="2" max="7" width="14.33203125" style="4" customWidth="1"/>
    <col min="8" max="8" width="14.88671875" style="4" customWidth="1"/>
    <col min="9" max="9" width="12.44140625" style="1" bestFit="1" customWidth="1"/>
    <col min="10" max="16384" width="9.109375" style="1"/>
  </cols>
  <sheetData>
    <row r="1" spans="1:9" ht="31.8" thickBot="1" x14ac:dyDescent="0.65">
      <c r="A1" s="64" t="s">
        <v>486</v>
      </c>
      <c r="B1" s="61" t="s">
        <v>487</v>
      </c>
      <c r="C1" s="62"/>
      <c r="D1" s="63"/>
      <c r="E1" s="1"/>
    </row>
    <row r="2" spans="1:9" ht="16.2" thickBot="1" x14ac:dyDescent="0.35"/>
    <row r="3" spans="1:9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44" t="s">
        <v>922</v>
      </c>
    </row>
    <row r="4" spans="1:9" s="35" customFormat="1" ht="16.2" thickBot="1" x14ac:dyDescent="0.35">
      <c r="A4" s="34"/>
      <c r="B4" s="34"/>
      <c r="C4" s="34"/>
      <c r="D4" s="34"/>
      <c r="E4" s="34"/>
      <c r="F4" s="34"/>
      <c r="G4" s="34"/>
      <c r="H4" s="36"/>
    </row>
    <row r="5" spans="1:9" ht="16.2" thickBot="1" x14ac:dyDescent="0.35">
      <c r="A5" s="32" t="s">
        <v>19</v>
      </c>
      <c r="B5" s="10"/>
      <c r="C5" s="7"/>
      <c r="D5" s="7"/>
      <c r="H5" s="8"/>
    </row>
    <row r="6" spans="1:9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9">
        <v>100000</v>
      </c>
      <c r="I6" s="56"/>
    </row>
    <row r="7" spans="1:9" x14ac:dyDescent="0.3">
      <c r="A7" s="4" t="s">
        <v>492</v>
      </c>
      <c r="B7" s="38">
        <v>500</v>
      </c>
      <c r="C7" s="38">
        <v>85850</v>
      </c>
      <c r="D7" s="38">
        <v>62250</v>
      </c>
      <c r="E7" s="38">
        <v>66900</v>
      </c>
      <c r="F7" s="38">
        <v>91100</v>
      </c>
      <c r="G7" s="38">
        <v>83700</v>
      </c>
      <c r="H7" s="9">
        <v>85000</v>
      </c>
    </row>
    <row r="8" spans="1:9" x14ac:dyDescent="0.3">
      <c r="A8" s="4" t="s">
        <v>22</v>
      </c>
      <c r="B8" s="38">
        <v>46200</v>
      </c>
      <c r="C8" s="38">
        <v>38350</v>
      </c>
      <c r="D8" s="38">
        <v>45250</v>
      </c>
      <c r="E8" s="38">
        <v>41550</v>
      </c>
      <c r="F8" s="38">
        <v>70983</v>
      </c>
      <c r="G8" s="38">
        <v>67300</v>
      </c>
      <c r="H8" s="9">
        <v>100000</v>
      </c>
      <c r="I8" s="55"/>
    </row>
    <row r="9" spans="1:9" x14ac:dyDescent="0.3">
      <c r="A9" s="4" t="s">
        <v>23</v>
      </c>
      <c r="B9" s="38">
        <v>34790</v>
      </c>
      <c r="C9" s="38">
        <f>54700+14100</f>
        <v>68800</v>
      </c>
      <c r="D9" s="38">
        <v>26025</v>
      </c>
      <c r="E9" s="38">
        <v>20105</v>
      </c>
      <c r="F9" s="38">
        <v>28901</v>
      </c>
      <c r="G9" s="38">
        <v>26546</v>
      </c>
      <c r="H9" s="9">
        <v>30000</v>
      </c>
    </row>
    <row r="10" spans="1:9" x14ac:dyDescent="0.3">
      <c r="A10" s="4" t="s">
        <v>24</v>
      </c>
      <c r="B10" s="38">
        <v>5000</v>
      </c>
      <c r="C10" s="38">
        <v>10000</v>
      </c>
      <c r="D10" s="38">
        <v>0</v>
      </c>
      <c r="E10" s="38">
        <v>14600</v>
      </c>
      <c r="F10" s="38">
        <v>3840</v>
      </c>
      <c r="G10" s="38">
        <v>11500</v>
      </c>
      <c r="H10" s="9">
        <v>15000</v>
      </c>
    </row>
    <row r="11" spans="1:9" x14ac:dyDescent="0.3">
      <c r="A11" s="4" t="s">
        <v>489</v>
      </c>
      <c r="B11" s="38">
        <v>7200</v>
      </c>
      <c r="C11" s="38">
        <v>6866</v>
      </c>
      <c r="D11" s="38">
        <v>2515</v>
      </c>
      <c r="E11" s="38">
        <v>6728</v>
      </c>
      <c r="F11" s="38">
        <v>0</v>
      </c>
      <c r="G11" s="38">
        <v>2978</v>
      </c>
      <c r="H11" s="9">
        <v>0</v>
      </c>
    </row>
    <row r="12" spans="1:9" x14ac:dyDescent="0.3">
      <c r="A12" s="4" t="s">
        <v>26</v>
      </c>
      <c r="B12" s="38">
        <v>0</v>
      </c>
      <c r="C12" s="38">
        <v>0</v>
      </c>
      <c r="D12" s="38">
        <v>0</v>
      </c>
      <c r="E12" s="38">
        <v>5600</v>
      </c>
      <c r="F12" s="38">
        <v>4050</v>
      </c>
      <c r="G12" s="38">
        <v>0</v>
      </c>
      <c r="H12" s="9">
        <v>0</v>
      </c>
    </row>
    <row r="13" spans="1:9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9">
        <v>500</v>
      </c>
    </row>
    <row r="14" spans="1:9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v>4135</v>
      </c>
      <c r="F14" s="38">
        <v>1987</v>
      </c>
      <c r="G14" s="38">
        <v>1630</v>
      </c>
      <c r="H14" s="9">
        <v>2000</v>
      </c>
    </row>
    <row r="15" spans="1:9" x14ac:dyDescent="0.3">
      <c r="A15" s="7" t="s">
        <v>29</v>
      </c>
      <c r="B15" s="39">
        <f t="shared" ref="B15:H15" si="0">SUM(B6:B14)</f>
        <v>191729</v>
      </c>
      <c r="C15" s="39">
        <f t="shared" si="0"/>
        <v>345486</v>
      </c>
      <c r="D15" s="39">
        <f t="shared" si="0"/>
        <v>220107</v>
      </c>
      <c r="E15" s="39">
        <f t="shared" si="0"/>
        <v>239608.28999999998</v>
      </c>
      <c r="F15" s="39">
        <f t="shared" si="0"/>
        <v>299613.28000000003</v>
      </c>
      <c r="G15" s="39">
        <f t="shared" si="0"/>
        <v>289920</v>
      </c>
      <c r="H15" s="11">
        <f t="shared" si="0"/>
        <v>332500</v>
      </c>
    </row>
    <row r="16" spans="1:9" ht="16.2" thickBot="1" x14ac:dyDescent="0.35">
      <c r="B16" s="38"/>
      <c r="C16" s="40"/>
      <c r="D16" s="40"/>
      <c r="E16" s="38"/>
      <c r="F16" s="40"/>
      <c r="G16" s="40"/>
      <c r="H16" s="9"/>
    </row>
    <row r="17" spans="1:10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9"/>
    </row>
    <row r="18" spans="1:10" x14ac:dyDescent="0.3">
      <c r="A18" s="4" t="s">
        <v>56</v>
      </c>
      <c r="B18" s="38">
        <v>-4459</v>
      </c>
      <c r="C18" s="38">
        <v>-12173</v>
      </c>
      <c r="D18" s="38">
        <v>0</v>
      </c>
      <c r="E18" s="38">
        <v>-180</v>
      </c>
      <c r="F18" s="38">
        <v>-1887</v>
      </c>
      <c r="G18" s="38">
        <v>0</v>
      </c>
      <c r="H18" s="9">
        <v>0</v>
      </c>
    </row>
    <row r="19" spans="1:10" x14ac:dyDescent="0.3">
      <c r="A19" s="4" t="s">
        <v>32</v>
      </c>
      <c r="B19" s="38">
        <f>-2650-3100-1600</f>
        <v>-7350</v>
      </c>
      <c r="C19" s="38">
        <f>-250-2500-1842</f>
        <v>-4592</v>
      </c>
      <c r="D19" s="38">
        <f>-250-4500-1899</f>
        <v>-6649</v>
      </c>
      <c r="E19" s="38">
        <v>-6338</v>
      </c>
      <c r="F19" s="38">
        <v>-6643</v>
      </c>
      <c r="G19" s="38">
        <v>-3530</v>
      </c>
      <c r="H19" s="9">
        <v>-4000</v>
      </c>
    </row>
    <row r="20" spans="1:10" x14ac:dyDescent="0.3">
      <c r="A20" s="4" t="s">
        <v>33</v>
      </c>
      <c r="B20" s="38">
        <v>0</v>
      </c>
      <c r="C20" s="38">
        <v>0</v>
      </c>
      <c r="D20" s="38">
        <v>0</v>
      </c>
      <c r="E20" s="38">
        <v>-741</v>
      </c>
      <c r="F20" s="38">
        <v>-547</v>
      </c>
      <c r="G20" s="38">
        <v>-154</v>
      </c>
      <c r="H20" s="9">
        <v>-100</v>
      </c>
      <c r="J20" s="17"/>
    </row>
    <row r="21" spans="1:10" x14ac:dyDescent="0.3">
      <c r="A21" s="4" t="s">
        <v>493</v>
      </c>
      <c r="B21" s="38">
        <v>-635</v>
      </c>
      <c r="C21" s="38">
        <f>-1500-935-3800-2859-81</f>
        <v>-9175</v>
      </c>
      <c r="D21" s="38">
        <f>-755-1100</f>
        <v>-1855</v>
      </c>
      <c r="E21" s="38">
        <v>-2424</v>
      </c>
      <c r="F21" s="38">
        <v>-4637.7700000000004</v>
      </c>
      <c r="G21" s="38">
        <v>-2261</v>
      </c>
      <c r="H21" s="9">
        <v>-3000</v>
      </c>
      <c r="J21" s="17"/>
    </row>
    <row r="22" spans="1:10" x14ac:dyDescent="0.3">
      <c r="A22" s="4" t="s">
        <v>35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9">
        <v>-5000</v>
      </c>
      <c r="J22" s="17"/>
    </row>
    <row r="23" spans="1:10" x14ac:dyDescent="0.3">
      <c r="A23" s="4" t="s">
        <v>36</v>
      </c>
      <c r="B23" s="38">
        <v>-5000</v>
      </c>
      <c r="C23" s="38">
        <v>-350</v>
      </c>
      <c r="D23" s="38">
        <v>0</v>
      </c>
      <c r="E23" s="38">
        <v>-3550</v>
      </c>
      <c r="F23" s="38">
        <v>-10190</v>
      </c>
      <c r="G23" s="38">
        <v>-27295</v>
      </c>
      <c r="H23" s="9">
        <v>-15000</v>
      </c>
      <c r="I23" s="56"/>
      <c r="J23" s="17"/>
    </row>
    <row r="24" spans="1:10" x14ac:dyDescent="0.3">
      <c r="A24" s="4" t="s">
        <v>37</v>
      </c>
      <c r="B24" s="38">
        <v>-7900</v>
      </c>
      <c r="C24" s="38">
        <v>0</v>
      </c>
      <c r="D24" s="38">
        <v>0</v>
      </c>
      <c r="E24" s="38">
        <v>-5850</v>
      </c>
      <c r="F24" s="38">
        <v>0</v>
      </c>
      <c r="G24" s="38">
        <v>0</v>
      </c>
      <c r="H24" s="9">
        <v>0</v>
      </c>
      <c r="J24" s="17"/>
    </row>
    <row r="25" spans="1:10" x14ac:dyDescent="0.3">
      <c r="A25" s="4" t="s">
        <v>38</v>
      </c>
      <c r="B25" s="38">
        <v>-4800</v>
      </c>
      <c r="C25" s="38">
        <v>-3398</v>
      </c>
      <c r="D25" s="38">
        <v>0</v>
      </c>
      <c r="E25" s="38">
        <v>-7138</v>
      </c>
      <c r="F25" s="38">
        <v>-3450</v>
      </c>
      <c r="G25" s="38">
        <v>-8100</v>
      </c>
      <c r="H25" s="9">
        <v>-10000</v>
      </c>
      <c r="J25" s="17"/>
    </row>
    <row r="26" spans="1:10" x14ac:dyDescent="0.3">
      <c r="A26" s="4" t="s">
        <v>39</v>
      </c>
      <c r="B26" s="38">
        <v>-18016</v>
      </c>
      <c r="C26" s="38">
        <v>-18105</v>
      </c>
      <c r="D26" s="38">
        <v>-14387</v>
      </c>
      <c r="E26" s="38">
        <v>-7915</v>
      </c>
      <c r="F26" s="38">
        <v>-13828</v>
      </c>
      <c r="G26" s="38">
        <v>-24118</v>
      </c>
      <c r="H26" s="9">
        <v>-25000</v>
      </c>
      <c r="J26" s="17"/>
    </row>
    <row r="27" spans="1:10" x14ac:dyDescent="0.3">
      <c r="A27" s="4" t="s">
        <v>40</v>
      </c>
      <c r="B27" s="38">
        <v>0</v>
      </c>
      <c r="C27" s="38">
        <v>-850</v>
      </c>
      <c r="D27" s="38">
        <v>-625</v>
      </c>
      <c r="E27" s="38">
        <v>-8200</v>
      </c>
      <c r="F27" s="38">
        <v>0</v>
      </c>
      <c r="G27" s="38">
        <v>0</v>
      </c>
      <c r="H27" s="9">
        <v>0</v>
      </c>
      <c r="J27" s="17"/>
    </row>
    <row r="28" spans="1:10" x14ac:dyDescent="0.3">
      <c r="A28" s="4" t="s">
        <v>41</v>
      </c>
      <c r="B28" s="38">
        <v>-11755</v>
      </c>
      <c r="C28" s="38">
        <v>-20024</v>
      </c>
      <c r="D28" s="38">
        <v>-13297</v>
      </c>
      <c r="E28" s="38">
        <v>-14853.42</v>
      </c>
      <c r="F28" s="38">
        <v>-18717</v>
      </c>
      <c r="G28" s="38">
        <v>-4027</v>
      </c>
      <c r="H28" s="9">
        <v>-8000</v>
      </c>
      <c r="J28" s="17"/>
    </row>
    <row r="29" spans="1:10" x14ac:dyDescent="0.3">
      <c r="A29" s="4" t="s">
        <v>154</v>
      </c>
      <c r="B29" s="38">
        <v>-19050</v>
      </c>
      <c r="C29" s="38">
        <f>-13250-1750</f>
        <v>-15000</v>
      </c>
      <c r="D29" s="38">
        <v>-19650</v>
      </c>
      <c r="E29" s="38">
        <v>-15750</v>
      </c>
      <c r="F29" s="38">
        <v>-21750</v>
      </c>
      <c r="G29" s="38">
        <v>-30300</v>
      </c>
      <c r="H29" s="9">
        <v>-20000</v>
      </c>
      <c r="I29" s="56"/>
      <c r="J29" s="17"/>
    </row>
    <row r="30" spans="1:10" x14ac:dyDescent="0.3">
      <c r="A30" s="4" t="s">
        <v>43</v>
      </c>
      <c r="B30" s="38">
        <v>-14470</v>
      </c>
      <c r="C30" s="38">
        <v>-10300</v>
      </c>
      <c r="D30" s="38">
        <v>-4860</v>
      </c>
      <c r="E30" s="38">
        <v>0</v>
      </c>
      <c r="F30" s="38">
        <v>-18405</v>
      </c>
      <c r="G30" s="38">
        <v>-10950</v>
      </c>
      <c r="H30" s="9">
        <v>-10000</v>
      </c>
      <c r="J30" s="17"/>
    </row>
    <row r="31" spans="1:10" x14ac:dyDescent="0.3">
      <c r="A31" s="4" t="s">
        <v>44</v>
      </c>
      <c r="B31" s="38">
        <v>-25000</v>
      </c>
      <c r="C31" s="38">
        <v>-15000</v>
      </c>
      <c r="D31" s="38">
        <v>-17500</v>
      </c>
      <c r="E31" s="38">
        <v>-30416</v>
      </c>
      <c r="F31" s="38">
        <v>-16000</v>
      </c>
      <c r="G31" s="38">
        <v>-34000</v>
      </c>
      <c r="H31" s="9">
        <v>-35000</v>
      </c>
      <c r="J31" s="17"/>
    </row>
    <row r="32" spans="1:10" x14ac:dyDescent="0.3">
      <c r="A32" s="4" t="s">
        <v>45</v>
      </c>
      <c r="B32" s="38">
        <v>-32646</v>
      </c>
      <c r="C32" s="38">
        <v>-42437</v>
      </c>
      <c r="D32" s="38">
        <v>-26923</v>
      </c>
      <c r="E32" s="38">
        <v>-32572</v>
      </c>
      <c r="F32" s="38">
        <v>-50743</v>
      </c>
      <c r="G32" s="38">
        <v>-52811</v>
      </c>
      <c r="H32" s="9">
        <v>-60000</v>
      </c>
      <c r="J32" s="17"/>
    </row>
    <row r="33" spans="1:10" x14ac:dyDescent="0.3">
      <c r="A33" s="4" t="s">
        <v>46</v>
      </c>
      <c r="B33" s="38">
        <f>-60296-7500</f>
        <v>-67796</v>
      </c>
      <c r="C33" s="38">
        <f>-18276-5135</f>
        <v>-23411</v>
      </c>
      <c r="D33" s="38">
        <v>-39936</v>
      </c>
      <c r="E33" s="38">
        <v>-107761</v>
      </c>
      <c r="F33" s="38">
        <v>-154875</v>
      </c>
      <c r="G33" s="38">
        <v>-138715</v>
      </c>
      <c r="H33" s="9">
        <v>-45000</v>
      </c>
      <c r="I33" s="56"/>
      <c r="J33" s="17"/>
    </row>
    <row r="34" spans="1:10" x14ac:dyDescent="0.3">
      <c r="A34" s="4" t="s">
        <v>491</v>
      </c>
      <c r="B34" s="38">
        <v>0</v>
      </c>
      <c r="C34" s="38">
        <f>-75994-6425</f>
        <v>-82419</v>
      </c>
      <c r="D34" s="38">
        <f>-29362-12800</f>
        <v>-42162</v>
      </c>
      <c r="E34" s="38">
        <v>0</v>
      </c>
      <c r="F34" s="38">
        <v>0</v>
      </c>
      <c r="G34" s="38">
        <v>-102305</v>
      </c>
      <c r="H34" s="9">
        <v>-80000</v>
      </c>
      <c r="J34" s="17"/>
    </row>
    <row r="35" spans="1:10" x14ac:dyDescent="0.3">
      <c r="A35" s="4" t="s">
        <v>488</v>
      </c>
      <c r="G35" s="128">
        <v>-14329</v>
      </c>
      <c r="H35" s="9">
        <v>0</v>
      </c>
      <c r="I35" s="56"/>
    </row>
    <row r="36" spans="1:10" x14ac:dyDescent="0.3">
      <c r="A36" s="7" t="s">
        <v>47</v>
      </c>
      <c r="B36" s="39">
        <f>SUM(B18:B34)</f>
        <v>-218877</v>
      </c>
      <c r="C36" s="39">
        <f>SUM(C18:C34)</f>
        <v>-258934</v>
      </c>
      <c r="D36" s="39">
        <f>SUM(D18:D34)</f>
        <v>-187844</v>
      </c>
      <c r="E36" s="39">
        <f>SUM(E18:E34)</f>
        <v>-247088.41999999998</v>
      </c>
      <c r="F36" s="39">
        <f>SUM(F18:F34)</f>
        <v>-325572.77</v>
      </c>
      <c r="G36" s="39">
        <f>SUM(G19:G35)</f>
        <v>-457445</v>
      </c>
      <c r="H36" s="11">
        <f>SUM(H18:H35)</f>
        <v>-320100</v>
      </c>
      <c r="J36" s="17"/>
    </row>
    <row r="37" spans="1:10" x14ac:dyDescent="0.3">
      <c r="A37" s="7"/>
      <c r="B37" s="41"/>
      <c r="C37" s="41"/>
      <c r="D37" s="41"/>
      <c r="E37" s="39"/>
      <c r="F37" s="39"/>
      <c r="G37" s="129"/>
      <c r="H37" s="11"/>
      <c r="J37" s="17"/>
    </row>
    <row r="38" spans="1:10" s="13" customFormat="1" x14ac:dyDescent="0.3">
      <c r="A38" s="7" t="s">
        <v>48</v>
      </c>
      <c r="B38" s="39">
        <f t="shared" ref="B38:G38" si="1">+B36+B15</f>
        <v>-27148</v>
      </c>
      <c r="C38" s="39">
        <f t="shared" si="1"/>
        <v>86552</v>
      </c>
      <c r="D38" s="39">
        <f t="shared" si="1"/>
        <v>32263</v>
      </c>
      <c r="E38" s="39">
        <f t="shared" si="1"/>
        <v>-7480.1300000000047</v>
      </c>
      <c r="F38" s="39">
        <f t="shared" si="1"/>
        <v>-25959.489999999991</v>
      </c>
      <c r="G38" s="39">
        <f t="shared" si="1"/>
        <v>-167525</v>
      </c>
      <c r="H38" s="11">
        <f>H15+H36</f>
        <v>12400</v>
      </c>
      <c r="J38" s="17"/>
    </row>
    <row r="39" spans="1:10" s="13" customFormat="1" x14ac:dyDescent="0.3">
      <c r="A39" s="7"/>
      <c r="B39" s="41"/>
      <c r="C39" s="41"/>
      <c r="D39" s="41"/>
      <c r="E39" s="39"/>
      <c r="F39" s="39"/>
      <c r="G39" s="39"/>
      <c r="H39" s="11"/>
    </row>
    <row r="40" spans="1:10" s="13" customFormat="1" x14ac:dyDescent="0.3">
      <c r="A40" s="7" t="s">
        <v>49</v>
      </c>
      <c r="B40" s="39">
        <v>-10000</v>
      </c>
      <c r="C40" s="39">
        <v>-10000</v>
      </c>
      <c r="D40" s="39">
        <v>-10000</v>
      </c>
      <c r="E40" s="39">
        <v>-10000</v>
      </c>
      <c r="F40" s="39">
        <v>-10000</v>
      </c>
      <c r="G40" s="39">
        <v>-14449</v>
      </c>
      <c r="H40" s="11">
        <v>0</v>
      </c>
    </row>
    <row r="41" spans="1:10" s="13" customFormat="1" ht="16.2" thickBot="1" x14ac:dyDescent="0.35">
      <c r="A41" s="7"/>
      <c r="B41" s="41"/>
      <c r="C41" s="41"/>
      <c r="D41" s="41"/>
      <c r="E41" s="39"/>
      <c r="F41" s="39"/>
      <c r="G41" s="39"/>
      <c r="H41" s="11"/>
    </row>
    <row r="42" spans="1:10" s="13" customFormat="1" ht="16.2" thickBot="1" x14ac:dyDescent="0.35">
      <c r="A42" s="7" t="s">
        <v>88</v>
      </c>
      <c r="B42" s="39">
        <f t="shared" ref="B42:H42" si="2">+B40+B38</f>
        <v>-37148</v>
      </c>
      <c r="C42" s="39">
        <f t="shared" si="2"/>
        <v>76552</v>
      </c>
      <c r="D42" s="39">
        <f t="shared" si="2"/>
        <v>22263</v>
      </c>
      <c r="E42" s="39">
        <f t="shared" si="2"/>
        <v>-17480.130000000005</v>
      </c>
      <c r="F42" s="39">
        <f>+F40+F38</f>
        <v>-35959.489999999991</v>
      </c>
      <c r="G42" s="39">
        <f>+G40+G38</f>
        <v>-181974</v>
      </c>
      <c r="H42" s="33">
        <f t="shared" si="2"/>
        <v>12400</v>
      </c>
    </row>
    <row r="43" spans="1:10" s="13" customFormat="1" x14ac:dyDescent="0.3">
      <c r="A43" s="4"/>
      <c r="B43" s="4"/>
      <c r="C43" s="4"/>
      <c r="D43" s="4"/>
      <c r="E43" s="4"/>
      <c r="F43" s="4"/>
      <c r="G43" s="4"/>
      <c r="H43" s="4"/>
    </row>
  </sheetData>
  <pageMargins left="0.25" right="0.25" top="0.75" bottom="0.75" header="0.3" footer="0.3"/>
  <pageSetup paperSize="9" scale="69" orientation="landscape" r:id="rId1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fitToPage="1"/>
  </sheetPr>
  <dimension ref="A1:L54"/>
  <sheetViews>
    <sheetView workbookViewId="0">
      <selection activeCell="G6" sqref="G6"/>
    </sheetView>
  </sheetViews>
  <sheetFormatPr defaultColWidth="9.109375" defaultRowHeight="15.6" x14ac:dyDescent="0.3"/>
  <cols>
    <col min="1" max="1" width="30.6640625" style="4" bestFit="1" customWidth="1"/>
    <col min="2" max="6" width="14.33203125" style="4" customWidth="1"/>
    <col min="7" max="8" width="16.44140625" style="1" customWidth="1"/>
    <col min="9" max="9" width="18.5546875" style="1" bestFit="1" customWidth="1"/>
    <col min="10" max="10" width="14.88671875" style="4" customWidth="1"/>
    <col min="11" max="11" width="12.44140625" style="1" bestFit="1" customWidth="1"/>
    <col min="12" max="16384" width="9.109375" style="1"/>
  </cols>
  <sheetData>
    <row r="1" spans="1:11" ht="31.8" thickBot="1" x14ac:dyDescent="0.65">
      <c r="A1" s="64" t="s">
        <v>486</v>
      </c>
      <c r="B1" s="61" t="s">
        <v>487</v>
      </c>
      <c r="C1" s="62"/>
      <c r="D1" s="63"/>
      <c r="E1" s="1"/>
    </row>
    <row r="2" spans="1:11" ht="16.2" thickBot="1" x14ac:dyDescent="0.35"/>
    <row r="3" spans="1:11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43" t="s">
        <v>485</v>
      </c>
      <c r="H3" s="114" t="s">
        <v>898</v>
      </c>
      <c r="I3" s="57" t="s">
        <v>899</v>
      </c>
      <c r="J3" s="44" t="s">
        <v>16</v>
      </c>
    </row>
    <row r="4" spans="1:11" s="35" customFormat="1" ht="16.2" thickBot="1" x14ac:dyDescent="0.35">
      <c r="A4" s="34"/>
      <c r="B4" s="34"/>
      <c r="C4" s="34"/>
      <c r="D4" s="34"/>
      <c r="E4" s="34"/>
      <c r="F4" s="34"/>
      <c r="G4" s="110">
        <v>41639</v>
      </c>
      <c r="H4" s="42">
        <v>41639</v>
      </c>
      <c r="I4" s="110">
        <v>41639</v>
      </c>
      <c r="J4" s="36"/>
    </row>
    <row r="5" spans="1:11" ht="16.2" thickBot="1" x14ac:dyDescent="0.35">
      <c r="A5" s="32" t="s">
        <v>19</v>
      </c>
      <c r="B5" s="10"/>
      <c r="C5" s="7"/>
      <c r="D5" s="7"/>
      <c r="G5" s="111"/>
      <c r="I5" s="111"/>
      <c r="J5" s="8"/>
    </row>
    <row r="6" spans="1:11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9">
        <f>13512+32240+50000</f>
        <v>95752</v>
      </c>
      <c r="H6" s="10">
        <v>0</v>
      </c>
      <c r="I6" s="115">
        <f>G6+H6</f>
        <v>95752</v>
      </c>
      <c r="J6" s="9">
        <v>100000</v>
      </c>
      <c r="K6" s="56" t="s">
        <v>900</v>
      </c>
    </row>
    <row r="7" spans="1:11" x14ac:dyDescent="0.3">
      <c r="A7" s="4" t="s">
        <v>492</v>
      </c>
      <c r="B7" s="38">
        <v>500</v>
      </c>
      <c r="C7" s="38">
        <v>85850</v>
      </c>
      <c r="D7" s="38">
        <v>62250</v>
      </c>
      <c r="E7" s="38">
        <v>66900</v>
      </c>
      <c r="F7" s="38">
        <v>91100</v>
      </c>
      <c r="G7" s="9">
        <f>86000-1100-1100-650+550</f>
        <v>83700</v>
      </c>
      <c r="H7" s="10">
        <v>0</v>
      </c>
      <c r="I7" s="115">
        <f t="shared" ref="I7:I14" si="0">G7+H7</f>
        <v>83700</v>
      </c>
      <c r="J7" s="9">
        <v>90000</v>
      </c>
    </row>
    <row r="8" spans="1:11" x14ac:dyDescent="0.3">
      <c r="A8" s="4" t="s">
        <v>22</v>
      </c>
      <c r="B8" s="38">
        <v>46200</v>
      </c>
      <c r="C8" s="38">
        <v>38350</v>
      </c>
      <c r="D8" s="38">
        <v>45250</v>
      </c>
      <c r="E8" s="38">
        <v>41550</v>
      </c>
      <c r="F8" s="38">
        <v>70983</v>
      </c>
      <c r="G8" s="9">
        <f>900+5200+600+900+3200+300+6000+900+3300+4500+3900+1500+1200+5400+600+800+4200+200+200+600+300+10600</f>
        <v>55300</v>
      </c>
      <c r="H8" s="10">
        <v>12000</v>
      </c>
      <c r="I8" s="115">
        <f t="shared" si="0"/>
        <v>67300</v>
      </c>
      <c r="J8" s="9">
        <v>67000</v>
      </c>
      <c r="K8" s="55"/>
    </row>
    <row r="9" spans="1:11" x14ac:dyDescent="0.3">
      <c r="A9" s="4" t="s">
        <v>23</v>
      </c>
      <c r="B9" s="38">
        <v>34790</v>
      </c>
      <c r="C9" s="38">
        <f>54700+14100</f>
        <v>68800</v>
      </c>
      <c r="D9" s="38">
        <v>26025</v>
      </c>
      <c r="E9" s="38">
        <v>20105</v>
      </c>
      <c r="F9" s="38">
        <v>28901</v>
      </c>
      <c r="G9" s="9">
        <f>10330+3042+5030+6050+2194-600</f>
        <v>26046</v>
      </c>
      <c r="H9" s="10">
        <v>500</v>
      </c>
      <c r="I9" s="115">
        <f t="shared" si="0"/>
        <v>26546</v>
      </c>
      <c r="J9" s="9">
        <v>30000</v>
      </c>
    </row>
    <row r="10" spans="1:11" x14ac:dyDescent="0.3">
      <c r="A10" s="4" t="s">
        <v>24</v>
      </c>
      <c r="B10" s="38">
        <v>5000</v>
      </c>
      <c r="C10" s="38">
        <v>10000</v>
      </c>
      <c r="D10" s="38">
        <v>0</v>
      </c>
      <c r="E10" s="38">
        <v>14600</v>
      </c>
      <c r="F10" s="38">
        <v>3840</v>
      </c>
      <c r="G10" s="9">
        <f>3000+5000+3500-11500</f>
        <v>0</v>
      </c>
      <c r="H10" s="10">
        <v>11500</v>
      </c>
      <c r="I10" s="115">
        <f t="shared" si="0"/>
        <v>11500</v>
      </c>
      <c r="J10" s="9">
        <v>30000</v>
      </c>
    </row>
    <row r="11" spans="1:11" x14ac:dyDescent="0.3">
      <c r="A11" s="4" t="s">
        <v>489</v>
      </c>
      <c r="B11" s="38">
        <v>7200</v>
      </c>
      <c r="C11" s="38">
        <v>6866</v>
      </c>
      <c r="D11" s="38">
        <v>2515</v>
      </c>
      <c r="E11" s="38">
        <v>6728</v>
      </c>
      <c r="F11" s="38">
        <v>0</v>
      </c>
      <c r="G11" s="9">
        <f>3278-300</f>
        <v>2978</v>
      </c>
      <c r="H11" s="10">
        <v>0</v>
      </c>
      <c r="I11" s="115">
        <f t="shared" si="0"/>
        <v>2978</v>
      </c>
      <c r="J11" s="9">
        <v>0</v>
      </c>
    </row>
    <row r="12" spans="1:11" x14ac:dyDescent="0.3">
      <c r="A12" s="4" t="s">
        <v>26</v>
      </c>
      <c r="B12" s="38">
        <v>0</v>
      </c>
      <c r="C12" s="38">
        <v>0</v>
      </c>
      <c r="D12" s="38">
        <v>0</v>
      </c>
      <c r="E12" s="38">
        <v>5600</v>
      </c>
      <c r="F12" s="38">
        <v>4050</v>
      </c>
      <c r="G12" s="9">
        <v>0</v>
      </c>
      <c r="H12" s="10">
        <v>0</v>
      </c>
      <c r="I12" s="115">
        <f t="shared" si="0"/>
        <v>0</v>
      </c>
      <c r="J12" s="9">
        <v>6000</v>
      </c>
    </row>
    <row r="13" spans="1:1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9">
        <v>514</v>
      </c>
      <c r="H13" s="10">
        <v>0</v>
      </c>
      <c r="I13" s="115">
        <f t="shared" si="0"/>
        <v>514</v>
      </c>
      <c r="J13" s="9">
        <v>2000</v>
      </c>
    </row>
    <row r="14" spans="1:1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v>4135</v>
      </c>
      <c r="F14" s="38">
        <v>1987</v>
      </c>
      <c r="G14" s="9">
        <v>0</v>
      </c>
      <c r="H14" s="10">
        <v>1630</v>
      </c>
      <c r="I14" s="115">
        <f t="shared" si="0"/>
        <v>1630</v>
      </c>
      <c r="J14" s="9">
        <v>20000</v>
      </c>
    </row>
    <row r="15" spans="1:11" x14ac:dyDescent="0.3">
      <c r="A15" s="7" t="s">
        <v>29</v>
      </c>
      <c r="B15" s="39">
        <f t="shared" ref="B15:I15" si="1">SUM(B6:B14)</f>
        <v>191729</v>
      </c>
      <c r="C15" s="39">
        <f t="shared" si="1"/>
        <v>345486</v>
      </c>
      <c r="D15" s="39">
        <f t="shared" si="1"/>
        <v>220107</v>
      </c>
      <c r="E15" s="39">
        <f t="shared" si="1"/>
        <v>239608.28999999998</v>
      </c>
      <c r="F15" s="39">
        <f t="shared" si="1"/>
        <v>299613.28000000003</v>
      </c>
      <c r="G15" s="11">
        <f t="shared" si="1"/>
        <v>264290</v>
      </c>
      <c r="H15" s="12">
        <f t="shared" si="1"/>
        <v>25630</v>
      </c>
      <c r="I15" s="116">
        <f t="shared" si="1"/>
        <v>289920</v>
      </c>
      <c r="J15" s="11">
        <v>345000</v>
      </c>
    </row>
    <row r="16" spans="1:11" ht="16.2" thickBot="1" x14ac:dyDescent="0.35">
      <c r="B16" s="38"/>
      <c r="C16" s="40"/>
      <c r="D16" s="40"/>
      <c r="E16" s="38"/>
      <c r="F16" s="40"/>
      <c r="G16" s="111"/>
      <c r="I16" s="117"/>
      <c r="J16" s="9"/>
    </row>
    <row r="17" spans="1:12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112"/>
      <c r="I17" s="118"/>
      <c r="J17" s="9"/>
    </row>
    <row r="18" spans="1:12" x14ac:dyDescent="0.3">
      <c r="A18" s="4" t="s">
        <v>56</v>
      </c>
      <c r="B18" s="38">
        <v>-4459</v>
      </c>
      <c r="C18" s="38">
        <v>-12173</v>
      </c>
      <c r="D18" s="38">
        <v>0</v>
      </c>
      <c r="E18" s="38">
        <v>-180</v>
      </c>
      <c r="F18" s="38">
        <v>-1887</v>
      </c>
      <c r="G18" s="9">
        <v>0</v>
      </c>
      <c r="H18" s="10">
        <v>0</v>
      </c>
      <c r="I18" s="115">
        <f t="shared" ref="I18:I35" si="2">G18+H18</f>
        <v>0</v>
      </c>
      <c r="J18" s="8">
        <v>0</v>
      </c>
    </row>
    <row r="19" spans="1:12" x14ac:dyDescent="0.3">
      <c r="A19" s="4" t="s">
        <v>32</v>
      </c>
      <c r="B19" s="38">
        <f>-2650-3100-1600</f>
        <v>-7350</v>
      </c>
      <c r="C19" s="38">
        <f>-250-2500-1842</f>
        <v>-4592</v>
      </c>
      <c r="D19" s="38">
        <f>-250-4500-1899</f>
        <v>-6649</v>
      </c>
      <c r="E19" s="38">
        <v>-6338</v>
      </c>
      <c r="F19" s="38">
        <v>-6643</v>
      </c>
      <c r="G19" s="9">
        <f>-250-780-2500</f>
        <v>-3530</v>
      </c>
      <c r="H19" s="10">
        <v>0</v>
      </c>
      <c r="I19" s="115">
        <f t="shared" si="2"/>
        <v>-3530</v>
      </c>
      <c r="J19" s="9">
        <v>-6700</v>
      </c>
    </row>
    <row r="20" spans="1:12" x14ac:dyDescent="0.3">
      <c r="A20" s="4" t="s">
        <v>33</v>
      </c>
      <c r="B20" s="38">
        <v>0</v>
      </c>
      <c r="C20" s="38">
        <v>0</v>
      </c>
      <c r="D20" s="38">
        <v>0</v>
      </c>
      <c r="E20" s="38">
        <v>-741</v>
      </c>
      <c r="F20" s="38">
        <v>-547</v>
      </c>
      <c r="G20" s="9">
        <v>-154</v>
      </c>
      <c r="H20" s="10">
        <v>0</v>
      </c>
      <c r="I20" s="115">
        <f t="shared" si="2"/>
        <v>-154</v>
      </c>
      <c r="J20" s="9">
        <v>-600</v>
      </c>
      <c r="L20" s="17"/>
    </row>
    <row r="21" spans="1:12" x14ac:dyDescent="0.3">
      <c r="A21" s="4" t="s">
        <v>493</v>
      </c>
      <c r="B21" s="38">
        <v>-635</v>
      </c>
      <c r="C21" s="38">
        <f>-1500-935-3800-2859-81</f>
        <v>-9175</v>
      </c>
      <c r="D21" s="38">
        <f>-755-1100</f>
        <v>-1855</v>
      </c>
      <c r="E21" s="38">
        <v>-2424</v>
      </c>
      <c r="F21" s="38">
        <v>-4637.7700000000004</v>
      </c>
      <c r="G21" s="9">
        <f>-601-1060-600</f>
        <v>-2261</v>
      </c>
      <c r="H21" s="10">
        <v>0</v>
      </c>
      <c r="I21" s="115">
        <f t="shared" si="2"/>
        <v>-2261</v>
      </c>
      <c r="J21" s="9">
        <v>0</v>
      </c>
      <c r="L21" s="17"/>
    </row>
    <row r="22" spans="1:12" x14ac:dyDescent="0.3">
      <c r="A22" s="4" t="s">
        <v>35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9">
        <f>-1250-900-2000-400</f>
        <v>-4550</v>
      </c>
      <c r="H22" s="10">
        <v>0</v>
      </c>
      <c r="I22" s="115">
        <f t="shared" si="2"/>
        <v>-4550</v>
      </c>
      <c r="J22" s="9">
        <v>-4000</v>
      </c>
      <c r="L22" s="17"/>
    </row>
    <row r="23" spans="1:12" x14ac:dyDescent="0.3">
      <c r="A23" s="4" t="s">
        <v>36</v>
      </c>
      <c r="B23" s="38">
        <v>-5000</v>
      </c>
      <c r="C23" s="38">
        <v>-350</v>
      </c>
      <c r="D23" s="38">
        <v>0</v>
      </c>
      <c r="E23" s="38">
        <v>-3550</v>
      </c>
      <c r="F23" s="38">
        <v>-10190</v>
      </c>
      <c r="G23" s="9">
        <f>-1000-500-13650-1800-8325-1920-900-1000-650+325-800+6825-1500-2400+1500</f>
        <v>-25795</v>
      </c>
      <c r="H23" s="10">
        <v>-1500</v>
      </c>
      <c r="I23" s="115">
        <f t="shared" si="2"/>
        <v>-27295</v>
      </c>
      <c r="J23" s="9">
        <v>-8000</v>
      </c>
      <c r="K23" s="56"/>
      <c r="L23" s="17"/>
    </row>
    <row r="24" spans="1:12" x14ac:dyDescent="0.3">
      <c r="A24" s="4" t="s">
        <v>37</v>
      </c>
      <c r="B24" s="38">
        <v>-7900</v>
      </c>
      <c r="C24" s="38">
        <v>0</v>
      </c>
      <c r="D24" s="38">
        <v>0</v>
      </c>
      <c r="E24" s="38">
        <v>-5850</v>
      </c>
      <c r="F24" s="38">
        <v>0</v>
      </c>
      <c r="G24" s="9">
        <v>0</v>
      </c>
      <c r="H24" s="10">
        <v>0</v>
      </c>
      <c r="I24" s="115">
        <f t="shared" si="2"/>
        <v>0</v>
      </c>
      <c r="J24" s="9">
        <v>-4000</v>
      </c>
      <c r="L24" s="17"/>
    </row>
    <row r="25" spans="1:12" x14ac:dyDescent="0.3">
      <c r="A25" s="4" t="s">
        <v>38</v>
      </c>
      <c r="B25" s="38">
        <v>-4800</v>
      </c>
      <c r="C25" s="38">
        <v>-3398</v>
      </c>
      <c r="D25" s="38">
        <v>0</v>
      </c>
      <c r="E25" s="38">
        <v>-7138</v>
      </c>
      <c r="F25" s="38">
        <v>-3450</v>
      </c>
      <c r="G25" s="9">
        <f>-15800+15800-6000-2100</f>
        <v>-8100</v>
      </c>
      <c r="H25" s="10">
        <v>0</v>
      </c>
      <c r="I25" s="115">
        <f t="shared" si="2"/>
        <v>-8100</v>
      </c>
      <c r="J25" s="9">
        <v>-7000</v>
      </c>
      <c r="L25" s="17"/>
    </row>
    <row r="26" spans="1:12" x14ac:dyDescent="0.3">
      <c r="A26" s="4" t="s">
        <v>39</v>
      </c>
      <c r="B26" s="38">
        <v>-18016</v>
      </c>
      <c r="C26" s="38">
        <v>-18105</v>
      </c>
      <c r="D26" s="38">
        <v>-14387</v>
      </c>
      <c r="E26" s="38">
        <v>-7915</v>
      </c>
      <c r="F26" s="38">
        <v>-13828</v>
      </c>
      <c r="G26" s="9">
        <f>-355-290-425-290-225-343-290-230-295-639-278-290-290-355-290-355-445-380-295-290-290-2453-580-130-355-290-290-390-900</f>
        <v>-12328</v>
      </c>
      <c r="H26" s="10">
        <v>-11790</v>
      </c>
      <c r="I26" s="115">
        <f t="shared" si="2"/>
        <v>-24118</v>
      </c>
      <c r="J26" s="9">
        <v>-13000</v>
      </c>
      <c r="L26" s="17"/>
    </row>
    <row r="27" spans="1:12" x14ac:dyDescent="0.3">
      <c r="A27" s="4" t="s">
        <v>40</v>
      </c>
      <c r="B27" s="38">
        <v>0</v>
      </c>
      <c r="C27" s="38">
        <v>-850</v>
      </c>
      <c r="D27" s="38">
        <v>-625</v>
      </c>
      <c r="E27" s="38">
        <v>-8200</v>
      </c>
      <c r="F27" s="38">
        <v>0</v>
      </c>
      <c r="G27" s="9">
        <v>0</v>
      </c>
      <c r="H27" s="10">
        <v>0</v>
      </c>
      <c r="I27" s="115">
        <f t="shared" si="2"/>
        <v>0</v>
      </c>
      <c r="J27" s="9">
        <v>-6000</v>
      </c>
      <c r="L27" s="17"/>
    </row>
    <row r="28" spans="1:12" x14ac:dyDescent="0.3">
      <c r="A28" s="4" t="s">
        <v>41</v>
      </c>
      <c r="B28" s="38">
        <v>-11755</v>
      </c>
      <c r="C28" s="38">
        <v>-20024</v>
      </c>
      <c r="D28" s="38">
        <v>-13297</v>
      </c>
      <c r="E28" s="38">
        <v>-14853.42</v>
      </c>
      <c r="F28" s="38">
        <v>-18717</v>
      </c>
      <c r="G28" s="9">
        <f>-1037-1239-1751</f>
        <v>-4027</v>
      </c>
      <c r="H28" s="10">
        <v>0</v>
      </c>
      <c r="I28" s="115">
        <f t="shared" si="2"/>
        <v>-4027</v>
      </c>
      <c r="J28" s="9">
        <v>-20000</v>
      </c>
      <c r="L28" s="17"/>
    </row>
    <row r="29" spans="1:12" x14ac:dyDescent="0.3">
      <c r="A29" s="4" t="s">
        <v>154</v>
      </c>
      <c r="B29" s="38">
        <v>-19050</v>
      </c>
      <c r="C29" s="38">
        <f>-13250-1750</f>
        <v>-15000</v>
      </c>
      <c r="D29" s="38">
        <v>-19650</v>
      </c>
      <c r="E29" s="38">
        <v>-15750</v>
      </c>
      <c r="F29" s="38">
        <v>-21750</v>
      </c>
      <c r="G29" s="9">
        <f>-4750-8700-5000-980-70-2000-350-2000-5000-1450+10380</f>
        <v>-19920</v>
      </c>
      <c r="H29" s="10">
        <v>-10380</v>
      </c>
      <c r="I29" s="115">
        <f t="shared" si="2"/>
        <v>-30300</v>
      </c>
      <c r="J29" s="9">
        <v>-17000</v>
      </c>
      <c r="K29" s="56" t="s">
        <v>866</v>
      </c>
      <c r="L29" s="17"/>
    </row>
    <row r="30" spans="1:12" x14ac:dyDescent="0.3">
      <c r="A30" s="4" t="s">
        <v>43</v>
      </c>
      <c r="B30" s="38">
        <v>-14470</v>
      </c>
      <c r="C30" s="38">
        <v>-10300</v>
      </c>
      <c r="D30" s="38">
        <v>-4860</v>
      </c>
      <c r="E30" s="38">
        <v>0</v>
      </c>
      <c r="F30" s="38">
        <v>-18405</v>
      </c>
      <c r="G30" s="9">
        <f>-1020-8200-1230</f>
        <v>-10450</v>
      </c>
      <c r="H30" s="10">
        <v>-500</v>
      </c>
      <c r="I30" s="115">
        <f t="shared" si="2"/>
        <v>-10950</v>
      </c>
      <c r="J30" s="9">
        <v>-10000</v>
      </c>
      <c r="L30" s="17"/>
    </row>
    <row r="31" spans="1:12" x14ac:dyDescent="0.3">
      <c r="A31" s="4" t="s">
        <v>44</v>
      </c>
      <c r="B31" s="38">
        <v>-25000</v>
      </c>
      <c r="C31" s="38">
        <v>-15000</v>
      </c>
      <c r="D31" s="38">
        <v>-17500</v>
      </c>
      <c r="E31" s="38">
        <v>-30416</v>
      </c>
      <c r="F31" s="38">
        <v>-16000</v>
      </c>
      <c r="G31" s="9"/>
      <c r="H31" s="10">
        <v>-34000</v>
      </c>
      <c r="I31" s="115">
        <f t="shared" si="2"/>
        <v>-34000</v>
      </c>
      <c r="J31" s="9">
        <v>-50000</v>
      </c>
      <c r="L31" s="17"/>
    </row>
    <row r="32" spans="1:12" x14ac:dyDescent="0.3">
      <c r="A32" s="4" t="s">
        <v>45</v>
      </c>
      <c r="B32" s="38">
        <v>-32646</v>
      </c>
      <c r="C32" s="38">
        <v>-42437</v>
      </c>
      <c r="D32" s="38">
        <v>-26923</v>
      </c>
      <c r="E32" s="38">
        <v>-32572</v>
      </c>
      <c r="F32" s="38">
        <v>-50743</v>
      </c>
      <c r="G32" s="9">
        <f>-16965-35846+4145+2585</f>
        <v>-46081</v>
      </c>
      <c r="H32" s="10">
        <f>-4145-2585</f>
        <v>-6730</v>
      </c>
      <c r="I32" s="115">
        <f t="shared" si="2"/>
        <v>-52811</v>
      </c>
      <c r="J32" s="9">
        <v>-50000</v>
      </c>
      <c r="L32" s="17"/>
    </row>
    <row r="33" spans="1:12" x14ac:dyDescent="0.3">
      <c r="A33" s="4" t="s">
        <v>46</v>
      </c>
      <c r="B33" s="38">
        <f>-60296-7500</f>
        <v>-67796</v>
      </c>
      <c r="C33" s="38">
        <f>-18276-5135</f>
        <v>-23411</v>
      </c>
      <c r="D33" s="38">
        <v>-39936</v>
      </c>
      <c r="E33" s="38">
        <v>-107761</v>
      </c>
      <c r="F33" s="38">
        <v>-154875</v>
      </c>
      <c r="G33" s="9">
        <f>-1576-8818-6683-554-8056-6694-549-39-549-3888-3458-1161-92-549-401-496-550-610-550-32872-380-2800-152-1599-392-330-7260-144-76+7869-896-628-410-472-549-549-538-11010-302-7869-4080-699-549-3080-270-3026-352-125-11739-417-174-483-1498-275-2540-519-311-228-1320-69-329+26305+10000</f>
        <v>-102410</v>
      </c>
      <c r="H33" s="10">
        <f>-26305-10000</f>
        <v>-36305</v>
      </c>
      <c r="I33" s="115">
        <f t="shared" si="2"/>
        <v>-138715</v>
      </c>
      <c r="J33" s="9">
        <v>-150000</v>
      </c>
      <c r="K33" s="56" t="s">
        <v>859</v>
      </c>
      <c r="L33" s="17"/>
    </row>
    <row r="34" spans="1:12" x14ac:dyDescent="0.3">
      <c r="A34" s="4" t="s">
        <v>491</v>
      </c>
      <c r="B34" s="38">
        <v>0</v>
      </c>
      <c r="C34" s="38">
        <f>-75994-6425</f>
        <v>-82419</v>
      </c>
      <c r="D34" s="38">
        <f>-29362-12800</f>
        <v>-42162</v>
      </c>
      <c r="E34" s="38">
        <v>0</v>
      </c>
      <c r="F34" s="38">
        <v>0</v>
      </c>
      <c r="G34" s="9">
        <f>-20600-1435-33500-42551-1800-800-800-819</f>
        <v>-102305</v>
      </c>
      <c r="H34" s="10">
        <v>0</v>
      </c>
      <c r="I34" s="115">
        <f t="shared" si="2"/>
        <v>-102305</v>
      </c>
      <c r="J34" s="9">
        <v>0</v>
      </c>
      <c r="L34" s="17"/>
    </row>
    <row r="35" spans="1:12" x14ac:dyDescent="0.3">
      <c r="A35" s="4" t="s">
        <v>488</v>
      </c>
      <c r="G35" s="9">
        <f>-37498-37506+2100+2100+6300+4200+1350+2100+2100+650+3900+4200+3500+400+700+850+125+150+750+600+12300</f>
        <v>-26629</v>
      </c>
      <c r="H35" s="10">
        <f>24600-12300</f>
        <v>12300</v>
      </c>
      <c r="I35" s="115">
        <f t="shared" si="2"/>
        <v>-14329</v>
      </c>
      <c r="J35" s="9">
        <v>0</v>
      </c>
      <c r="K35" s="56"/>
    </row>
    <row r="36" spans="1:12" x14ac:dyDescent="0.3">
      <c r="A36" s="7" t="s">
        <v>47</v>
      </c>
      <c r="B36" s="39">
        <f>SUM(B18:B34)</f>
        <v>-218877</v>
      </c>
      <c r="C36" s="39">
        <f>SUM(C18:C34)</f>
        <v>-258934</v>
      </c>
      <c r="D36" s="39">
        <f>SUM(D18:D34)</f>
        <v>-187844</v>
      </c>
      <c r="E36" s="39">
        <f>SUM(E18:E34)</f>
        <v>-247088.41999999998</v>
      </c>
      <c r="F36" s="39">
        <f>SUM(F18:F34)</f>
        <v>-325572.77</v>
      </c>
      <c r="G36" s="11">
        <f>SUM(G18:G35)</f>
        <v>-368540</v>
      </c>
      <c r="H36" s="12">
        <f>SUM(H18:H35)</f>
        <v>-88905</v>
      </c>
      <c r="I36" s="116">
        <f>SUM(I18:I35)</f>
        <v>-457445</v>
      </c>
      <c r="J36" s="11">
        <f>SUM(J18:J35)</f>
        <v>-346300</v>
      </c>
      <c r="L36" s="17"/>
    </row>
    <row r="37" spans="1:12" x14ac:dyDescent="0.3">
      <c r="A37" s="7"/>
      <c r="B37" s="41"/>
      <c r="C37" s="41"/>
      <c r="D37" s="41"/>
      <c r="E37" s="39"/>
      <c r="F37" s="39"/>
      <c r="G37" s="113"/>
      <c r="H37" s="46"/>
      <c r="I37" s="117"/>
      <c r="J37" s="11"/>
      <c r="L37" s="17"/>
    </row>
    <row r="38" spans="1:12" s="13" customFormat="1" x14ac:dyDescent="0.3">
      <c r="A38" s="7" t="s">
        <v>48</v>
      </c>
      <c r="B38" s="39">
        <f t="shared" ref="B38:I38" si="3">+B36+B15</f>
        <v>-27148</v>
      </c>
      <c r="C38" s="39">
        <f t="shared" si="3"/>
        <v>86552</v>
      </c>
      <c r="D38" s="39">
        <f t="shared" si="3"/>
        <v>32263</v>
      </c>
      <c r="E38" s="39">
        <f t="shared" si="3"/>
        <v>-7480.1300000000047</v>
      </c>
      <c r="F38" s="39">
        <f t="shared" si="3"/>
        <v>-25959.489999999991</v>
      </c>
      <c r="G38" s="11">
        <f t="shared" si="3"/>
        <v>-104250</v>
      </c>
      <c r="H38" s="12">
        <f t="shared" si="3"/>
        <v>-63275</v>
      </c>
      <c r="I38" s="116">
        <f t="shared" si="3"/>
        <v>-167525</v>
      </c>
      <c r="J38" s="11">
        <v>-1300</v>
      </c>
      <c r="L38" s="17"/>
    </row>
    <row r="39" spans="1:12" s="13" customFormat="1" x14ac:dyDescent="0.3">
      <c r="A39" s="7"/>
      <c r="B39" s="41"/>
      <c r="C39" s="41"/>
      <c r="D39" s="41"/>
      <c r="E39" s="39"/>
      <c r="F39" s="39"/>
      <c r="G39" s="11"/>
      <c r="H39" s="12"/>
      <c r="I39" s="116"/>
      <c r="J39" s="11"/>
    </row>
    <row r="40" spans="1:12" s="13" customFormat="1" x14ac:dyDescent="0.3">
      <c r="A40" s="7" t="s">
        <v>49</v>
      </c>
      <c r="B40" s="39">
        <v>-10000</v>
      </c>
      <c r="C40" s="39">
        <v>-10000</v>
      </c>
      <c r="D40" s="39">
        <v>-10000</v>
      </c>
      <c r="E40" s="39">
        <v>-10000</v>
      </c>
      <c r="F40" s="39">
        <v>-10000</v>
      </c>
      <c r="G40" s="11">
        <v>-14449</v>
      </c>
      <c r="H40" s="12">
        <v>0</v>
      </c>
      <c r="I40" s="116">
        <f>G40+H40</f>
        <v>-14449</v>
      </c>
      <c r="J40" s="11">
        <v>-10000</v>
      </c>
    </row>
    <row r="41" spans="1:12" s="13" customFormat="1" ht="16.2" thickBot="1" x14ac:dyDescent="0.35">
      <c r="A41" s="7"/>
      <c r="B41" s="41"/>
      <c r="C41" s="41"/>
      <c r="D41" s="41"/>
      <c r="E41" s="39"/>
      <c r="F41" s="39"/>
      <c r="G41" s="11"/>
      <c r="H41" s="12"/>
      <c r="I41" s="116"/>
      <c r="J41" s="11"/>
    </row>
    <row r="42" spans="1:12" s="13" customFormat="1" ht="16.2" thickBot="1" x14ac:dyDescent="0.35">
      <c r="A42" s="7" t="s">
        <v>88</v>
      </c>
      <c r="B42" s="39">
        <f>+B40+B38</f>
        <v>-37148</v>
      </c>
      <c r="C42" s="39">
        <f>+C40+C38</f>
        <v>76552</v>
      </c>
      <c r="D42" s="39">
        <f>+D40+D38</f>
        <v>22263</v>
      </c>
      <c r="E42" s="39">
        <f t="shared" ref="E42:J42" si="4">+E40+E38</f>
        <v>-17480.130000000005</v>
      </c>
      <c r="F42" s="39">
        <f t="shared" si="4"/>
        <v>-35959.489999999991</v>
      </c>
      <c r="G42" s="14">
        <f t="shared" si="4"/>
        <v>-118699</v>
      </c>
      <c r="H42" s="14">
        <f t="shared" si="4"/>
        <v>-63275</v>
      </c>
      <c r="I42" s="33">
        <f t="shared" si="4"/>
        <v>-181974</v>
      </c>
      <c r="J42" s="33">
        <f t="shared" si="4"/>
        <v>-11300</v>
      </c>
    </row>
    <row r="43" spans="1:12" s="13" customFormat="1" ht="16.2" thickBot="1" x14ac:dyDescent="0.35">
      <c r="A43" s="4"/>
      <c r="B43" s="4"/>
      <c r="C43" s="4"/>
      <c r="D43" s="4"/>
      <c r="E43" s="4"/>
      <c r="F43" s="4"/>
      <c r="I43" s="58"/>
      <c r="J43" s="4"/>
    </row>
    <row r="44" spans="1:12" x14ac:dyDescent="0.3">
      <c r="G44" s="119" t="s">
        <v>916</v>
      </c>
      <c r="H44" s="120"/>
      <c r="I44" s="121"/>
    </row>
    <row r="45" spans="1:12" x14ac:dyDescent="0.3">
      <c r="G45" s="122" t="s">
        <v>917</v>
      </c>
      <c r="H45" s="55" t="s">
        <v>759</v>
      </c>
      <c r="I45" s="123">
        <v>-14000</v>
      </c>
    </row>
    <row r="46" spans="1:12" x14ac:dyDescent="0.3">
      <c r="G46" s="122"/>
      <c r="H46" s="55" t="s">
        <v>55</v>
      </c>
      <c r="I46" s="123">
        <v>-14000</v>
      </c>
    </row>
    <row r="47" spans="1:12" x14ac:dyDescent="0.3">
      <c r="G47" s="124"/>
      <c r="H47" s="55" t="s">
        <v>154</v>
      </c>
      <c r="I47" s="123">
        <v>-13000</v>
      </c>
    </row>
    <row r="48" spans="1:12" x14ac:dyDescent="0.3">
      <c r="G48" s="124"/>
      <c r="H48" s="55" t="s">
        <v>46</v>
      </c>
      <c r="I48" s="123">
        <v>-77000</v>
      </c>
    </row>
    <row r="49" spans="7:9" x14ac:dyDescent="0.3">
      <c r="G49" s="124"/>
      <c r="H49" s="55" t="s">
        <v>39</v>
      </c>
      <c r="I49" s="123">
        <v>-11000</v>
      </c>
    </row>
    <row r="50" spans="7:9" x14ac:dyDescent="0.3">
      <c r="G50" s="124"/>
      <c r="H50" s="55" t="s">
        <v>36</v>
      </c>
      <c r="I50" s="123">
        <v>-19000</v>
      </c>
    </row>
    <row r="51" spans="7:9" x14ac:dyDescent="0.3">
      <c r="G51" s="124"/>
      <c r="H51" s="55" t="s">
        <v>44</v>
      </c>
      <c r="I51" s="123">
        <v>16000</v>
      </c>
    </row>
    <row r="52" spans="7:9" x14ac:dyDescent="0.3">
      <c r="G52" s="122" t="s">
        <v>918</v>
      </c>
      <c r="H52" s="55" t="s">
        <v>919</v>
      </c>
      <c r="I52" s="123">
        <v>-18000</v>
      </c>
    </row>
    <row r="53" spans="7:9" x14ac:dyDescent="0.3">
      <c r="G53" s="124"/>
      <c r="H53" s="55" t="s">
        <v>24</v>
      </c>
      <c r="I53" s="123">
        <v>-18000</v>
      </c>
    </row>
    <row r="54" spans="7:9" ht="16.2" thickBot="1" x14ac:dyDescent="0.35">
      <c r="G54" s="125"/>
      <c r="H54" s="126"/>
      <c r="I54" s="127">
        <f>SUM(I45:I53)</f>
        <v>-168000</v>
      </c>
    </row>
  </sheetData>
  <pageMargins left="0.25" right="0.25" top="0.75" bottom="0.75" header="0.3" footer="0.3"/>
  <pageSetup paperSize="9" scale="69" orientation="landscape" r:id="rId1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A1:G33"/>
  <sheetViews>
    <sheetView workbookViewId="0"/>
  </sheetViews>
  <sheetFormatPr defaultColWidth="9.109375" defaultRowHeight="14.4" x14ac:dyDescent="0.3"/>
  <cols>
    <col min="1" max="1" width="9.109375" style="1"/>
    <col min="2" max="2" width="39.6640625" style="1" customWidth="1"/>
    <col min="3" max="5" width="13.6640625" style="1" bestFit="1" customWidth="1"/>
    <col min="6" max="16384" width="9.109375" style="1"/>
  </cols>
  <sheetData>
    <row r="1" spans="1:7" ht="34.200000000000003" thickBot="1" x14ac:dyDescent="0.7">
      <c r="A1" s="131" t="s">
        <v>903</v>
      </c>
      <c r="B1" s="132"/>
      <c r="C1" s="133"/>
      <c r="D1" s="133"/>
      <c r="E1" s="134"/>
    </row>
    <row r="2" spans="1:7" ht="18.75" customHeight="1" thickBot="1" x14ac:dyDescent="0.7">
      <c r="A2" s="135"/>
      <c r="B2" s="130"/>
      <c r="E2" s="136"/>
    </row>
    <row r="3" spans="1:7" ht="15" thickBot="1" x14ac:dyDescent="0.35">
      <c r="A3" s="124"/>
      <c r="C3" s="102" t="s">
        <v>0</v>
      </c>
      <c r="D3" s="102" t="s">
        <v>904</v>
      </c>
      <c r="E3" s="102" t="s">
        <v>2</v>
      </c>
    </row>
    <row r="4" spans="1:7" ht="15" thickBot="1" x14ac:dyDescent="0.35">
      <c r="A4" s="147" t="s">
        <v>905</v>
      </c>
      <c r="C4" s="103">
        <v>41275</v>
      </c>
      <c r="D4" s="104"/>
      <c r="E4" s="103">
        <v>41639</v>
      </c>
    </row>
    <row r="5" spans="1:7" x14ac:dyDescent="0.3">
      <c r="A5" s="124"/>
      <c r="E5" s="136"/>
    </row>
    <row r="6" spans="1:7" ht="15.6" x14ac:dyDescent="0.3">
      <c r="A6" s="146" t="s">
        <v>906</v>
      </c>
      <c r="E6" s="136"/>
    </row>
    <row r="7" spans="1:7" x14ac:dyDescent="0.3">
      <c r="A7" s="124"/>
      <c r="B7" s="1" t="s">
        <v>5</v>
      </c>
      <c r="C7" s="138">
        <v>105551</v>
      </c>
      <c r="D7" s="138">
        <v>0</v>
      </c>
      <c r="E7" s="139">
        <v>105551</v>
      </c>
    </row>
    <row r="8" spans="1:7" ht="15" thickBot="1" x14ac:dyDescent="0.35">
      <c r="A8" s="124"/>
      <c r="B8" s="1" t="s">
        <v>6</v>
      </c>
      <c r="C8" s="105">
        <v>-91102</v>
      </c>
      <c r="D8" s="105">
        <v>-14449</v>
      </c>
      <c r="E8" s="140">
        <f>C8+D8</f>
        <v>-105551</v>
      </c>
    </row>
    <row r="9" spans="1:7" x14ac:dyDescent="0.3">
      <c r="A9" s="137" t="s">
        <v>907</v>
      </c>
      <c r="C9" s="106">
        <f>SUM(C7:C8)</f>
        <v>14449</v>
      </c>
      <c r="D9" s="106">
        <f>SUM(D7:D8)</f>
        <v>-14449</v>
      </c>
      <c r="E9" s="141">
        <f>SUM(E7:E8)</f>
        <v>0</v>
      </c>
    </row>
    <row r="10" spans="1:7" x14ac:dyDescent="0.3">
      <c r="A10" s="124"/>
      <c r="C10" s="138"/>
      <c r="D10" s="138"/>
      <c r="E10" s="139"/>
    </row>
    <row r="11" spans="1:7" ht="15.6" x14ac:dyDescent="0.3">
      <c r="A11" s="146" t="s">
        <v>9</v>
      </c>
      <c r="C11" s="138"/>
      <c r="D11" s="138"/>
      <c r="E11" s="139"/>
    </row>
    <row r="12" spans="1:7" x14ac:dyDescent="0.3">
      <c r="A12" s="124"/>
      <c r="B12" s="55" t="s">
        <v>921</v>
      </c>
      <c r="C12" s="138">
        <v>770</v>
      </c>
      <c r="D12" s="138">
        <f>+E12-C12</f>
        <v>30</v>
      </c>
      <c r="E12" s="139">
        <f>800</f>
        <v>800</v>
      </c>
    </row>
    <row r="13" spans="1:7" x14ac:dyDescent="0.3">
      <c r="A13" s="124"/>
      <c r="B13" s="55" t="s">
        <v>920</v>
      </c>
      <c r="C13" s="138">
        <v>5665</v>
      </c>
      <c r="D13" s="138">
        <f>+E13-C13</f>
        <v>-7225</v>
      </c>
      <c r="E13" s="139">
        <v>-1560</v>
      </c>
    </row>
    <row r="14" spans="1:7" x14ac:dyDescent="0.3">
      <c r="A14" s="124"/>
      <c r="B14" s="55" t="s">
        <v>908</v>
      </c>
      <c r="C14" s="138">
        <v>2838.74</v>
      </c>
      <c r="D14" s="138">
        <f>+E14-C14</f>
        <v>-585</v>
      </c>
      <c r="E14" s="139">
        <v>2253.7399999999998</v>
      </c>
    </row>
    <row r="15" spans="1:7" x14ac:dyDescent="0.3">
      <c r="A15" s="124"/>
      <c r="B15" s="55" t="s">
        <v>909</v>
      </c>
      <c r="C15" s="138">
        <v>66736.03</v>
      </c>
      <c r="D15" s="138">
        <f>+E15-C15</f>
        <v>-58104.800000000003</v>
      </c>
      <c r="E15" s="139">
        <v>8631.23</v>
      </c>
    </row>
    <row r="16" spans="1:7" ht="15" thickBot="1" x14ac:dyDescent="0.35">
      <c r="A16" s="124"/>
      <c r="B16" s="55" t="s">
        <v>910</v>
      </c>
      <c r="C16" s="107">
        <v>170139.66</v>
      </c>
      <c r="D16" s="105">
        <f>+E16-C16</f>
        <v>-151640.01</v>
      </c>
      <c r="E16" s="142">
        <v>18499.650000000001</v>
      </c>
      <c r="G16" s="2"/>
    </row>
    <row r="17" spans="1:5" x14ac:dyDescent="0.3">
      <c r="A17" s="137" t="s">
        <v>14</v>
      </c>
      <c r="C17" s="106">
        <f>SUM(C12:C16)</f>
        <v>246149.43</v>
      </c>
      <c r="D17" s="106">
        <f>SUM(D12:D16)</f>
        <v>-217524.81</v>
      </c>
      <c r="E17" s="141">
        <f>SUM(E12:E16)</f>
        <v>28624.620000000003</v>
      </c>
    </row>
    <row r="18" spans="1:5" x14ac:dyDescent="0.3">
      <c r="A18" s="124"/>
      <c r="C18" s="138"/>
      <c r="D18" s="138"/>
      <c r="E18" s="139"/>
    </row>
    <row r="19" spans="1:5" ht="15.6" x14ac:dyDescent="0.3">
      <c r="A19" s="146" t="s">
        <v>911</v>
      </c>
      <c r="C19" s="138"/>
      <c r="D19" s="138"/>
      <c r="E19" s="139"/>
    </row>
    <row r="20" spans="1:5" ht="15" thickBot="1" x14ac:dyDescent="0.35">
      <c r="A20" s="122"/>
      <c r="B20" s="55" t="s">
        <v>912</v>
      </c>
      <c r="C20" s="107">
        <v>0</v>
      </c>
      <c r="D20" s="105">
        <f>+E20-C20</f>
        <v>50000</v>
      </c>
      <c r="E20" s="142">
        <v>50000</v>
      </c>
    </row>
    <row r="21" spans="1:5" x14ac:dyDescent="0.3">
      <c r="A21" s="137" t="s">
        <v>913</v>
      </c>
      <c r="C21" s="106">
        <f>SUM(C20:C20)</f>
        <v>0</v>
      </c>
      <c r="D21" s="106">
        <f>SUM(D20:D20)</f>
        <v>50000</v>
      </c>
      <c r="E21" s="141">
        <f>SUM(E20:E20)</f>
        <v>50000</v>
      </c>
    </row>
    <row r="22" spans="1:5" x14ac:dyDescent="0.3">
      <c r="A22" s="124"/>
      <c r="C22" s="138"/>
      <c r="D22" s="138"/>
      <c r="E22" s="139"/>
    </row>
    <row r="23" spans="1:5" s="58" customFormat="1" ht="15" thickBot="1" x14ac:dyDescent="0.35">
      <c r="A23" s="143" t="s">
        <v>15</v>
      </c>
      <c r="C23" s="108">
        <f>+C9+C17+C21</f>
        <v>260598.43</v>
      </c>
      <c r="D23" s="108">
        <f>+E23-C23</f>
        <v>-181973.81</v>
      </c>
      <c r="E23" s="144">
        <f>+E9+E17+E20</f>
        <v>78624.62</v>
      </c>
    </row>
    <row r="24" spans="1:5" ht="15" thickTop="1" x14ac:dyDescent="0.3">
      <c r="A24" s="124"/>
      <c r="C24" s="138"/>
      <c r="D24" s="138"/>
      <c r="E24" s="139"/>
    </row>
    <row r="25" spans="1:5" x14ac:dyDescent="0.3">
      <c r="A25" s="124"/>
      <c r="C25" s="138"/>
      <c r="D25" s="138"/>
      <c r="E25" s="139"/>
    </row>
    <row r="26" spans="1:5" x14ac:dyDescent="0.3">
      <c r="A26" s="147" t="s">
        <v>923</v>
      </c>
      <c r="C26" s="138"/>
      <c r="D26" s="138"/>
      <c r="E26" s="139"/>
    </row>
    <row r="27" spans="1:5" x14ac:dyDescent="0.3">
      <c r="A27" s="124"/>
      <c r="C27" s="138"/>
      <c r="D27" s="138"/>
      <c r="E27" s="139"/>
    </row>
    <row r="28" spans="1:5" ht="15.6" x14ac:dyDescent="0.3">
      <c r="A28" s="146" t="s">
        <v>8</v>
      </c>
      <c r="C28" s="138"/>
      <c r="D28" s="138"/>
      <c r="E28" s="139"/>
    </row>
    <row r="29" spans="1:5" ht="15" thickBot="1" x14ac:dyDescent="0.35">
      <c r="A29" s="124"/>
      <c r="B29" s="55" t="s">
        <v>8</v>
      </c>
      <c r="C29" s="105">
        <v>260598.43</v>
      </c>
      <c r="D29" s="105">
        <f>+E29-C29</f>
        <v>-181973.81</v>
      </c>
      <c r="E29" s="140">
        <v>78624.62</v>
      </c>
    </row>
    <row r="30" spans="1:5" x14ac:dyDescent="0.3">
      <c r="A30" s="137" t="s">
        <v>914</v>
      </c>
      <c r="C30" s="106">
        <f>SUM(C29:C29)</f>
        <v>260598.43</v>
      </c>
      <c r="D30" s="106">
        <f>SUM(D29:D29)</f>
        <v>-181973.81</v>
      </c>
      <c r="E30" s="141">
        <f>SUM(E29:E29)</f>
        <v>78624.62</v>
      </c>
    </row>
    <row r="31" spans="1:5" x14ac:dyDescent="0.3">
      <c r="A31" s="124"/>
      <c r="E31" s="136"/>
    </row>
    <row r="32" spans="1:5" s="58" customFormat="1" ht="15" thickBot="1" x14ac:dyDescent="0.35">
      <c r="A32" s="143" t="s">
        <v>915</v>
      </c>
      <c r="C32" s="108">
        <f>+C30</f>
        <v>260598.43</v>
      </c>
      <c r="D32" s="108">
        <f>+D30</f>
        <v>-181973.81</v>
      </c>
      <c r="E32" s="144">
        <f>+E30</f>
        <v>78624.62</v>
      </c>
    </row>
    <row r="33" spans="1:5" ht="15.6" thickTop="1" thickBot="1" x14ac:dyDescent="0.35">
      <c r="A33" s="125"/>
      <c r="B33" s="126"/>
      <c r="C33" s="126"/>
      <c r="D33" s="126"/>
      <c r="E33" s="145"/>
    </row>
  </sheetData>
  <pageMargins left="1.18" right="0.7" top="0.75" bottom="0.75" header="0.3" footer="0.3"/>
  <pageSetup paperSize="9" scale="90" orientation="portrait" r:id="rId1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I231"/>
  <sheetViews>
    <sheetView topLeftCell="A25" workbookViewId="0">
      <selection activeCell="F8" sqref="F8"/>
    </sheetView>
  </sheetViews>
  <sheetFormatPr defaultColWidth="9.109375" defaultRowHeight="13.2" x14ac:dyDescent="0.25"/>
  <cols>
    <col min="1" max="1" width="8.109375" style="28" bestFit="1" customWidth="1"/>
    <col min="2" max="2" width="10.44140625" style="28" bestFit="1" customWidth="1"/>
    <col min="3" max="3" width="21.109375" style="69" customWidth="1"/>
    <col min="4" max="4" width="18.88671875" style="28" bestFit="1" customWidth="1"/>
    <col min="5" max="5" width="13" style="28" customWidth="1"/>
    <col min="6" max="6" width="19.109375" style="28" bestFit="1" customWidth="1"/>
    <col min="7" max="7" width="13.44140625" style="28" bestFit="1" customWidth="1"/>
    <col min="8" max="8" width="15" style="28" bestFit="1" customWidth="1"/>
    <col min="9" max="9" width="10.33203125" style="28" bestFit="1" customWidth="1"/>
    <col min="10" max="16384" width="9.109375" style="28"/>
  </cols>
  <sheetData>
    <row r="1" spans="1:9" x14ac:dyDescent="0.25">
      <c r="A1" s="28" t="s">
        <v>89</v>
      </c>
      <c r="B1" s="28" t="s">
        <v>90</v>
      </c>
      <c r="C1" s="69" t="s">
        <v>91</v>
      </c>
      <c r="D1" s="28" t="s">
        <v>92</v>
      </c>
      <c r="E1" s="28" t="s">
        <v>93</v>
      </c>
      <c r="F1" s="28" t="s">
        <v>94</v>
      </c>
      <c r="G1" s="28" t="s">
        <v>95</v>
      </c>
      <c r="H1" s="28" t="s">
        <v>96</v>
      </c>
      <c r="I1" s="28" t="s">
        <v>97</v>
      </c>
    </row>
    <row r="2" spans="1:9" ht="14.4" x14ac:dyDescent="0.3">
      <c r="B2" s="80">
        <v>41638</v>
      </c>
      <c r="C2" s="81"/>
      <c r="D2" s="81" t="s">
        <v>867</v>
      </c>
      <c r="E2" s="81">
        <v>-154</v>
      </c>
      <c r="F2" s="82" t="s">
        <v>33</v>
      </c>
      <c r="G2" s="81" t="s">
        <v>107</v>
      </c>
      <c r="H2" s="81"/>
    </row>
    <row r="3" spans="1:9" ht="14.4" x14ac:dyDescent="0.3">
      <c r="B3" s="80">
        <v>41638</v>
      </c>
      <c r="C3" s="81"/>
      <c r="D3" s="81" t="s">
        <v>27</v>
      </c>
      <c r="E3" s="81">
        <v>513.99</v>
      </c>
      <c r="F3" s="82" t="s">
        <v>484</v>
      </c>
      <c r="G3" s="81" t="s">
        <v>107</v>
      </c>
      <c r="H3" s="81"/>
    </row>
    <row r="4" spans="1:9" s="66" customFormat="1" ht="14.4" x14ac:dyDescent="0.3">
      <c r="B4" s="67">
        <v>41638</v>
      </c>
      <c r="C4" s="70" t="s">
        <v>38</v>
      </c>
      <c r="D4" s="66" t="s">
        <v>101</v>
      </c>
      <c r="E4" s="68">
        <v>-2100</v>
      </c>
      <c r="F4" s="68" t="s">
        <v>38</v>
      </c>
      <c r="G4" s="66" t="s">
        <v>580</v>
      </c>
    </row>
    <row r="5" spans="1:9" s="66" customFormat="1" ht="14.4" x14ac:dyDescent="0.3">
      <c r="B5" s="67">
        <v>41624</v>
      </c>
      <c r="C5" s="70">
        <v>57579997</v>
      </c>
      <c r="D5" s="66" t="s">
        <v>145</v>
      </c>
      <c r="E5" s="79">
        <v>750</v>
      </c>
      <c r="F5" s="68" t="s">
        <v>55</v>
      </c>
      <c r="G5" s="66" t="s">
        <v>55</v>
      </c>
      <c r="H5" s="66" t="s">
        <v>865</v>
      </c>
    </row>
    <row r="6" spans="1:9" s="66" customFormat="1" ht="14.4" x14ac:dyDescent="0.3">
      <c r="B6" s="67">
        <v>41621</v>
      </c>
      <c r="C6" s="70">
        <v>57579997</v>
      </c>
      <c r="D6" s="66" t="s">
        <v>145</v>
      </c>
      <c r="E6" s="68">
        <v>3500</v>
      </c>
      <c r="F6" s="68" t="s">
        <v>24</v>
      </c>
      <c r="G6" s="66" t="s">
        <v>107</v>
      </c>
    </row>
    <row r="7" spans="1:9" s="66" customFormat="1" ht="14.4" x14ac:dyDescent="0.3">
      <c r="B7" s="67">
        <v>41620</v>
      </c>
      <c r="C7" s="70">
        <v>57579997</v>
      </c>
      <c r="D7" s="66" t="s">
        <v>145</v>
      </c>
      <c r="E7" s="68">
        <v>5000</v>
      </c>
      <c r="F7" s="68" t="s">
        <v>24</v>
      </c>
      <c r="G7" s="66" t="s">
        <v>107</v>
      </c>
    </row>
    <row r="8" spans="1:9" s="66" customFormat="1" ht="14.4" x14ac:dyDescent="0.3">
      <c r="B8" s="67">
        <v>41618</v>
      </c>
      <c r="C8" s="70" t="s">
        <v>860</v>
      </c>
      <c r="D8" s="66" t="s">
        <v>126</v>
      </c>
      <c r="E8" s="68">
        <v>-35846</v>
      </c>
      <c r="F8" s="68" t="s">
        <v>45</v>
      </c>
      <c r="G8" s="66" t="s">
        <v>107</v>
      </c>
    </row>
    <row r="9" spans="1:9" s="66" customFormat="1" ht="14.4" x14ac:dyDescent="0.3">
      <c r="B9" s="67">
        <v>41605</v>
      </c>
      <c r="C9" s="70">
        <v>57579997</v>
      </c>
      <c r="D9" s="66" t="s">
        <v>145</v>
      </c>
      <c r="E9" s="79">
        <v>150</v>
      </c>
      <c r="F9" s="68" t="s">
        <v>55</v>
      </c>
      <c r="G9" s="66" t="s">
        <v>55</v>
      </c>
      <c r="H9" s="66" t="s">
        <v>584</v>
      </c>
    </row>
    <row r="10" spans="1:9" s="66" customFormat="1" ht="14.4" x14ac:dyDescent="0.3">
      <c r="B10" s="67">
        <v>41605</v>
      </c>
      <c r="C10" s="70" t="s">
        <v>861</v>
      </c>
      <c r="D10" s="66" t="s">
        <v>101</v>
      </c>
      <c r="E10" s="68">
        <v>-1450</v>
      </c>
      <c r="F10" s="68" t="s">
        <v>154</v>
      </c>
      <c r="G10" s="66" t="s">
        <v>586</v>
      </c>
      <c r="H10" s="66" t="s">
        <v>586</v>
      </c>
    </row>
    <row r="11" spans="1:9" s="66" customFormat="1" ht="14.4" x14ac:dyDescent="0.3">
      <c r="B11" s="67">
        <v>41600</v>
      </c>
      <c r="C11" s="70">
        <v>57579997</v>
      </c>
      <c r="D11" s="66" t="s">
        <v>145</v>
      </c>
      <c r="E11" s="79">
        <v>125</v>
      </c>
      <c r="F11" s="68" t="s">
        <v>55</v>
      </c>
      <c r="G11" s="66" t="s">
        <v>55</v>
      </c>
      <c r="H11" s="66" t="s">
        <v>584</v>
      </c>
    </row>
    <row r="12" spans="1:9" s="66" customFormat="1" ht="14.4" x14ac:dyDescent="0.3">
      <c r="B12" s="67">
        <v>41599</v>
      </c>
      <c r="C12" s="70" t="s">
        <v>435</v>
      </c>
      <c r="D12" s="66" t="s">
        <v>284</v>
      </c>
      <c r="E12" s="68">
        <v>2194</v>
      </c>
      <c r="F12" s="68" t="s">
        <v>804</v>
      </c>
      <c r="G12" s="66" t="s">
        <v>580</v>
      </c>
    </row>
    <row r="13" spans="1:9" s="66" customFormat="1" ht="14.4" x14ac:dyDescent="0.3">
      <c r="B13" s="67">
        <v>41599</v>
      </c>
      <c r="C13" s="70" t="s">
        <v>573</v>
      </c>
      <c r="D13" s="66" t="s">
        <v>284</v>
      </c>
      <c r="E13" s="68">
        <v>6050</v>
      </c>
      <c r="F13" s="68" t="s">
        <v>804</v>
      </c>
      <c r="G13" s="66" t="s">
        <v>580</v>
      </c>
      <c r="H13" s="66" t="s">
        <v>891</v>
      </c>
    </row>
    <row r="14" spans="1:9" s="66" customFormat="1" ht="14.4" x14ac:dyDescent="0.3">
      <c r="B14" s="67">
        <v>41599</v>
      </c>
      <c r="C14" s="70" t="s">
        <v>573</v>
      </c>
      <c r="D14" s="66" t="s">
        <v>284</v>
      </c>
      <c r="E14" s="79">
        <v>770</v>
      </c>
      <c r="F14" s="68" t="s">
        <v>863</v>
      </c>
    </row>
    <row r="15" spans="1:9" s="66" customFormat="1" ht="14.4" x14ac:dyDescent="0.3">
      <c r="B15" s="67">
        <v>41597</v>
      </c>
      <c r="C15" s="70" t="s">
        <v>862</v>
      </c>
      <c r="D15" s="66" t="s">
        <v>101</v>
      </c>
      <c r="E15" s="68">
        <v>-1230</v>
      </c>
      <c r="F15" s="68" t="s">
        <v>43</v>
      </c>
      <c r="G15" s="66" t="s">
        <v>586</v>
      </c>
      <c r="H15" s="66" t="s">
        <v>586</v>
      </c>
    </row>
    <row r="16" spans="1:9" s="66" customFormat="1" ht="15" thickBot="1" x14ac:dyDescent="0.35">
      <c r="A16" s="74"/>
      <c r="B16" s="75">
        <v>41590</v>
      </c>
      <c r="C16" s="76" t="s">
        <v>864</v>
      </c>
      <c r="D16" s="74" t="s">
        <v>101</v>
      </c>
      <c r="E16" s="78">
        <v>-819</v>
      </c>
      <c r="F16" s="77" t="s">
        <v>759</v>
      </c>
      <c r="G16" s="74" t="s">
        <v>759</v>
      </c>
      <c r="H16" s="74"/>
      <c r="I16" s="74"/>
    </row>
    <row r="17" spans="2:8" customFormat="1" ht="14.4" x14ac:dyDescent="0.3">
      <c r="B17" t="s">
        <v>811</v>
      </c>
      <c r="C17" s="71" t="s">
        <v>144</v>
      </c>
      <c r="D17" t="s">
        <v>145</v>
      </c>
      <c r="E17" s="45">
        <v>850</v>
      </c>
      <c r="F17" t="s">
        <v>55</v>
      </c>
      <c r="G17" t="s">
        <v>55</v>
      </c>
      <c r="H17" t="s">
        <v>585</v>
      </c>
    </row>
    <row r="18" spans="2:8" customFormat="1" ht="14.4" x14ac:dyDescent="0.3">
      <c r="B18" t="s">
        <v>810</v>
      </c>
      <c r="C18" s="71" t="s">
        <v>812</v>
      </c>
      <c r="D18" t="s">
        <v>101</v>
      </c>
      <c r="E18" s="45">
        <v>-5000</v>
      </c>
      <c r="F18" t="s">
        <v>154</v>
      </c>
      <c r="G18" t="s">
        <v>580</v>
      </c>
      <c r="H18" t="s">
        <v>856</v>
      </c>
    </row>
    <row r="19" spans="2:8" customFormat="1" ht="14.4" x14ac:dyDescent="0.3">
      <c r="B19" t="s">
        <v>813</v>
      </c>
      <c r="C19" s="71" t="s">
        <v>814</v>
      </c>
      <c r="D19" t="s">
        <v>101</v>
      </c>
      <c r="E19" s="45">
        <v>-2000</v>
      </c>
      <c r="F19" t="s">
        <v>154</v>
      </c>
      <c r="G19" t="s">
        <v>586</v>
      </c>
      <c r="H19" t="s">
        <v>855</v>
      </c>
    </row>
    <row r="20" spans="2:8" customFormat="1" ht="14.4" x14ac:dyDescent="0.3">
      <c r="B20" t="s">
        <v>815</v>
      </c>
      <c r="C20" s="71" t="s">
        <v>816</v>
      </c>
      <c r="D20" t="s">
        <v>101</v>
      </c>
      <c r="E20" s="45">
        <v>-1751</v>
      </c>
      <c r="F20" t="s">
        <v>41</v>
      </c>
      <c r="G20" t="s">
        <v>580</v>
      </c>
    </row>
    <row r="21" spans="2:8" customFormat="1" ht="14.4" x14ac:dyDescent="0.3">
      <c r="B21" t="s">
        <v>817</v>
      </c>
      <c r="C21" s="71" t="s">
        <v>508</v>
      </c>
      <c r="D21" t="s">
        <v>122</v>
      </c>
      <c r="E21" s="45">
        <v>-1239.3</v>
      </c>
      <c r="F21" t="s">
        <v>41</v>
      </c>
      <c r="G21" t="s">
        <v>580</v>
      </c>
    </row>
    <row r="22" spans="2:8" customFormat="1" ht="14.4" x14ac:dyDescent="0.3">
      <c r="B22" t="s">
        <v>818</v>
      </c>
      <c r="C22" s="71" t="s">
        <v>36</v>
      </c>
      <c r="D22" t="s">
        <v>101</v>
      </c>
      <c r="E22" s="45">
        <v>-2400</v>
      </c>
      <c r="F22" t="s">
        <v>36</v>
      </c>
      <c r="G22" t="s">
        <v>580</v>
      </c>
      <c r="H22" t="s">
        <v>807</v>
      </c>
    </row>
    <row r="23" spans="2:8" customFormat="1" ht="14.4" x14ac:dyDescent="0.3">
      <c r="B23" t="s">
        <v>818</v>
      </c>
      <c r="C23" s="71" t="s">
        <v>819</v>
      </c>
      <c r="D23" t="s">
        <v>122</v>
      </c>
      <c r="E23" s="45">
        <v>-900</v>
      </c>
      <c r="F23" t="s">
        <v>39</v>
      </c>
      <c r="G23" t="s">
        <v>580</v>
      </c>
    </row>
    <row r="24" spans="2:8" customFormat="1" ht="14.4" x14ac:dyDescent="0.3">
      <c r="B24" t="s">
        <v>818</v>
      </c>
      <c r="C24" s="71" t="s">
        <v>502</v>
      </c>
      <c r="D24" t="s">
        <v>126</v>
      </c>
      <c r="E24" s="45">
        <v>-390</v>
      </c>
      <c r="F24" t="s">
        <v>39</v>
      </c>
      <c r="G24" t="s">
        <v>580</v>
      </c>
    </row>
    <row r="25" spans="2:8" customFormat="1" ht="14.4" x14ac:dyDescent="0.3">
      <c r="B25" t="s">
        <v>820</v>
      </c>
      <c r="C25" s="71" t="s">
        <v>821</v>
      </c>
      <c r="D25" t="s">
        <v>101</v>
      </c>
      <c r="E25" s="45">
        <v>-329</v>
      </c>
      <c r="F25" t="s">
        <v>46</v>
      </c>
      <c r="G25" t="s">
        <v>586</v>
      </c>
    </row>
    <row r="26" spans="2:8" customFormat="1" ht="14.4" x14ac:dyDescent="0.3">
      <c r="B26" t="s">
        <v>823</v>
      </c>
      <c r="C26" s="71" t="s">
        <v>144</v>
      </c>
      <c r="D26" t="s">
        <v>145</v>
      </c>
      <c r="E26" s="45">
        <v>400</v>
      </c>
      <c r="F26" t="s">
        <v>55</v>
      </c>
      <c r="G26" t="s">
        <v>55</v>
      </c>
      <c r="H26" t="s">
        <v>590</v>
      </c>
    </row>
    <row r="27" spans="2:8" customFormat="1" ht="14.4" x14ac:dyDescent="0.3">
      <c r="B27" t="s">
        <v>822</v>
      </c>
      <c r="C27" s="71" t="s">
        <v>144</v>
      </c>
      <c r="D27" t="s">
        <v>145</v>
      </c>
      <c r="E27" s="45">
        <v>700</v>
      </c>
      <c r="F27" t="s">
        <v>55</v>
      </c>
      <c r="G27" t="s">
        <v>55</v>
      </c>
      <c r="H27" t="s">
        <v>584</v>
      </c>
    </row>
    <row r="28" spans="2:8" customFormat="1" ht="14.4" x14ac:dyDescent="0.3">
      <c r="B28" t="s">
        <v>824</v>
      </c>
      <c r="C28" s="71" t="s">
        <v>144</v>
      </c>
      <c r="D28" t="s">
        <v>145</v>
      </c>
      <c r="E28" s="45">
        <v>3500</v>
      </c>
      <c r="F28" t="s">
        <v>55</v>
      </c>
      <c r="G28" t="s">
        <v>55</v>
      </c>
      <c r="H28" t="s">
        <v>807</v>
      </c>
    </row>
    <row r="29" spans="2:8" customFormat="1" ht="14.4" x14ac:dyDescent="0.3">
      <c r="B29" t="s">
        <v>825</v>
      </c>
      <c r="C29" s="71" t="s">
        <v>144</v>
      </c>
      <c r="D29" t="s">
        <v>145</v>
      </c>
      <c r="E29" s="45">
        <v>4200</v>
      </c>
      <c r="F29" t="s">
        <v>55</v>
      </c>
      <c r="G29" t="s">
        <v>55</v>
      </c>
      <c r="H29" t="s">
        <v>858</v>
      </c>
    </row>
    <row r="30" spans="2:8" customFormat="1" ht="14.4" x14ac:dyDescent="0.3">
      <c r="B30" t="s">
        <v>826</v>
      </c>
      <c r="C30" s="71" t="s">
        <v>144</v>
      </c>
      <c r="D30" t="s">
        <v>145</v>
      </c>
      <c r="E30" s="45">
        <v>3900</v>
      </c>
      <c r="F30" t="s">
        <v>55</v>
      </c>
      <c r="G30" t="s">
        <v>55</v>
      </c>
      <c r="H30" t="s">
        <v>582</v>
      </c>
    </row>
    <row r="31" spans="2:8" customFormat="1" ht="14.4" x14ac:dyDescent="0.3">
      <c r="B31" t="s">
        <v>827</v>
      </c>
      <c r="C31" s="71" t="s">
        <v>502</v>
      </c>
      <c r="D31" t="s">
        <v>126</v>
      </c>
      <c r="E31" s="45">
        <v>-290</v>
      </c>
      <c r="F31" t="s">
        <v>39</v>
      </c>
      <c r="G31" t="s">
        <v>580</v>
      </c>
    </row>
    <row r="32" spans="2:8" customFormat="1" ht="14.4" x14ac:dyDescent="0.3">
      <c r="B32" t="s">
        <v>827</v>
      </c>
      <c r="C32" s="71" t="s">
        <v>502</v>
      </c>
      <c r="D32" t="s">
        <v>126</v>
      </c>
      <c r="E32" s="45">
        <v>-290</v>
      </c>
      <c r="F32" t="s">
        <v>39</v>
      </c>
      <c r="G32" t="s">
        <v>580</v>
      </c>
    </row>
    <row r="33" spans="2:9" customFormat="1" ht="14.4" x14ac:dyDescent="0.3">
      <c r="B33" t="s">
        <v>829</v>
      </c>
      <c r="C33" s="71" t="s">
        <v>144</v>
      </c>
      <c r="D33" t="s">
        <v>145</v>
      </c>
      <c r="E33" s="45">
        <v>650</v>
      </c>
      <c r="F33" t="s">
        <v>55</v>
      </c>
      <c r="G33" t="s">
        <v>55</v>
      </c>
      <c r="H33" t="s">
        <v>584</v>
      </c>
    </row>
    <row r="34" spans="2:9" customFormat="1" ht="14.4" x14ac:dyDescent="0.3">
      <c r="B34" t="s">
        <v>828</v>
      </c>
      <c r="C34" s="71" t="s">
        <v>830</v>
      </c>
      <c r="D34" t="s">
        <v>126</v>
      </c>
      <c r="E34" s="45">
        <v>-355</v>
      </c>
      <c r="F34" t="s">
        <v>39</v>
      </c>
      <c r="G34" t="s">
        <v>580</v>
      </c>
    </row>
    <row r="35" spans="2:9" customFormat="1" ht="14.4" x14ac:dyDescent="0.3">
      <c r="B35" t="s">
        <v>831</v>
      </c>
      <c r="C35" s="71" t="s">
        <v>144</v>
      </c>
      <c r="D35" t="s">
        <v>145</v>
      </c>
      <c r="E35" s="45">
        <v>2100</v>
      </c>
      <c r="F35" t="s">
        <v>55</v>
      </c>
      <c r="G35" t="s">
        <v>55</v>
      </c>
      <c r="H35" t="s">
        <v>585</v>
      </c>
    </row>
    <row r="36" spans="2:9" customFormat="1" ht="14.4" x14ac:dyDescent="0.3">
      <c r="B36" t="s">
        <v>832</v>
      </c>
      <c r="C36" s="71" t="s">
        <v>821</v>
      </c>
      <c r="D36" t="s">
        <v>101</v>
      </c>
      <c r="E36" s="45">
        <v>-69</v>
      </c>
      <c r="F36" t="s">
        <v>46</v>
      </c>
      <c r="G36" t="s">
        <v>586</v>
      </c>
    </row>
    <row r="37" spans="2:9" customFormat="1" ht="14.4" x14ac:dyDescent="0.3">
      <c r="B37" t="s">
        <v>832</v>
      </c>
      <c r="C37" s="71" t="s">
        <v>36</v>
      </c>
      <c r="D37" t="s">
        <v>122</v>
      </c>
      <c r="E37" s="45">
        <v>-1500</v>
      </c>
      <c r="F37" t="s">
        <v>36</v>
      </c>
      <c r="G37" t="s">
        <v>586</v>
      </c>
    </row>
    <row r="38" spans="2:9" customFormat="1" ht="14.4" x14ac:dyDescent="0.3">
      <c r="B38" t="s">
        <v>832</v>
      </c>
      <c r="C38" s="71" t="s">
        <v>144</v>
      </c>
      <c r="D38" t="s">
        <v>145</v>
      </c>
      <c r="E38" s="45">
        <v>17425</v>
      </c>
      <c r="F38" t="s">
        <v>52</v>
      </c>
      <c r="G38" t="s">
        <v>580</v>
      </c>
      <c r="H38" t="s">
        <v>854</v>
      </c>
    </row>
    <row r="39" spans="2:9" customFormat="1" ht="14.4" x14ac:dyDescent="0.3">
      <c r="B39" t="s">
        <v>834</v>
      </c>
      <c r="C39" s="71" t="s">
        <v>835</v>
      </c>
      <c r="D39" t="s">
        <v>126</v>
      </c>
      <c r="E39" s="45">
        <v>-130</v>
      </c>
      <c r="F39" t="s">
        <v>39</v>
      </c>
      <c r="G39" t="s">
        <v>580</v>
      </c>
    </row>
    <row r="40" spans="2:9" customFormat="1" ht="14.4" x14ac:dyDescent="0.3">
      <c r="B40" t="s">
        <v>833</v>
      </c>
      <c r="C40" s="71" t="s">
        <v>836</v>
      </c>
      <c r="D40" t="s">
        <v>284</v>
      </c>
      <c r="E40" s="45">
        <v>2100</v>
      </c>
      <c r="F40" t="s">
        <v>55</v>
      </c>
      <c r="G40" t="s">
        <v>55</v>
      </c>
      <c r="H40" t="s">
        <v>342</v>
      </c>
      <c r="I40" s="65"/>
    </row>
    <row r="41" spans="2:9" customFormat="1" ht="14.4" x14ac:dyDescent="0.3">
      <c r="B41" t="s">
        <v>834</v>
      </c>
      <c r="C41" s="71" t="s">
        <v>497</v>
      </c>
      <c r="D41" t="s">
        <v>101</v>
      </c>
      <c r="E41" s="45">
        <v>-1320</v>
      </c>
      <c r="F41" t="s">
        <v>46</v>
      </c>
      <c r="G41" t="s">
        <v>580</v>
      </c>
      <c r="H41" t="s">
        <v>438</v>
      </c>
    </row>
    <row r="42" spans="2:9" customFormat="1" ht="14.4" x14ac:dyDescent="0.3">
      <c r="B42" t="s">
        <v>834</v>
      </c>
      <c r="C42" s="71" t="s">
        <v>837</v>
      </c>
      <c r="D42" t="s">
        <v>101</v>
      </c>
      <c r="E42" s="45">
        <v>-228</v>
      </c>
      <c r="F42" t="s">
        <v>46</v>
      </c>
      <c r="G42" t="s">
        <v>580</v>
      </c>
      <c r="H42" t="s">
        <v>342</v>
      </c>
    </row>
    <row r="43" spans="2:9" customFormat="1" ht="14.4" x14ac:dyDescent="0.3">
      <c r="B43" t="s">
        <v>834</v>
      </c>
      <c r="C43" s="71" t="s">
        <v>838</v>
      </c>
      <c r="D43" t="s">
        <v>101</v>
      </c>
      <c r="E43" s="45">
        <v>-311</v>
      </c>
      <c r="F43" t="s">
        <v>46</v>
      </c>
      <c r="G43" t="s">
        <v>586</v>
      </c>
    </row>
    <row r="44" spans="2:9" customFormat="1" ht="14.4" x14ac:dyDescent="0.3">
      <c r="B44" t="s">
        <v>834</v>
      </c>
      <c r="C44" s="71" t="s">
        <v>144</v>
      </c>
      <c r="D44" t="s">
        <v>145</v>
      </c>
      <c r="E44" s="45">
        <v>300</v>
      </c>
      <c r="F44" t="s">
        <v>52</v>
      </c>
      <c r="G44" t="s">
        <v>580</v>
      </c>
      <c r="H44" t="s">
        <v>590</v>
      </c>
      <c r="I44" s="65"/>
    </row>
    <row r="45" spans="2:9" customFormat="1" ht="14.4" x14ac:dyDescent="0.3">
      <c r="B45" t="s">
        <v>839</v>
      </c>
      <c r="C45" s="71" t="s">
        <v>502</v>
      </c>
      <c r="D45" t="s">
        <v>126</v>
      </c>
      <c r="E45" s="45">
        <v>-580</v>
      </c>
      <c r="F45" t="s">
        <v>39</v>
      </c>
      <c r="G45" t="s">
        <v>580</v>
      </c>
    </row>
    <row r="46" spans="2:9" customFormat="1" ht="14.4" x14ac:dyDescent="0.3">
      <c r="B46" t="s">
        <v>840</v>
      </c>
      <c r="C46" s="71" t="s">
        <v>841</v>
      </c>
      <c r="D46" t="s">
        <v>122</v>
      </c>
      <c r="E46" s="45">
        <v>-350</v>
      </c>
      <c r="F46" t="s">
        <v>154</v>
      </c>
      <c r="G46" t="s">
        <v>580</v>
      </c>
    </row>
    <row r="47" spans="2:9" customFormat="1" ht="14.4" x14ac:dyDescent="0.3">
      <c r="B47" t="s">
        <v>840</v>
      </c>
      <c r="C47" s="71" t="s">
        <v>842</v>
      </c>
      <c r="D47" t="s">
        <v>126</v>
      </c>
      <c r="E47" s="45">
        <v>-800</v>
      </c>
      <c r="F47" t="s">
        <v>759</v>
      </c>
      <c r="G47" t="s">
        <v>759</v>
      </c>
    </row>
    <row r="48" spans="2:9" customFormat="1" ht="14.4" x14ac:dyDescent="0.3">
      <c r="B48" t="s">
        <v>840</v>
      </c>
      <c r="C48" s="71" t="s">
        <v>842</v>
      </c>
      <c r="D48" t="s">
        <v>126</v>
      </c>
      <c r="E48" s="45">
        <v>-800</v>
      </c>
      <c r="F48" t="s">
        <v>759</v>
      </c>
      <c r="G48" t="s">
        <v>759</v>
      </c>
    </row>
    <row r="49" spans="1:9" customFormat="1" ht="14.4" x14ac:dyDescent="0.3">
      <c r="B49" t="s">
        <v>840</v>
      </c>
      <c r="C49" s="71" t="s">
        <v>144</v>
      </c>
      <c r="D49" t="s">
        <v>145</v>
      </c>
      <c r="E49" s="45">
        <v>1350</v>
      </c>
      <c r="F49" t="s">
        <v>55</v>
      </c>
      <c r="G49" t="s">
        <v>55</v>
      </c>
      <c r="H49" t="s">
        <v>584</v>
      </c>
    </row>
    <row r="50" spans="1:9" customFormat="1" ht="14.4" x14ac:dyDescent="0.3">
      <c r="B50" t="s">
        <v>843</v>
      </c>
      <c r="C50" s="71" t="s">
        <v>767</v>
      </c>
      <c r="D50" t="s">
        <v>101</v>
      </c>
      <c r="E50" s="45">
        <v>-1800</v>
      </c>
      <c r="F50" t="s">
        <v>759</v>
      </c>
      <c r="G50" t="s">
        <v>759</v>
      </c>
    </row>
    <row r="51" spans="1:9" customFormat="1" ht="14.4" x14ac:dyDescent="0.3">
      <c r="B51" t="s">
        <v>845</v>
      </c>
      <c r="C51" s="71" t="s">
        <v>144</v>
      </c>
      <c r="D51" t="s">
        <v>145</v>
      </c>
      <c r="E51" s="45">
        <v>4200</v>
      </c>
      <c r="F51" t="s">
        <v>55</v>
      </c>
      <c r="G51" t="s">
        <v>55</v>
      </c>
      <c r="H51" t="s">
        <v>438</v>
      </c>
    </row>
    <row r="52" spans="1:9" customFormat="1" ht="14.4" x14ac:dyDescent="0.3">
      <c r="B52" t="s">
        <v>844</v>
      </c>
      <c r="C52" s="71" t="s">
        <v>144</v>
      </c>
      <c r="D52" t="s">
        <v>145</v>
      </c>
      <c r="E52" s="45">
        <v>5030</v>
      </c>
      <c r="F52" t="s">
        <v>804</v>
      </c>
      <c r="G52" t="s">
        <v>580</v>
      </c>
    </row>
    <row r="53" spans="1:9" customFormat="1" ht="14.4" x14ac:dyDescent="0.3">
      <c r="B53" t="s">
        <v>846</v>
      </c>
      <c r="C53" s="71" t="s">
        <v>847</v>
      </c>
      <c r="D53" t="s">
        <v>126</v>
      </c>
      <c r="E53" s="45">
        <v>-2453</v>
      </c>
      <c r="F53" t="s">
        <v>39</v>
      </c>
      <c r="G53" t="s">
        <v>580</v>
      </c>
    </row>
    <row r="54" spans="1:9" customFormat="1" ht="14.4" x14ac:dyDescent="0.3">
      <c r="B54" t="s">
        <v>846</v>
      </c>
      <c r="C54" s="71" t="s">
        <v>502</v>
      </c>
      <c r="D54" t="s">
        <v>126</v>
      </c>
      <c r="E54" s="45">
        <v>-290</v>
      </c>
      <c r="F54" t="s">
        <v>39</v>
      </c>
      <c r="G54" t="s">
        <v>580</v>
      </c>
    </row>
    <row r="55" spans="1:9" customFormat="1" ht="14.4" x14ac:dyDescent="0.3">
      <c r="B55" t="s">
        <v>844</v>
      </c>
      <c r="C55" s="71" t="s">
        <v>836</v>
      </c>
      <c r="D55" t="s">
        <v>284</v>
      </c>
      <c r="E55" s="45">
        <v>6300</v>
      </c>
      <c r="F55" t="s">
        <v>55</v>
      </c>
      <c r="G55" t="s">
        <v>342</v>
      </c>
    </row>
    <row r="56" spans="1:9" customFormat="1" ht="14.4" x14ac:dyDescent="0.3">
      <c r="B56" t="s">
        <v>846</v>
      </c>
      <c r="C56" s="71" t="s">
        <v>144</v>
      </c>
      <c r="D56" t="s">
        <v>145</v>
      </c>
      <c r="E56" s="45">
        <v>2100</v>
      </c>
      <c r="F56" t="s">
        <v>55</v>
      </c>
      <c r="G56" t="s">
        <v>55</v>
      </c>
      <c r="H56" t="s">
        <v>585</v>
      </c>
    </row>
    <row r="57" spans="1:9" customFormat="1" ht="14.4" x14ac:dyDescent="0.3">
      <c r="B57" t="s">
        <v>848</v>
      </c>
      <c r="C57" s="71" t="s">
        <v>144</v>
      </c>
      <c r="D57" t="s">
        <v>145</v>
      </c>
      <c r="E57" s="45">
        <v>2100</v>
      </c>
      <c r="F57" t="s">
        <v>55</v>
      </c>
      <c r="G57" t="s">
        <v>55</v>
      </c>
      <c r="H57" t="s">
        <v>585</v>
      </c>
    </row>
    <row r="58" spans="1:9" customFormat="1" ht="14.4" x14ac:dyDescent="0.3">
      <c r="B58" t="s">
        <v>849</v>
      </c>
      <c r="C58" s="71" t="s">
        <v>838</v>
      </c>
      <c r="D58" t="s">
        <v>101</v>
      </c>
      <c r="E58" s="45">
        <v>-519</v>
      </c>
      <c r="F58" t="s">
        <v>46</v>
      </c>
      <c r="G58" t="s">
        <v>586</v>
      </c>
    </row>
    <row r="59" spans="1:9" customFormat="1" ht="14.4" x14ac:dyDescent="0.3">
      <c r="B59" t="s">
        <v>850</v>
      </c>
      <c r="C59" s="71" t="s">
        <v>851</v>
      </c>
      <c r="D59" t="s">
        <v>101</v>
      </c>
      <c r="E59" s="45">
        <v>-800</v>
      </c>
      <c r="F59" t="s">
        <v>36</v>
      </c>
      <c r="G59" t="s">
        <v>580</v>
      </c>
      <c r="H59" t="s">
        <v>592</v>
      </c>
    </row>
    <row r="60" spans="1:9" customFormat="1" ht="14.4" x14ac:dyDescent="0.3">
      <c r="B60" t="s">
        <v>853</v>
      </c>
      <c r="C60" s="71" t="s">
        <v>144</v>
      </c>
      <c r="D60" t="s">
        <v>145</v>
      </c>
      <c r="E60" s="45">
        <v>600</v>
      </c>
      <c r="F60" t="s">
        <v>52</v>
      </c>
      <c r="G60" t="s">
        <v>580</v>
      </c>
      <c r="H60" t="s">
        <v>857</v>
      </c>
      <c r="I60" s="65"/>
    </row>
    <row r="61" spans="1:9" customFormat="1" ht="14.4" x14ac:dyDescent="0.3">
      <c r="B61" t="s">
        <v>852</v>
      </c>
      <c r="C61" s="71" t="s">
        <v>502</v>
      </c>
      <c r="D61" t="s">
        <v>126</v>
      </c>
      <c r="E61" s="45">
        <v>-290</v>
      </c>
      <c r="F61" t="s">
        <v>39</v>
      </c>
      <c r="G61" t="s">
        <v>580</v>
      </c>
    </row>
    <row r="62" spans="1:9" customFormat="1" ht="15" thickBot="1" x14ac:dyDescent="0.35">
      <c r="B62" t="s">
        <v>852</v>
      </c>
      <c r="C62" s="71" t="s">
        <v>502</v>
      </c>
      <c r="D62" t="s">
        <v>126</v>
      </c>
      <c r="E62" s="45">
        <v>-295</v>
      </c>
      <c r="F62" t="s">
        <v>39</v>
      </c>
      <c r="G62" t="s">
        <v>580</v>
      </c>
    </row>
    <row r="63" spans="1:9" customFormat="1" ht="14.4" x14ac:dyDescent="0.3">
      <c r="A63" s="59"/>
      <c r="B63" s="97">
        <v>41507</v>
      </c>
      <c r="C63" s="72" t="s">
        <v>144</v>
      </c>
      <c r="D63" s="59" t="s">
        <v>145</v>
      </c>
      <c r="E63" s="60">
        <v>200</v>
      </c>
      <c r="F63" s="59" t="s">
        <v>52</v>
      </c>
      <c r="G63" s="59" t="s">
        <v>580</v>
      </c>
      <c r="H63" s="59" t="s">
        <v>583</v>
      </c>
    </row>
    <row r="64" spans="1:9" customFormat="1" ht="14.4" x14ac:dyDescent="0.3">
      <c r="B64" t="s">
        <v>758</v>
      </c>
      <c r="C64" s="71" t="s">
        <v>144</v>
      </c>
      <c r="D64" t="s">
        <v>145</v>
      </c>
      <c r="E64" s="45">
        <v>200</v>
      </c>
      <c r="F64" t="s">
        <v>52</v>
      </c>
      <c r="G64" t="s">
        <v>580</v>
      </c>
      <c r="H64" t="s">
        <v>583</v>
      </c>
    </row>
    <row r="65" spans="2:8" customFormat="1" ht="14.4" x14ac:dyDescent="0.3">
      <c r="B65" t="s">
        <v>758</v>
      </c>
      <c r="C65" s="71" t="s">
        <v>759</v>
      </c>
      <c r="D65" t="s">
        <v>101</v>
      </c>
      <c r="E65" s="45">
        <v>-42551</v>
      </c>
      <c r="F65" t="s">
        <v>759</v>
      </c>
      <c r="G65" t="s">
        <v>759</v>
      </c>
    </row>
    <row r="66" spans="2:8" customFormat="1" ht="14.4" x14ac:dyDescent="0.3">
      <c r="B66" t="s">
        <v>758</v>
      </c>
      <c r="C66" s="71" t="s">
        <v>760</v>
      </c>
      <c r="D66" t="s">
        <v>126</v>
      </c>
      <c r="E66" s="45">
        <v>15000</v>
      </c>
      <c r="F66" t="s">
        <v>285</v>
      </c>
      <c r="G66" t="s">
        <v>794</v>
      </c>
    </row>
    <row r="67" spans="2:8" customFormat="1" ht="14.4" x14ac:dyDescent="0.3">
      <c r="B67" t="s">
        <v>761</v>
      </c>
      <c r="C67" s="71" t="s">
        <v>762</v>
      </c>
      <c r="D67" t="s">
        <v>101</v>
      </c>
      <c r="E67" s="45">
        <v>-52</v>
      </c>
      <c r="F67" t="s">
        <v>759</v>
      </c>
      <c r="G67" t="s">
        <v>759</v>
      </c>
    </row>
    <row r="68" spans="2:8" customFormat="1" ht="14.4" x14ac:dyDescent="0.3">
      <c r="B68" t="s">
        <v>763</v>
      </c>
      <c r="C68" s="71" t="s">
        <v>764</v>
      </c>
      <c r="D68" t="s">
        <v>101</v>
      </c>
      <c r="E68" s="45">
        <v>-2540</v>
      </c>
      <c r="F68" t="s">
        <v>46</v>
      </c>
      <c r="G68" t="s">
        <v>580</v>
      </c>
      <c r="H68" t="s">
        <v>582</v>
      </c>
    </row>
    <row r="69" spans="2:8" customFormat="1" ht="14.4" x14ac:dyDescent="0.3">
      <c r="B69" t="s">
        <v>765</v>
      </c>
      <c r="C69" s="71" t="s">
        <v>435</v>
      </c>
      <c r="D69" t="s">
        <v>284</v>
      </c>
      <c r="E69" s="45">
        <v>3042</v>
      </c>
      <c r="F69" t="s">
        <v>804</v>
      </c>
      <c r="G69" t="s">
        <v>580</v>
      </c>
    </row>
    <row r="70" spans="2:8" customFormat="1" ht="14.4" x14ac:dyDescent="0.3">
      <c r="B70" t="s">
        <v>765</v>
      </c>
      <c r="C70" s="71" t="s">
        <v>573</v>
      </c>
      <c r="D70" t="s">
        <v>284</v>
      </c>
      <c r="E70" s="45">
        <v>10330</v>
      </c>
      <c r="F70" t="s">
        <v>804</v>
      </c>
      <c r="G70" t="s">
        <v>580</v>
      </c>
    </row>
    <row r="71" spans="2:8" customFormat="1" ht="14.4" x14ac:dyDescent="0.3">
      <c r="B71" t="s">
        <v>766</v>
      </c>
      <c r="C71" s="71" t="s">
        <v>767</v>
      </c>
      <c r="D71" t="s">
        <v>101</v>
      </c>
      <c r="E71" s="45">
        <v>-33500</v>
      </c>
      <c r="F71" t="s">
        <v>759</v>
      </c>
      <c r="G71" t="s">
        <v>759</v>
      </c>
    </row>
    <row r="72" spans="2:8" customFormat="1" ht="14.4" x14ac:dyDescent="0.3">
      <c r="B72" t="s">
        <v>768</v>
      </c>
      <c r="C72" s="71" t="s">
        <v>769</v>
      </c>
      <c r="D72" t="s">
        <v>101</v>
      </c>
      <c r="E72" s="45">
        <v>-275</v>
      </c>
      <c r="F72" t="s">
        <v>46</v>
      </c>
      <c r="G72" t="s">
        <v>586</v>
      </c>
      <c r="H72" t="s">
        <v>586</v>
      </c>
    </row>
    <row r="73" spans="2:8" customFormat="1" ht="14.4" x14ac:dyDescent="0.3">
      <c r="B73" t="s">
        <v>768</v>
      </c>
      <c r="C73" s="71" t="s">
        <v>762</v>
      </c>
      <c r="D73" t="s">
        <v>101</v>
      </c>
      <c r="E73" s="45">
        <v>-524</v>
      </c>
      <c r="F73" t="s">
        <v>759</v>
      </c>
      <c r="G73" t="s">
        <v>759</v>
      </c>
    </row>
    <row r="74" spans="2:8" customFormat="1" ht="14.4" x14ac:dyDescent="0.3">
      <c r="B74" t="s">
        <v>770</v>
      </c>
      <c r="C74" s="71" t="s">
        <v>771</v>
      </c>
      <c r="D74" t="s">
        <v>101</v>
      </c>
      <c r="E74" s="45">
        <v>-1498</v>
      </c>
      <c r="F74" t="s">
        <v>46</v>
      </c>
      <c r="G74" t="s">
        <v>580</v>
      </c>
      <c r="H74" t="s">
        <v>582</v>
      </c>
    </row>
    <row r="75" spans="2:8" customFormat="1" ht="14.4" x14ac:dyDescent="0.3">
      <c r="B75" t="s">
        <v>770</v>
      </c>
      <c r="C75" s="71" t="s">
        <v>767</v>
      </c>
      <c r="D75" t="s">
        <v>101</v>
      </c>
      <c r="E75" s="45">
        <v>-546</v>
      </c>
      <c r="F75" t="s">
        <v>759</v>
      </c>
      <c r="G75" t="s">
        <v>759</v>
      </c>
    </row>
    <row r="76" spans="2:8" customFormat="1" ht="14.4" x14ac:dyDescent="0.3">
      <c r="B76" t="s">
        <v>770</v>
      </c>
      <c r="C76" s="71" t="s">
        <v>38</v>
      </c>
      <c r="D76" t="s">
        <v>101</v>
      </c>
      <c r="E76" s="45">
        <v>-6000</v>
      </c>
      <c r="F76" t="s">
        <v>38</v>
      </c>
      <c r="G76" t="s">
        <v>580</v>
      </c>
    </row>
    <row r="77" spans="2:8" customFormat="1" ht="14.4" x14ac:dyDescent="0.3">
      <c r="B77" t="s">
        <v>770</v>
      </c>
      <c r="C77" s="71" t="s">
        <v>154</v>
      </c>
      <c r="D77" t="s">
        <v>101</v>
      </c>
      <c r="E77" s="45">
        <v>-2000</v>
      </c>
      <c r="F77" t="s">
        <v>154</v>
      </c>
      <c r="G77" t="s">
        <v>107</v>
      </c>
    </row>
    <row r="78" spans="2:8" customFormat="1" ht="14.4" x14ac:dyDescent="0.3">
      <c r="B78" t="s">
        <v>772</v>
      </c>
      <c r="C78" s="71" t="s">
        <v>773</v>
      </c>
      <c r="D78" t="s">
        <v>101</v>
      </c>
      <c r="E78" s="45">
        <v>-483</v>
      </c>
      <c r="F78" t="s">
        <v>46</v>
      </c>
      <c r="G78" t="s">
        <v>580</v>
      </c>
      <c r="H78" t="s">
        <v>438</v>
      </c>
    </row>
    <row r="79" spans="2:8" customFormat="1" ht="14.4" x14ac:dyDescent="0.3">
      <c r="B79" t="s">
        <v>772</v>
      </c>
      <c r="C79" s="71" t="s">
        <v>774</v>
      </c>
      <c r="D79" t="s">
        <v>101</v>
      </c>
      <c r="E79" s="45">
        <v>-174</v>
      </c>
      <c r="F79" t="s">
        <v>46</v>
      </c>
      <c r="G79" t="s">
        <v>580</v>
      </c>
      <c r="H79" t="s">
        <v>585</v>
      </c>
    </row>
    <row r="80" spans="2:8" customFormat="1" ht="14.4" x14ac:dyDescent="0.3">
      <c r="B80" t="s">
        <v>772</v>
      </c>
      <c r="C80" s="71" t="s">
        <v>762</v>
      </c>
      <c r="D80" t="s">
        <v>101</v>
      </c>
      <c r="E80" s="45">
        <v>-313</v>
      </c>
      <c r="F80" t="s">
        <v>759</v>
      </c>
      <c r="G80" t="s">
        <v>759</v>
      </c>
    </row>
    <row r="81" spans="2:8" customFormat="1" ht="14.4" x14ac:dyDescent="0.3">
      <c r="B81" t="s">
        <v>772</v>
      </c>
      <c r="C81" s="71" t="s">
        <v>774</v>
      </c>
      <c r="D81" t="s">
        <v>101</v>
      </c>
      <c r="E81" s="45">
        <v>-417</v>
      </c>
      <c r="F81" t="s">
        <v>46</v>
      </c>
      <c r="G81" t="s">
        <v>580</v>
      </c>
      <c r="H81" t="s">
        <v>585</v>
      </c>
    </row>
    <row r="82" spans="2:8" customFormat="1" ht="14.4" x14ac:dyDescent="0.3">
      <c r="B82" t="s">
        <v>772</v>
      </c>
      <c r="C82" s="71" t="s">
        <v>764</v>
      </c>
      <c r="D82" t="s">
        <v>101</v>
      </c>
      <c r="E82" s="45">
        <v>-11739</v>
      </c>
      <c r="F82" t="s">
        <v>46</v>
      </c>
      <c r="G82" t="s">
        <v>580</v>
      </c>
      <c r="H82" t="s">
        <v>582</v>
      </c>
    </row>
    <row r="83" spans="2:8" customFormat="1" ht="14.4" x14ac:dyDescent="0.3">
      <c r="B83" t="s">
        <v>775</v>
      </c>
      <c r="C83" s="71" t="s">
        <v>776</v>
      </c>
      <c r="D83" t="s">
        <v>126</v>
      </c>
      <c r="E83" s="45">
        <v>-800</v>
      </c>
      <c r="F83" t="s">
        <v>759</v>
      </c>
      <c r="G83" t="s">
        <v>759</v>
      </c>
    </row>
    <row r="84" spans="2:8" customFormat="1" ht="14.4" x14ac:dyDescent="0.3">
      <c r="B84" t="s">
        <v>777</v>
      </c>
      <c r="C84" s="71" t="s">
        <v>778</v>
      </c>
      <c r="D84" t="s">
        <v>126</v>
      </c>
      <c r="E84" s="45">
        <v>-600</v>
      </c>
      <c r="F84" t="s">
        <v>759</v>
      </c>
      <c r="G84" t="s">
        <v>759</v>
      </c>
    </row>
    <row r="85" spans="2:8" customFormat="1" ht="14.4" x14ac:dyDescent="0.3">
      <c r="B85" t="s">
        <v>779</v>
      </c>
      <c r="C85" s="71" t="s">
        <v>778</v>
      </c>
      <c r="D85" t="s">
        <v>126</v>
      </c>
      <c r="E85" s="45">
        <v>-800</v>
      </c>
      <c r="F85" t="s">
        <v>759</v>
      </c>
      <c r="G85" t="s">
        <v>759</v>
      </c>
    </row>
    <row r="86" spans="2:8" customFormat="1" ht="14.4" x14ac:dyDescent="0.3">
      <c r="B86" t="s">
        <v>779</v>
      </c>
      <c r="C86" s="71" t="s">
        <v>778</v>
      </c>
      <c r="D86" t="s">
        <v>126</v>
      </c>
      <c r="E86" s="45">
        <v>-800</v>
      </c>
      <c r="F86" t="s">
        <v>759</v>
      </c>
      <c r="G86" t="s">
        <v>759</v>
      </c>
    </row>
    <row r="87" spans="2:8" customFormat="1" ht="14.4" x14ac:dyDescent="0.3">
      <c r="B87" t="s">
        <v>779</v>
      </c>
      <c r="C87" s="71" t="s">
        <v>778</v>
      </c>
      <c r="D87" t="s">
        <v>126</v>
      </c>
      <c r="E87" s="45">
        <v>-800</v>
      </c>
      <c r="F87" t="s">
        <v>759</v>
      </c>
      <c r="G87" t="s">
        <v>759</v>
      </c>
    </row>
    <row r="88" spans="2:8" customFormat="1" ht="14.4" x14ac:dyDescent="0.3">
      <c r="B88" t="s">
        <v>779</v>
      </c>
      <c r="C88" s="71" t="s">
        <v>778</v>
      </c>
      <c r="D88" t="s">
        <v>126</v>
      </c>
      <c r="E88" s="45">
        <v>-800</v>
      </c>
      <c r="F88" t="s">
        <v>759</v>
      </c>
      <c r="G88" t="s">
        <v>759</v>
      </c>
    </row>
    <row r="89" spans="2:8" customFormat="1" ht="14.4" x14ac:dyDescent="0.3">
      <c r="B89" t="s">
        <v>779</v>
      </c>
      <c r="C89" s="71" t="s">
        <v>778</v>
      </c>
      <c r="D89" t="s">
        <v>126</v>
      </c>
      <c r="E89" s="45">
        <v>-800</v>
      </c>
      <c r="F89" t="s">
        <v>759</v>
      </c>
      <c r="G89" t="s">
        <v>759</v>
      </c>
    </row>
    <row r="90" spans="2:8" customFormat="1" ht="14.4" x14ac:dyDescent="0.3">
      <c r="B90" t="s">
        <v>779</v>
      </c>
      <c r="C90" s="71" t="s">
        <v>778</v>
      </c>
      <c r="D90" t="s">
        <v>126</v>
      </c>
      <c r="E90" s="45">
        <v>-800</v>
      </c>
      <c r="F90" t="s">
        <v>759</v>
      </c>
      <c r="G90" t="s">
        <v>759</v>
      </c>
    </row>
    <row r="91" spans="2:8" customFormat="1" ht="14.4" x14ac:dyDescent="0.3">
      <c r="B91" t="s">
        <v>779</v>
      </c>
      <c r="C91" s="71" t="s">
        <v>780</v>
      </c>
      <c r="D91" t="s">
        <v>126</v>
      </c>
      <c r="E91" s="45">
        <v>-380</v>
      </c>
      <c r="F91" t="s">
        <v>39</v>
      </c>
      <c r="G91" t="s">
        <v>580</v>
      </c>
    </row>
    <row r="92" spans="2:8" customFormat="1" ht="14.4" x14ac:dyDescent="0.3">
      <c r="B92" t="s">
        <v>779</v>
      </c>
      <c r="C92" s="71" t="s">
        <v>778</v>
      </c>
      <c r="D92" t="s">
        <v>126</v>
      </c>
      <c r="E92" s="45">
        <v>-800</v>
      </c>
      <c r="F92" t="s">
        <v>759</v>
      </c>
      <c r="G92" t="s">
        <v>759</v>
      </c>
    </row>
    <row r="93" spans="2:8" customFormat="1" ht="14.4" x14ac:dyDescent="0.3">
      <c r="B93" t="s">
        <v>781</v>
      </c>
      <c r="C93" s="71" t="s">
        <v>780</v>
      </c>
      <c r="D93" t="s">
        <v>126</v>
      </c>
      <c r="E93" s="45">
        <v>-445</v>
      </c>
      <c r="F93" t="s">
        <v>39</v>
      </c>
      <c r="G93" t="s">
        <v>580</v>
      </c>
    </row>
    <row r="94" spans="2:8" customFormat="1" ht="14.4" x14ac:dyDescent="0.3">
      <c r="B94" t="s">
        <v>782</v>
      </c>
      <c r="C94" s="71" t="s">
        <v>35</v>
      </c>
      <c r="D94" t="s">
        <v>101</v>
      </c>
      <c r="E94" s="45">
        <v>-400</v>
      </c>
      <c r="F94" t="s">
        <v>35</v>
      </c>
      <c r="G94" t="s">
        <v>580</v>
      </c>
    </row>
    <row r="95" spans="2:8" customFormat="1" ht="14.4" x14ac:dyDescent="0.3">
      <c r="B95" t="s">
        <v>782</v>
      </c>
      <c r="C95" s="71" t="s">
        <v>769</v>
      </c>
      <c r="D95" t="s">
        <v>101</v>
      </c>
      <c r="E95" s="45">
        <v>-125</v>
      </c>
      <c r="F95" t="s">
        <v>46</v>
      </c>
      <c r="G95" t="s">
        <v>586</v>
      </c>
      <c r="H95" t="s">
        <v>586</v>
      </c>
    </row>
    <row r="96" spans="2:8" customFormat="1" ht="14.4" x14ac:dyDescent="0.3">
      <c r="B96" t="s">
        <v>782</v>
      </c>
      <c r="C96" s="71" t="s">
        <v>783</v>
      </c>
      <c r="D96" t="s">
        <v>101</v>
      </c>
      <c r="E96" s="45">
        <v>-352</v>
      </c>
      <c r="F96" t="s">
        <v>46</v>
      </c>
      <c r="G96" t="s">
        <v>580</v>
      </c>
      <c r="H96" t="s">
        <v>590</v>
      </c>
    </row>
    <row r="97" spans="2:8" customFormat="1" ht="14.4" x14ac:dyDescent="0.3">
      <c r="B97" t="s">
        <v>782</v>
      </c>
      <c r="C97" s="71" t="s">
        <v>784</v>
      </c>
      <c r="D97" t="s">
        <v>126</v>
      </c>
      <c r="E97" s="45">
        <v>-800</v>
      </c>
      <c r="F97" t="s">
        <v>759</v>
      </c>
      <c r="G97" t="s">
        <v>759</v>
      </c>
    </row>
    <row r="98" spans="2:8" customFormat="1" ht="14.4" x14ac:dyDescent="0.3">
      <c r="B98" t="s">
        <v>782</v>
      </c>
      <c r="C98" s="71" t="s">
        <v>784</v>
      </c>
      <c r="D98" t="s">
        <v>126</v>
      </c>
      <c r="E98" s="45">
        <v>-800</v>
      </c>
      <c r="F98" t="s">
        <v>759</v>
      </c>
      <c r="G98" t="s">
        <v>759</v>
      </c>
    </row>
    <row r="99" spans="2:8" customFormat="1" ht="14.4" x14ac:dyDescent="0.3">
      <c r="B99" t="s">
        <v>782</v>
      </c>
      <c r="C99" s="71" t="s">
        <v>784</v>
      </c>
      <c r="D99" t="s">
        <v>126</v>
      </c>
      <c r="E99" s="45">
        <v>-800</v>
      </c>
      <c r="F99" t="s">
        <v>759</v>
      </c>
      <c r="G99" t="s">
        <v>759</v>
      </c>
    </row>
    <row r="100" spans="2:8" customFormat="1" ht="14.4" x14ac:dyDescent="0.3">
      <c r="B100" t="s">
        <v>782</v>
      </c>
      <c r="C100" s="71" t="s">
        <v>784</v>
      </c>
      <c r="D100" t="s">
        <v>126</v>
      </c>
      <c r="E100" s="45">
        <v>-800</v>
      </c>
      <c r="F100" t="s">
        <v>759</v>
      </c>
      <c r="G100" t="s">
        <v>759</v>
      </c>
    </row>
    <row r="101" spans="2:8" customFormat="1" ht="14.4" x14ac:dyDescent="0.3">
      <c r="B101" t="s">
        <v>782</v>
      </c>
      <c r="C101" s="71" t="s">
        <v>784</v>
      </c>
      <c r="D101" t="s">
        <v>126</v>
      </c>
      <c r="E101" s="45">
        <v>-1600</v>
      </c>
      <c r="F101" t="s">
        <v>759</v>
      </c>
      <c r="G101" t="s">
        <v>759</v>
      </c>
    </row>
    <row r="102" spans="2:8" customFormat="1" ht="14.4" x14ac:dyDescent="0.3">
      <c r="B102" t="s">
        <v>782</v>
      </c>
      <c r="C102" s="71" t="s">
        <v>784</v>
      </c>
      <c r="D102" t="s">
        <v>126</v>
      </c>
      <c r="E102" s="45">
        <v>-800</v>
      </c>
      <c r="F102" t="s">
        <v>759</v>
      </c>
      <c r="G102" t="s">
        <v>759</v>
      </c>
    </row>
    <row r="103" spans="2:8" customFormat="1" ht="14.4" x14ac:dyDescent="0.3">
      <c r="B103" t="s">
        <v>782</v>
      </c>
      <c r="C103" s="71" t="s">
        <v>784</v>
      </c>
      <c r="D103" t="s">
        <v>126</v>
      </c>
      <c r="E103" s="45">
        <v>-800</v>
      </c>
      <c r="F103" t="s">
        <v>759</v>
      </c>
      <c r="G103" t="s">
        <v>759</v>
      </c>
    </row>
    <row r="104" spans="2:8" customFormat="1" ht="14.4" x14ac:dyDescent="0.3">
      <c r="B104" t="s">
        <v>782</v>
      </c>
      <c r="C104" s="71" t="s">
        <v>784</v>
      </c>
      <c r="D104" t="s">
        <v>126</v>
      </c>
      <c r="E104" s="45">
        <v>-800</v>
      </c>
      <c r="F104" t="s">
        <v>759</v>
      </c>
      <c r="G104" t="s">
        <v>759</v>
      </c>
    </row>
    <row r="105" spans="2:8" customFormat="1" ht="14.4" x14ac:dyDescent="0.3">
      <c r="B105" t="s">
        <v>782</v>
      </c>
      <c r="C105" s="71" t="s">
        <v>785</v>
      </c>
      <c r="D105" t="s">
        <v>126</v>
      </c>
      <c r="E105" s="45">
        <v>-1600</v>
      </c>
      <c r="F105" t="s">
        <v>759</v>
      </c>
      <c r="G105" t="s">
        <v>759</v>
      </c>
    </row>
    <row r="106" spans="2:8" customFormat="1" ht="14.4" x14ac:dyDescent="0.3">
      <c r="B106" t="s">
        <v>782</v>
      </c>
      <c r="C106" s="71" t="s">
        <v>784</v>
      </c>
      <c r="D106" t="s">
        <v>126</v>
      </c>
      <c r="E106" s="45">
        <v>-800</v>
      </c>
      <c r="F106" t="s">
        <v>759</v>
      </c>
      <c r="G106" t="s">
        <v>759</v>
      </c>
    </row>
    <row r="107" spans="2:8" customFormat="1" ht="14.4" x14ac:dyDescent="0.3">
      <c r="B107" t="s">
        <v>782</v>
      </c>
      <c r="C107" s="71" t="s">
        <v>784</v>
      </c>
      <c r="D107" t="s">
        <v>126</v>
      </c>
      <c r="E107" s="45">
        <v>-800</v>
      </c>
      <c r="F107" t="s">
        <v>759</v>
      </c>
      <c r="G107" t="s">
        <v>759</v>
      </c>
    </row>
    <row r="108" spans="2:8" customFormat="1" ht="14.4" x14ac:dyDescent="0.3">
      <c r="B108" t="s">
        <v>782</v>
      </c>
      <c r="C108" s="71" t="s">
        <v>784</v>
      </c>
      <c r="D108" t="s">
        <v>126</v>
      </c>
      <c r="E108" s="45">
        <v>-1600</v>
      </c>
      <c r="F108" t="s">
        <v>759</v>
      </c>
      <c r="G108" t="s">
        <v>759</v>
      </c>
    </row>
    <row r="109" spans="2:8" customFormat="1" ht="14.4" x14ac:dyDescent="0.3">
      <c r="B109" t="s">
        <v>782</v>
      </c>
      <c r="C109" s="71" t="s">
        <v>784</v>
      </c>
      <c r="D109" t="s">
        <v>126</v>
      </c>
      <c r="E109" s="45">
        <v>-800</v>
      </c>
      <c r="F109" t="s">
        <v>759</v>
      </c>
      <c r="G109" t="s">
        <v>759</v>
      </c>
    </row>
    <row r="110" spans="2:8" customFormat="1" ht="14.4" x14ac:dyDescent="0.3">
      <c r="B110" t="s">
        <v>782</v>
      </c>
      <c r="C110" s="71" t="s">
        <v>784</v>
      </c>
      <c r="D110" t="s">
        <v>126</v>
      </c>
      <c r="E110" s="45">
        <v>-800</v>
      </c>
      <c r="F110" t="s">
        <v>759</v>
      </c>
      <c r="G110" t="s">
        <v>759</v>
      </c>
    </row>
    <row r="111" spans="2:8" customFormat="1" ht="14.4" x14ac:dyDescent="0.3">
      <c r="B111" t="s">
        <v>786</v>
      </c>
      <c r="C111" s="71" t="s">
        <v>592</v>
      </c>
      <c r="D111" t="s">
        <v>101</v>
      </c>
      <c r="E111" s="45">
        <v>-3026</v>
      </c>
      <c r="F111" t="s">
        <v>46</v>
      </c>
      <c r="G111" t="s">
        <v>580</v>
      </c>
      <c r="H111" t="s">
        <v>592</v>
      </c>
    </row>
    <row r="112" spans="2:8" customFormat="1" ht="14.4" x14ac:dyDescent="0.3">
      <c r="B112" t="s">
        <v>786</v>
      </c>
      <c r="C112" s="71" t="s">
        <v>584</v>
      </c>
      <c r="D112" t="s">
        <v>101</v>
      </c>
      <c r="E112" s="45">
        <v>-270</v>
      </c>
      <c r="F112" t="s">
        <v>46</v>
      </c>
      <c r="G112" t="s">
        <v>580</v>
      </c>
      <c r="H112" t="s">
        <v>584</v>
      </c>
    </row>
    <row r="113" spans="2:8" customFormat="1" ht="14.4" x14ac:dyDescent="0.3">
      <c r="B113" t="s">
        <v>786</v>
      </c>
      <c r="C113" s="71" t="s">
        <v>118</v>
      </c>
      <c r="D113" t="s">
        <v>101</v>
      </c>
      <c r="E113" s="45">
        <v>-3080</v>
      </c>
      <c r="F113" t="s">
        <v>46</v>
      </c>
      <c r="G113" t="s">
        <v>580</v>
      </c>
      <c r="H113" t="s">
        <v>118</v>
      </c>
    </row>
    <row r="114" spans="2:8" customFormat="1" ht="14.4" x14ac:dyDescent="0.3">
      <c r="B114" t="s">
        <v>786</v>
      </c>
      <c r="C114" s="71" t="s">
        <v>117</v>
      </c>
      <c r="D114" t="s">
        <v>101</v>
      </c>
      <c r="E114" s="45">
        <v>-549</v>
      </c>
      <c r="F114" t="s">
        <v>46</v>
      </c>
      <c r="G114" t="s">
        <v>580</v>
      </c>
      <c r="H114" t="s">
        <v>117</v>
      </c>
    </row>
    <row r="115" spans="2:8" customFormat="1" ht="14.4" x14ac:dyDescent="0.3">
      <c r="B115" t="s">
        <v>786</v>
      </c>
      <c r="C115" s="71" t="s">
        <v>584</v>
      </c>
      <c r="D115" t="s">
        <v>101</v>
      </c>
      <c r="E115" s="45">
        <v>-699</v>
      </c>
      <c r="F115" t="s">
        <v>46</v>
      </c>
      <c r="G115" t="s">
        <v>580</v>
      </c>
      <c r="H115" t="s">
        <v>584</v>
      </c>
    </row>
    <row r="116" spans="2:8" customFormat="1" ht="14.4" x14ac:dyDescent="0.3">
      <c r="B116" t="s">
        <v>786</v>
      </c>
      <c r="C116" s="71" t="s">
        <v>107</v>
      </c>
      <c r="D116" t="s">
        <v>101</v>
      </c>
      <c r="E116" s="45">
        <v>-4080</v>
      </c>
      <c r="F116" t="s">
        <v>46</v>
      </c>
      <c r="G116" t="s">
        <v>580</v>
      </c>
      <c r="H116" t="s">
        <v>107</v>
      </c>
    </row>
    <row r="117" spans="2:8" customFormat="1" ht="14.4" x14ac:dyDescent="0.3">
      <c r="B117" t="s">
        <v>787</v>
      </c>
      <c r="C117" s="71" t="s">
        <v>502</v>
      </c>
      <c r="D117" t="s">
        <v>126</v>
      </c>
      <c r="E117" s="45">
        <v>-355</v>
      </c>
      <c r="F117" t="s">
        <v>39</v>
      </c>
      <c r="G117" t="s">
        <v>580</v>
      </c>
    </row>
    <row r="118" spans="2:8" customFormat="1" ht="14.4" x14ac:dyDescent="0.3">
      <c r="B118" t="s">
        <v>787</v>
      </c>
      <c r="C118" s="71" t="s">
        <v>788</v>
      </c>
      <c r="D118" t="s">
        <v>284</v>
      </c>
      <c r="E118" s="45">
        <v>86000</v>
      </c>
      <c r="F118" t="s">
        <v>759</v>
      </c>
      <c r="G118" t="s">
        <v>759</v>
      </c>
    </row>
    <row r="119" spans="2:8" customFormat="1" ht="14.4" x14ac:dyDescent="0.3">
      <c r="B119" t="s">
        <v>789</v>
      </c>
      <c r="C119" s="71" t="s">
        <v>790</v>
      </c>
      <c r="D119" t="s">
        <v>126</v>
      </c>
      <c r="E119" s="45">
        <v>-1100</v>
      </c>
      <c r="F119" t="s">
        <v>759</v>
      </c>
      <c r="G119" t="s">
        <v>759</v>
      </c>
    </row>
    <row r="120" spans="2:8" customFormat="1" ht="14.4" x14ac:dyDescent="0.3">
      <c r="B120" t="s">
        <v>791</v>
      </c>
      <c r="C120" s="71" t="s">
        <v>144</v>
      </c>
      <c r="D120" t="s">
        <v>145</v>
      </c>
      <c r="E120" s="45">
        <v>325</v>
      </c>
      <c r="F120" t="s">
        <v>36</v>
      </c>
      <c r="G120" t="s">
        <v>580</v>
      </c>
      <c r="H120" t="s">
        <v>582</v>
      </c>
    </row>
    <row r="121" spans="2:8" customFormat="1" ht="14.4" x14ac:dyDescent="0.3">
      <c r="B121" t="s">
        <v>791</v>
      </c>
      <c r="C121" s="71" t="s">
        <v>790</v>
      </c>
      <c r="D121" t="s">
        <v>126</v>
      </c>
      <c r="E121" s="45">
        <v>-1100</v>
      </c>
      <c r="F121" t="s">
        <v>759</v>
      </c>
      <c r="G121" t="s">
        <v>759</v>
      </c>
    </row>
    <row r="122" spans="2:8" customFormat="1" ht="14.4" x14ac:dyDescent="0.3">
      <c r="B122" t="s">
        <v>791</v>
      </c>
      <c r="C122" s="71" t="s">
        <v>502</v>
      </c>
      <c r="D122" t="s">
        <v>126</v>
      </c>
      <c r="E122" s="45">
        <v>-290</v>
      </c>
      <c r="F122" t="s">
        <v>39</v>
      </c>
      <c r="G122" t="s">
        <v>580</v>
      </c>
    </row>
    <row r="123" spans="2:8" customFormat="1" ht="14.4" x14ac:dyDescent="0.3">
      <c r="B123" t="s">
        <v>792</v>
      </c>
      <c r="C123" s="71" t="s">
        <v>144</v>
      </c>
      <c r="D123" t="s">
        <v>145</v>
      </c>
      <c r="E123" s="45">
        <v>4200</v>
      </c>
      <c r="F123" t="s">
        <v>52</v>
      </c>
      <c r="G123" t="s">
        <v>580</v>
      </c>
      <c r="H123" t="s">
        <v>807</v>
      </c>
    </row>
    <row r="124" spans="2:8" customFormat="1" ht="14.4" x14ac:dyDescent="0.3">
      <c r="B124" t="s">
        <v>792</v>
      </c>
      <c r="C124" s="71" t="s">
        <v>793</v>
      </c>
      <c r="D124" t="s">
        <v>101</v>
      </c>
      <c r="E124" s="45">
        <v>-650</v>
      </c>
      <c r="F124" t="s">
        <v>36</v>
      </c>
      <c r="G124" t="s">
        <v>580</v>
      </c>
      <c r="H124" t="s">
        <v>582</v>
      </c>
    </row>
    <row r="125" spans="2:8" customFormat="1" ht="14.4" x14ac:dyDescent="0.3">
      <c r="B125" t="s">
        <v>792</v>
      </c>
      <c r="C125" s="71" t="s">
        <v>502</v>
      </c>
      <c r="D125" t="s">
        <v>126</v>
      </c>
      <c r="E125" s="45">
        <v>-355</v>
      </c>
      <c r="F125" t="s">
        <v>39</v>
      </c>
      <c r="G125" t="s">
        <v>580</v>
      </c>
    </row>
    <row r="126" spans="2:8" customFormat="1" ht="14.4" x14ac:dyDescent="0.3">
      <c r="B126" t="s">
        <v>792</v>
      </c>
      <c r="C126" s="71" t="s">
        <v>794</v>
      </c>
      <c r="D126" t="s">
        <v>126</v>
      </c>
      <c r="E126" s="45">
        <v>15000</v>
      </c>
      <c r="F126" t="s">
        <v>285</v>
      </c>
      <c r="G126" t="s">
        <v>794</v>
      </c>
    </row>
    <row r="127" spans="2:8" customFormat="1" ht="14.4" x14ac:dyDescent="0.3">
      <c r="B127" t="s">
        <v>792</v>
      </c>
      <c r="C127" s="71" t="s">
        <v>502</v>
      </c>
      <c r="D127" t="s">
        <v>126</v>
      </c>
      <c r="E127" s="45">
        <v>-290</v>
      </c>
      <c r="F127" t="s">
        <v>39</v>
      </c>
      <c r="G127" t="s">
        <v>580</v>
      </c>
    </row>
    <row r="128" spans="2:8" customFormat="1" ht="14.4" x14ac:dyDescent="0.3">
      <c r="B128" t="s">
        <v>792</v>
      </c>
      <c r="C128" s="71" t="s">
        <v>795</v>
      </c>
      <c r="D128" t="s">
        <v>101</v>
      </c>
      <c r="E128" s="45">
        <v>-7869</v>
      </c>
      <c r="F128" t="s">
        <v>46</v>
      </c>
      <c r="G128" t="s">
        <v>580</v>
      </c>
      <c r="H128" t="s">
        <v>438</v>
      </c>
    </row>
    <row r="129" spans="2:8" customFormat="1" ht="14.4" x14ac:dyDescent="0.3">
      <c r="B129" t="s">
        <v>796</v>
      </c>
      <c r="C129" s="71" t="s">
        <v>144</v>
      </c>
      <c r="D129" t="s">
        <v>145</v>
      </c>
      <c r="E129" s="45">
        <v>3000</v>
      </c>
      <c r="F129" t="s">
        <v>24</v>
      </c>
      <c r="G129" t="s">
        <v>107</v>
      </c>
      <c r="H129" t="s">
        <v>805</v>
      </c>
    </row>
    <row r="130" spans="2:8" customFormat="1" ht="14.4" x14ac:dyDescent="0.3">
      <c r="B130" t="s">
        <v>797</v>
      </c>
      <c r="C130" s="71" t="s">
        <v>521</v>
      </c>
      <c r="D130" t="s">
        <v>101</v>
      </c>
      <c r="E130" s="45">
        <v>-37506</v>
      </c>
      <c r="F130" t="s">
        <v>55</v>
      </c>
      <c r="G130" t="s">
        <v>586</v>
      </c>
      <c r="H130" t="s">
        <v>55</v>
      </c>
    </row>
    <row r="131" spans="2:8" customFormat="1" ht="14.4" x14ac:dyDescent="0.3">
      <c r="B131" t="s">
        <v>797</v>
      </c>
      <c r="C131" s="71" t="s">
        <v>523</v>
      </c>
      <c r="D131" t="s">
        <v>524</v>
      </c>
      <c r="E131" s="45">
        <v>37000</v>
      </c>
      <c r="F131" t="s">
        <v>285</v>
      </c>
      <c r="G131" t="s">
        <v>794</v>
      </c>
    </row>
    <row r="132" spans="2:8" customFormat="1" ht="14.4" x14ac:dyDescent="0.3">
      <c r="B132" t="s">
        <v>798</v>
      </c>
      <c r="C132" s="71" t="s">
        <v>535</v>
      </c>
      <c r="D132" t="s">
        <v>101</v>
      </c>
      <c r="E132" s="45">
        <v>-302</v>
      </c>
      <c r="F132" t="s">
        <v>46</v>
      </c>
      <c r="G132" t="s">
        <v>586</v>
      </c>
      <c r="H132" t="s">
        <v>586</v>
      </c>
    </row>
    <row r="133" spans="2:8" customFormat="1" ht="14.4" x14ac:dyDescent="0.3">
      <c r="B133" t="s">
        <v>798</v>
      </c>
      <c r="C133" s="71" t="s">
        <v>799</v>
      </c>
      <c r="D133" t="s">
        <v>101</v>
      </c>
      <c r="E133" s="45">
        <v>-8200</v>
      </c>
      <c r="F133" t="s">
        <v>43</v>
      </c>
      <c r="G133" t="s">
        <v>107</v>
      </c>
    </row>
    <row r="134" spans="2:8" customFormat="1" ht="14.4" x14ac:dyDescent="0.3">
      <c r="B134" t="s">
        <v>798</v>
      </c>
      <c r="C134" s="71" t="s">
        <v>586</v>
      </c>
      <c r="D134" t="s">
        <v>101</v>
      </c>
      <c r="E134" s="45">
        <v>-11010</v>
      </c>
      <c r="F134" t="s">
        <v>46</v>
      </c>
      <c r="G134" t="s">
        <v>586</v>
      </c>
      <c r="H134" t="s">
        <v>586</v>
      </c>
    </row>
    <row r="135" spans="2:8" customFormat="1" ht="14.4" x14ac:dyDescent="0.3">
      <c r="B135" t="s">
        <v>798</v>
      </c>
      <c r="C135" s="71" t="s">
        <v>794</v>
      </c>
      <c r="D135" t="s">
        <v>126</v>
      </c>
      <c r="E135" s="45">
        <v>20000</v>
      </c>
      <c r="F135" t="s">
        <v>285</v>
      </c>
      <c r="G135" t="s">
        <v>794</v>
      </c>
    </row>
    <row r="136" spans="2:8" customFormat="1" ht="14.4" x14ac:dyDescent="0.3">
      <c r="B136" t="s">
        <v>798</v>
      </c>
      <c r="C136" s="71" t="s">
        <v>502</v>
      </c>
      <c r="D136" t="s">
        <v>126</v>
      </c>
      <c r="E136" s="45">
        <v>-290</v>
      </c>
      <c r="F136" t="s">
        <v>39</v>
      </c>
      <c r="G136" t="s">
        <v>580</v>
      </c>
    </row>
    <row r="137" spans="2:8" customFormat="1" ht="14.4" x14ac:dyDescent="0.3">
      <c r="B137" t="s">
        <v>798</v>
      </c>
      <c r="C137" s="71" t="s">
        <v>800</v>
      </c>
      <c r="D137" t="s">
        <v>126</v>
      </c>
      <c r="E137" s="45">
        <v>-278</v>
      </c>
      <c r="F137" t="s">
        <v>39</v>
      </c>
      <c r="G137" t="s">
        <v>580</v>
      </c>
    </row>
    <row r="138" spans="2:8" customFormat="1" ht="14.4" x14ac:dyDescent="0.3">
      <c r="B138" t="s">
        <v>798</v>
      </c>
      <c r="C138" s="71" t="s">
        <v>790</v>
      </c>
      <c r="D138" t="s">
        <v>126</v>
      </c>
      <c r="E138" s="45">
        <v>-650</v>
      </c>
      <c r="F138" t="s">
        <v>759</v>
      </c>
      <c r="G138" t="s">
        <v>759</v>
      </c>
    </row>
    <row r="139" spans="2:8" customFormat="1" ht="14.4" x14ac:dyDescent="0.3">
      <c r="B139" t="s">
        <v>798</v>
      </c>
      <c r="C139" s="71" t="s">
        <v>46</v>
      </c>
      <c r="D139" t="s">
        <v>101</v>
      </c>
      <c r="E139" s="45">
        <v>-538</v>
      </c>
      <c r="F139" t="s">
        <v>46</v>
      </c>
      <c r="G139" t="s">
        <v>580</v>
      </c>
      <c r="H139" t="s">
        <v>342</v>
      </c>
    </row>
    <row r="140" spans="2:8" customFormat="1" ht="14.4" x14ac:dyDescent="0.3">
      <c r="B140" t="s">
        <v>798</v>
      </c>
      <c r="C140" s="71" t="s">
        <v>46</v>
      </c>
      <c r="D140" t="s">
        <v>101</v>
      </c>
      <c r="E140" s="45">
        <v>-549</v>
      </c>
      <c r="F140" t="s">
        <v>46</v>
      </c>
      <c r="G140" t="s">
        <v>580</v>
      </c>
      <c r="H140" t="s">
        <v>583</v>
      </c>
    </row>
    <row r="141" spans="2:8" customFormat="1" ht="14.4" x14ac:dyDescent="0.3">
      <c r="B141" t="s">
        <v>798</v>
      </c>
      <c r="C141" s="71" t="s">
        <v>46</v>
      </c>
      <c r="D141" t="s">
        <v>101</v>
      </c>
      <c r="E141" s="45">
        <v>-549</v>
      </c>
      <c r="F141" t="s">
        <v>46</v>
      </c>
      <c r="G141" t="s">
        <v>580</v>
      </c>
      <c r="H141" t="s">
        <v>583</v>
      </c>
    </row>
    <row r="142" spans="2:8" customFormat="1" ht="14.4" x14ac:dyDescent="0.3">
      <c r="B142" t="s">
        <v>798</v>
      </c>
      <c r="C142" s="71" t="s">
        <v>513</v>
      </c>
      <c r="D142" t="s">
        <v>101</v>
      </c>
      <c r="E142" s="45">
        <v>-472</v>
      </c>
      <c r="F142" t="s">
        <v>46</v>
      </c>
      <c r="G142" t="s">
        <v>586</v>
      </c>
      <c r="H142" t="s">
        <v>586</v>
      </c>
    </row>
    <row r="143" spans="2:8" customFormat="1" ht="14.4" x14ac:dyDescent="0.3">
      <c r="B143" t="s">
        <v>798</v>
      </c>
      <c r="C143" s="71" t="s">
        <v>513</v>
      </c>
      <c r="D143" t="s">
        <v>101</v>
      </c>
      <c r="E143" s="45">
        <v>-410</v>
      </c>
      <c r="F143" t="s">
        <v>46</v>
      </c>
      <c r="G143" t="s">
        <v>586</v>
      </c>
      <c r="H143" t="s">
        <v>586</v>
      </c>
    </row>
    <row r="144" spans="2:8" customFormat="1" ht="14.4" x14ac:dyDescent="0.3">
      <c r="B144" t="s">
        <v>798</v>
      </c>
      <c r="C144" s="71" t="s">
        <v>46</v>
      </c>
      <c r="D144" t="s">
        <v>101</v>
      </c>
      <c r="E144" s="45">
        <v>-628</v>
      </c>
      <c r="F144" t="s">
        <v>46</v>
      </c>
      <c r="G144" t="s">
        <v>580</v>
      </c>
      <c r="H144" t="s">
        <v>583</v>
      </c>
    </row>
    <row r="145" spans="1:9" customFormat="1" ht="14.4" x14ac:dyDescent="0.3">
      <c r="B145" t="s">
        <v>798</v>
      </c>
      <c r="C145" s="71" t="s">
        <v>46</v>
      </c>
      <c r="D145" t="s">
        <v>101</v>
      </c>
      <c r="E145" s="45">
        <v>-896</v>
      </c>
      <c r="F145" t="s">
        <v>46</v>
      </c>
      <c r="G145" t="s">
        <v>580</v>
      </c>
      <c r="H145" t="s">
        <v>583</v>
      </c>
    </row>
    <row r="146" spans="1:9" customFormat="1" ht="14.4" x14ac:dyDescent="0.3">
      <c r="B146" t="s">
        <v>801</v>
      </c>
      <c r="C146" s="71" t="s">
        <v>144</v>
      </c>
      <c r="D146" t="s">
        <v>145</v>
      </c>
      <c r="E146" s="45">
        <v>800</v>
      </c>
      <c r="F146" t="s">
        <v>52</v>
      </c>
      <c r="G146" t="s">
        <v>580</v>
      </c>
      <c r="H146" t="s">
        <v>583</v>
      </c>
    </row>
    <row r="147" spans="1:9" customFormat="1" ht="14.4" x14ac:dyDescent="0.3">
      <c r="B147" t="s">
        <v>802</v>
      </c>
      <c r="C147" s="71" t="s">
        <v>144</v>
      </c>
      <c r="D147" t="s">
        <v>145</v>
      </c>
      <c r="E147" s="45">
        <v>600</v>
      </c>
      <c r="F147" t="s">
        <v>52</v>
      </c>
      <c r="G147" t="s">
        <v>580</v>
      </c>
      <c r="H147" t="s">
        <v>593</v>
      </c>
    </row>
    <row r="148" spans="1:9" customFormat="1" ht="15" thickBot="1" x14ac:dyDescent="0.35">
      <c r="A148" s="54"/>
      <c r="B148" s="54" t="s">
        <v>802</v>
      </c>
      <c r="C148" s="73" t="s">
        <v>803</v>
      </c>
      <c r="D148" s="54" t="s">
        <v>284</v>
      </c>
      <c r="E148" s="96">
        <v>7869</v>
      </c>
      <c r="F148" s="54" t="s">
        <v>46</v>
      </c>
      <c r="G148" s="54" t="s">
        <v>580</v>
      </c>
      <c r="H148" s="54" t="s">
        <v>438</v>
      </c>
      <c r="I148" t="s">
        <v>890</v>
      </c>
    </row>
    <row r="149" spans="1:9" ht="14.4" x14ac:dyDescent="0.3">
      <c r="B149" t="s">
        <v>494</v>
      </c>
      <c r="C149" s="71" t="s">
        <v>144</v>
      </c>
      <c r="D149" t="s">
        <v>145</v>
      </c>
      <c r="E149" s="45">
        <v>900</v>
      </c>
      <c r="F149" s="30" t="s">
        <v>52</v>
      </c>
      <c r="G149" s="30" t="s">
        <v>580</v>
      </c>
      <c r="H149" s="28" t="s">
        <v>594</v>
      </c>
    </row>
    <row r="150" spans="1:9" ht="14.4" x14ac:dyDescent="0.3">
      <c r="B150" t="s">
        <v>495</v>
      </c>
      <c r="C150" s="71" t="s">
        <v>497</v>
      </c>
      <c r="D150" t="s">
        <v>101</v>
      </c>
      <c r="E150" s="45">
        <v>-8818</v>
      </c>
      <c r="F150" s="30" t="s">
        <v>46</v>
      </c>
      <c r="G150" s="30" t="s">
        <v>580</v>
      </c>
      <c r="H150" s="30" t="s">
        <v>438</v>
      </c>
    </row>
    <row r="151" spans="1:9" ht="14.4" x14ac:dyDescent="0.3">
      <c r="B151" t="s">
        <v>495</v>
      </c>
      <c r="C151" s="71" t="s">
        <v>498</v>
      </c>
      <c r="D151" t="s">
        <v>101</v>
      </c>
      <c r="E151" s="45">
        <v>-6683</v>
      </c>
      <c r="F151" s="30" t="s">
        <v>46</v>
      </c>
      <c r="G151" s="30" t="s">
        <v>580</v>
      </c>
      <c r="H151" s="30" t="s">
        <v>581</v>
      </c>
    </row>
    <row r="152" spans="1:9" ht="14.4" x14ac:dyDescent="0.3">
      <c r="B152" t="s">
        <v>495</v>
      </c>
      <c r="C152" s="71" t="s">
        <v>496</v>
      </c>
      <c r="D152" t="s">
        <v>101</v>
      </c>
      <c r="E152" s="45">
        <v>-1576</v>
      </c>
      <c r="F152" s="30" t="s">
        <v>46</v>
      </c>
      <c r="G152" s="30" t="s">
        <v>580</v>
      </c>
    </row>
    <row r="153" spans="1:9" ht="14.4" x14ac:dyDescent="0.3">
      <c r="B153" t="s">
        <v>495</v>
      </c>
      <c r="C153" s="71" t="s">
        <v>499</v>
      </c>
      <c r="D153" t="s">
        <v>126</v>
      </c>
      <c r="E153" s="45">
        <v>-1000</v>
      </c>
      <c r="F153" s="30" t="s">
        <v>36</v>
      </c>
      <c r="G153" s="30" t="s">
        <v>580</v>
      </c>
      <c r="H153" s="30" t="s">
        <v>582</v>
      </c>
    </row>
    <row r="154" spans="1:9" ht="14.4" x14ac:dyDescent="0.3">
      <c r="B154" t="s">
        <v>500</v>
      </c>
      <c r="C154" s="71" t="s">
        <v>129</v>
      </c>
      <c r="D154" t="s">
        <v>101</v>
      </c>
      <c r="E154" s="45">
        <v>-554</v>
      </c>
      <c r="F154" s="30" t="s">
        <v>46</v>
      </c>
      <c r="G154" s="30" t="s">
        <v>580</v>
      </c>
      <c r="H154" s="30" t="s">
        <v>129</v>
      </c>
    </row>
    <row r="155" spans="1:9" ht="14.4" x14ac:dyDescent="0.3">
      <c r="B155" t="s">
        <v>501</v>
      </c>
      <c r="C155" s="71" t="s">
        <v>503</v>
      </c>
      <c r="D155" t="s">
        <v>101</v>
      </c>
      <c r="E155" s="45">
        <v>-8056</v>
      </c>
      <c r="F155" s="30" t="s">
        <v>46</v>
      </c>
      <c r="G155" s="30" t="s">
        <v>580</v>
      </c>
      <c r="H155" s="30" t="s">
        <v>583</v>
      </c>
    </row>
    <row r="156" spans="1:9" ht="14.4" x14ac:dyDescent="0.3">
      <c r="B156" t="s">
        <v>501</v>
      </c>
      <c r="C156" s="71" t="s">
        <v>504</v>
      </c>
      <c r="D156" t="s">
        <v>101</v>
      </c>
      <c r="E156" s="45">
        <v>-6694</v>
      </c>
      <c r="F156" s="30" t="s">
        <v>46</v>
      </c>
      <c r="G156" s="30" t="s">
        <v>580</v>
      </c>
      <c r="H156" s="30" t="s">
        <v>342</v>
      </c>
    </row>
    <row r="157" spans="1:9" ht="14.4" x14ac:dyDescent="0.3">
      <c r="B157" t="s">
        <v>501</v>
      </c>
      <c r="C157" s="71" t="s">
        <v>505</v>
      </c>
      <c r="D157" t="s">
        <v>101</v>
      </c>
      <c r="E157" s="45">
        <v>-549</v>
      </c>
      <c r="F157" s="30" t="s">
        <v>46</v>
      </c>
      <c r="G157" s="30" t="s">
        <v>580</v>
      </c>
      <c r="H157" s="30" t="s">
        <v>117</v>
      </c>
    </row>
    <row r="158" spans="1:9" ht="14.4" x14ac:dyDescent="0.3">
      <c r="B158" t="s">
        <v>501</v>
      </c>
      <c r="C158" s="71" t="s">
        <v>502</v>
      </c>
      <c r="D158" t="s">
        <v>126</v>
      </c>
      <c r="E158" s="45">
        <v>-355</v>
      </c>
      <c r="F158" s="30" t="s">
        <v>39</v>
      </c>
      <c r="G158" s="30" t="s">
        <v>580</v>
      </c>
    </row>
    <row r="159" spans="1:9" ht="14.4" x14ac:dyDescent="0.3">
      <c r="B159" t="s">
        <v>501</v>
      </c>
      <c r="C159" s="71" t="s">
        <v>502</v>
      </c>
      <c r="D159" t="s">
        <v>126</v>
      </c>
      <c r="E159" s="45">
        <v>-290</v>
      </c>
      <c r="F159" s="30" t="s">
        <v>39</v>
      </c>
      <c r="G159" s="30" t="s">
        <v>580</v>
      </c>
    </row>
    <row r="160" spans="1:9" ht="14.4" x14ac:dyDescent="0.3">
      <c r="B160" t="s">
        <v>501</v>
      </c>
      <c r="C160" s="71" t="s">
        <v>498</v>
      </c>
      <c r="D160" t="s">
        <v>101</v>
      </c>
      <c r="E160" s="45">
        <v>-39</v>
      </c>
      <c r="F160" s="30" t="s">
        <v>46</v>
      </c>
      <c r="G160" s="30" t="s">
        <v>580</v>
      </c>
      <c r="H160" s="30" t="s">
        <v>584</v>
      </c>
    </row>
    <row r="161" spans="2:9" ht="14.4" x14ac:dyDescent="0.3">
      <c r="B161" t="s">
        <v>506</v>
      </c>
      <c r="C161" s="71" t="s">
        <v>508</v>
      </c>
      <c r="D161" t="s">
        <v>122</v>
      </c>
      <c r="E161" s="45">
        <v>-1037</v>
      </c>
      <c r="F161" s="30" t="s">
        <v>41</v>
      </c>
      <c r="G161" s="30" t="s">
        <v>580</v>
      </c>
    </row>
    <row r="162" spans="2:9" ht="14.4" x14ac:dyDescent="0.3">
      <c r="B162" t="s">
        <v>506</v>
      </c>
      <c r="C162" s="71" t="s">
        <v>507</v>
      </c>
      <c r="D162" t="s">
        <v>101</v>
      </c>
      <c r="E162" s="45">
        <v>-500</v>
      </c>
      <c r="F162" s="30" t="s">
        <v>36</v>
      </c>
      <c r="G162" s="30" t="s">
        <v>580</v>
      </c>
      <c r="H162" s="30" t="s">
        <v>342</v>
      </c>
    </row>
    <row r="163" spans="2:9" ht="14.4" x14ac:dyDescent="0.3">
      <c r="B163" t="s">
        <v>506</v>
      </c>
      <c r="C163" s="71" t="s">
        <v>144</v>
      </c>
      <c r="D163" t="s">
        <v>145</v>
      </c>
      <c r="E163" s="45">
        <v>5200</v>
      </c>
      <c r="F163" s="30" t="s">
        <v>52</v>
      </c>
      <c r="G163" s="30" t="s">
        <v>580</v>
      </c>
      <c r="H163" s="30" t="s">
        <v>584</v>
      </c>
      <c r="I163" s="30" t="s">
        <v>808</v>
      </c>
    </row>
    <row r="164" spans="2:9" ht="14.4" x14ac:dyDescent="0.3">
      <c r="B164" t="s">
        <v>509</v>
      </c>
      <c r="C164" s="71" t="s">
        <v>231</v>
      </c>
      <c r="D164" t="s">
        <v>101</v>
      </c>
      <c r="E164" s="45">
        <v>-601</v>
      </c>
      <c r="F164" s="30" t="s">
        <v>490</v>
      </c>
      <c r="G164" s="30" t="s">
        <v>107</v>
      </c>
      <c r="H164" s="30" t="s">
        <v>231</v>
      </c>
    </row>
    <row r="165" spans="2:9" ht="14.4" x14ac:dyDescent="0.3">
      <c r="B165" t="s">
        <v>510</v>
      </c>
      <c r="C165" s="71" t="s">
        <v>511</v>
      </c>
      <c r="D165" t="s">
        <v>101</v>
      </c>
      <c r="E165" s="45">
        <v>-3888</v>
      </c>
      <c r="F165" s="30" t="s">
        <v>46</v>
      </c>
      <c r="G165" s="30" t="s">
        <v>580</v>
      </c>
      <c r="H165" s="30" t="s">
        <v>129</v>
      </c>
    </row>
    <row r="166" spans="2:9" ht="14.4" x14ac:dyDescent="0.3">
      <c r="B166" t="s">
        <v>510</v>
      </c>
      <c r="C166" s="71" t="s">
        <v>512</v>
      </c>
      <c r="D166" t="s">
        <v>101</v>
      </c>
      <c r="E166" s="45">
        <v>-3458</v>
      </c>
      <c r="F166" s="30" t="s">
        <v>46</v>
      </c>
      <c r="G166" s="30" t="s">
        <v>580</v>
      </c>
      <c r="H166" s="30" t="s">
        <v>585</v>
      </c>
    </row>
    <row r="167" spans="2:9" ht="14.4" x14ac:dyDescent="0.3">
      <c r="B167" t="s">
        <v>510</v>
      </c>
      <c r="C167" s="71" t="s">
        <v>513</v>
      </c>
      <c r="D167" t="s">
        <v>101</v>
      </c>
      <c r="E167" s="45">
        <v>-1161</v>
      </c>
      <c r="F167" s="30" t="s">
        <v>46</v>
      </c>
      <c r="G167" s="30" t="s">
        <v>586</v>
      </c>
      <c r="H167" s="30" t="s">
        <v>586</v>
      </c>
    </row>
    <row r="168" spans="2:9" ht="14.4" x14ac:dyDescent="0.3">
      <c r="B168" t="s">
        <v>510</v>
      </c>
      <c r="C168" s="71" t="s">
        <v>505</v>
      </c>
      <c r="D168" t="s">
        <v>101</v>
      </c>
      <c r="E168" s="45">
        <v>-549</v>
      </c>
      <c r="F168" s="30" t="s">
        <v>46</v>
      </c>
      <c r="G168" s="30" t="s">
        <v>580</v>
      </c>
      <c r="H168" s="30" t="s">
        <v>117</v>
      </c>
    </row>
    <row r="169" spans="2:9" ht="14.4" x14ac:dyDescent="0.3">
      <c r="B169" t="s">
        <v>510</v>
      </c>
      <c r="C169" s="71" t="s">
        <v>144</v>
      </c>
      <c r="D169" t="s">
        <v>145</v>
      </c>
      <c r="E169" s="45">
        <v>600</v>
      </c>
      <c r="F169" s="30" t="s">
        <v>52</v>
      </c>
      <c r="G169" s="30" t="s">
        <v>580</v>
      </c>
      <c r="H169" s="28" t="s">
        <v>593</v>
      </c>
    </row>
    <row r="170" spans="2:9" ht="14.4" x14ac:dyDescent="0.3">
      <c r="B170" t="s">
        <v>514</v>
      </c>
      <c r="C170" s="71" t="s">
        <v>144</v>
      </c>
      <c r="D170" t="s">
        <v>145</v>
      </c>
      <c r="E170" s="45">
        <v>900</v>
      </c>
      <c r="F170" s="30" t="s">
        <v>52</v>
      </c>
      <c r="G170" s="30" t="s">
        <v>580</v>
      </c>
      <c r="H170" s="30" t="s">
        <v>586</v>
      </c>
    </row>
    <row r="171" spans="2:9" ht="14.4" x14ac:dyDescent="0.3">
      <c r="B171" t="s">
        <v>515</v>
      </c>
      <c r="C171" s="71" t="s">
        <v>231</v>
      </c>
      <c r="D171" t="s">
        <v>101</v>
      </c>
      <c r="E171" s="45">
        <v>-1060</v>
      </c>
      <c r="F171" s="30" t="s">
        <v>490</v>
      </c>
      <c r="G171" s="30" t="s">
        <v>107</v>
      </c>
      <c r="H171" s="30" t="s">
        <v>231</v>
      </c>
    </row>
    <row r="172" spans="2:9" ht="14.4" x14ac:dyDescent="0.3">
      <c r="B172" t="s">
        <v>515</v>
      </c>
      <c r="C172" s="71" t="s">
        <v>502</v>
      </c>
      <c r="D172" t="s">
        <v>126</v>
      </c>
      <c r="E172" s="45">
        <v>-425</v>
      </c>
      <c r="F172" s="30" t="s">
        <v>39</v>
      </c>
      <c r="G172" s="30" t="s">
        <v>580</v>
      </c>
    </row>
    <row r="173" spans="2:9" ht="14.4" x14ac:dyDescent="0.3">
      <c r="B173" t="s">
        <v>515</v>
      </c>
      <c r="C173" s="71" t="s">
        <v>516</v>
      </c>
      <c r="D173" t="s">
        <v>101</v>
      </c>
      <c r="E173" s="45">
        <v>-92</v>
      </c>
      <c r="F173" s="30" t="s">
        <v>46</v>
      </c>
      <c r="G173" s="30" t="s">
        <v>586</v>
      </c>
      <c r="H173" s="30" t="s">
        <v>586</v>
      </c>
    </row>
    <row r="174" spans="2:9" ht="14.4" x14ac:dyDescent="0.3">
      <c r="B174" t="s">
        <v>515</v>
      </c>
      <c r="C174" s="71" t="s">
        <v>144</v>
      </c>
      <c r="D174" t="s">
        <v>145</v>
      </c>
      <c r="E174" s="45">
        <v>3200</v>
      </c>
      <c r="F174" s="30" t="s">
        <v>52</v>
      </c>
      <c r="G174" s="30" t="s">
        <v>580</v>
      </c>
      <c r="H174" s="30" t="s">
        <v>586</v>
      </c>
    </row>
    <row r="175" spans="2:9" ht="14.4" x14ac:dyDescent="0.3">
      <c r="B175" t="s">
        <v>517</v>
      </c>
      <c r="C175" s="71" t="s">
        <v>144</v>
      </c>
      <c r="D175" t="s">
        <v>145</v>
      </c>
      <c r="E175" s="45">
        <v>3278</v>
      </c>
      <c r="F175" s="30" t="s">
        <v>587</v>
      </c>
      <c r="G175" s="30" t="s">
        <v>107</v>
      </c>
      <c r="H175" s="28" t="s">
        <v>594</v>
      </c>
      <c r="I175" s="30" t="s">
        <v>588</v>
      </c>
    </row>
    <row r="176" spans="2:9" ht="14.4" x14ac:dyDescent="0.3">
      <c r="B176" t="s">
        <v>518</v>
      </c>
      <c r="C176" s="71" t="s">
        <v>519</v>
      </c>
      <c r="D176" t="s">
        <v>126</v>
      </c>
      <c r="E176" s="45">
        <v>-290</v>
      </c>
      <c r="F176" s="30" t="s">
        <v>39</v>
      </c>
      <c r="G176" s="30" t="s">
        <v>580</v>
      </c>
    </row>
    <row r="177" spans="2:8" ht="14.4" x14ac:dyDescent="0.3">
      <c r="B177" t="s">
        <v>518</v>
      </c>
      <c r="C177" s="71" t="s">
        <v>144</v>
      </c>
      <c r="D177" t="s">
        <v>145</v>
      </c>
      <c r="E177" s="45">
        <v>6000</v>
      </c>
      <c r="F177" s="30" t="s">
        <v>52</v>
      </c>
      <c r="G177" s="30" t="s">
        <v>580</v>
      </c>
      <c r="H177" s="28" t="s">
        <v>592</v>
      </c>
    </row>
    <row r="178" spans="2:8" ht="14.4" x14ac:dyDescent="0.3">
      <c r="B178" t="s">
        <v>520</v>
      </c>
      <c r="C178" s="71" t="s">
        <v>521</v>
      </c>
      <c r="D178" t="s">
        <v>101</v>
      </c>
      <c r="E178" s="45">
        <v>-37498</v>
      </c>
      <c r="F178" s="30" t="s">
        <v>55</v>
      </c>
      <c r="G178" s="30" t="s">
        <v>586</v>
      </c>
      <c r="H178" s="30" t="s">
        <v>55</v>
      </c>
    </row>
    <row r="179" spans="2:8" ht="14.4" x14ac:dyDescent="0.3">
      <c r="B179" t="s">
        <v>520</v>
      </c>
      <c r="C179" s="71" t="s">
        <v>522</v>
      </c>
      <c r="D179" t="s">
        <v>101</v>
      </c>
      <c r="E179" s="45">
        <v>-13650</v>
      </c>
      <c r="F179" s="30" t="s">
        <v>36</v>
      </c>
      <c r="G179" s="30" t="s">
        <v>580</v>
      </c>
      <c r="H179" s="30" t="s">
        <v>582</v>
      </c>
    </row>
    <row r="180" spans="2:8" ht="14.4" x14ac:dyDescent="0.3">
      <c r="B180" t="s">
        <v>520</v>
      </c>
      <c r="C180" s="71" t="s">
        <v>502</v>
      </c>
      <c r="D180" t="s">
        <v>126</v>
      </c>
      <c r="E180" s="45">
        <v>-225</v>
      </c>
      <c r="F180" s="30" t="s">
        <v>39</v>
      </c>
      <c r="G180" s="30" t="s">
        <v>580</v>
      </c>
    </row>
    <row r="181" spans="2:8" ht="14.4" x14ac:dyDescent="0.3">
      <c r="B181" t="s">
        <v>520</v>
      </c>
      <c r="C181" s="71" t="s">
        <v>144</v>
      </c>
      <c r="D181" t="s">
        <v>145</v>
      </c>
      <c r="E181" s="45">
        <v>900</v>
      </c>
      <c r="F181" s="30" t="s">
        <v>52</v>
      </c>
      <c r="G181" s="30" t="s">
        <v>580</v>
      </c>
      <c r="H181" s="28" t="s">
        <v>594</v>
      </c>
    </row>
    <row r="182" spans="2:8" ht="14.4" x14ac:dyDescent="0.3">
      <c r="B182" t="s">
        <v>520</v>
      </c>
      <c r="C182" s="71" t="s">
        <v>523</v>
      </c>
      <c r="D182" t="s">
        <v>524</v>
      </c>
      <c r="E182" s="45">
        <v>65000</v>
      </c>
      <c r="F182" s="30" t="s">
        <v>285</v>
      </c>
      <c r="G182" t="s">
        <v>794</v>
      </c>
      <c r="H182" s="30" t="s">
        <v>285</v>
      </c>
    </row>
    <row r="183" spans="2:8" ht="14.4" x14ac:dyDescent="0.3">
      <c r="B183" t="s">
        <v>525</v>
      </c>
      <c r="C183" s="71" t="s">
        <v>526</v>
      </c>
      <c r="D183" t="s">
        <v>122</v>
      </c>
      <c r="E183" s="45">
        <v>-4750</v>
      </c>
      <c r="F183" s="30" t="s">
        <v>154</v>
      </c>
      <c r="G183" s="30" t="s">
        <v>580</v>
      </c>
      <c r="H183" s="30" t="s">
        <v>589</v>
      </c>
    </row>
    <row r="184" spans="2:8" ht="14.4" x14ac:dyDescent="0.3">
      <c r="B184" t="s">
        <v>525</v>
      </c>
      <c r="C184" s="71" t="s">
        <v>527</v>
      </c>
      <c r="D184" t="s">
        <v>126</v>
      </c>
      <c r="E184" s="45">
        <v>-343</v>
      </c>
      <c r="F184" s="30" t="s">
        <v>39</v>
      </c>
      <c r="G184" s="30" t="s">
        <v>580</v>
      </c>
    </row>
    <row r="185" spans="2:8" ht="14.4" x14ac:dyDescent="0.3">
      <c r="B185" t="s">
        <v>525</v>
      </c>
      <c r="C185" s="71" t="s">
        <v>144</v>
      </c>
      <c r="D185" t="s">
        <v>145</v>
      </c>
      <c r="E185" s="45">
        <v>3300</v>
      </c>
      <c r="F185" s="30" t="s">
        <v>52</v>
      </c>
      <c r="G185" s="30" t="s">
        <v>580</v>
      </c>
      <c r="H185" s="28" t="s">
        <v>595</v>
      </c>
    </row>
    <row r="186" spans="2:8" ht="14.4" x14ac:dyDescent="0.3">
      <c r="B186" t="s">
        <v>528</v>
      </c>
      <c r="C186" s="71" t="s">
        <v>529</v>
      </c>
      <c r="D186" t="s">
        <v>101</v>
      </c>
      <c r="E186" s="45">
        <v>-549</v>
      </c>
      <c r="F186" s="30" t="s">
        <v>46</v>
      </c>
      <c r="G186" s="30" t="s">
        <v>580</v>
      </c>
      <c r="H186" s="30" t="s">
        <v>117</v>
      </c>
    </row>
    <row r="187" spans="2:8" ht="14.4" x14ac:dyDescent="0.3">
      <c r="B187" t="s">
        <v>528</v>
      </c>
      <c r="C187" s="71" t="s">
        <v>513</v>
      </c>
      <c r="D187" t="s">
        <v>101</v>
      </c>
      <c r="E187" s="45">
        <v>-401</v>
      </c>
      <c r="F187" s="30" t="s">
        <v>46</v>
      </c>
      <c r="G187" s="30" t="s">
        <v>586</v>
      </c>
      <c r="H187" s="30" t="s">
        <v>586</v>
      </c>
    </row>
    <row r="188" spans="2:8" ht="14.4" x14ac:dyDescent="0.3">
      <c r="B188" t="s">
        <v>528</v>
      </c>
      <c r="C188" s="71" t="s">
        <v>144</v>
      </c>
      <c r="D188" t="s">
        <v>145</v>
      </c>
      <c r="E188" s="45">
        <v>4500</v>
      </c>
      <c r="F188" s="30" t="s">
        <v>52</v>
      </c>
      <c r="G188" s="30" t="s">
        <v>580</v>
      </c>
      <c r="H188" s="28" t="s">
        <v>251</v>
      </c>
    </row>
    <row r="189" spans="2:8" ht="14.4" x14ac:dyDescent="0.3">
      <c r="B189" t="s">
        <v>530</v>
      </c>
      <c r="C189" s="71" t="s">
        <v>144</v>
      </c>
      <c r="D189" t="s">
        <v>145</v>
      </c>
      <c r="E189" s="45">
        <v>3900</v>
      </c>
      <c r="F189" s="30" t="s">
        <v>52</v>
      </c>
      <c r="G189" s="30" t="s">
        <v>580</v>
      </c>
      <c r="H189" s="28" t="s">
        <v>593</v>
      </c>
    </row>
    <row r="190" spans="2:8" ht="14.4" x14ac:dyDescent="0.3">
      <c r="B190" t="s">
        <v>531</v>
      </c>
      <c r="C190" s="71" t="s">
        <v>532</v>
      </c>
      <c r="D190" t="s">
        <v>126</v>
      </c>
      <c r="E190" s="45">
        <v>-1800</v>
      </c>
      <c r="F190" s="30" t="s">
        <v>36</v>
      </c>
      <c r="G190" s="30" t="s">
        <v>580</v>
      </c>
      <c r="H190" s="30" t="s">
        <v>590</v>
      </c>
    </row>
    <row r="191" spans="2:8" ht="14.4" x14ac:dyDescent="0.3">
      <c r="B191" t="s">
        <v>531</v>
      </c>
      <c r="C191" s="71" t="s">
        <v>533</v>
      </c>
      <c r="D191" t="s">
        <v>126</v>
      </c>
      <c r="E191" s="45">
        <v>-290</v>
      </c>
      <c r="F191" s="30" t="s">
        <v>39</v>
      </c>
      <c r="G191" s="30" t="s">
        <v>580</v>
      </c>
    </row>
    <row r="192" spans="2:8" ht="14.4" x14ac:dyDescent="0.3">
      <c r="B192" t="s">
        <v>531</v>
      </c>
      <c r="C192" s="71" t="s">
        <v>144</v>
      </c>
      <c r="D192" t="s">
        <v>145</v>
      </c>
      <c r="E192" s="45">
        <v>1500</v>
      </c>
      <c r="F192" s="30" t="s">
        <v>52</v>
      </c>
      <c r="G192" s="30" t="s">
        <v>580</v>
      </c>
      <c r="H192" s="28" t="s">
        <v>594</v>
      </c>
    </row>
    <row r="193" spans="2:9" ht="14.4" x14ac:dyDescent="0.3">
      <c r="B193" t="s">
        <v>534</v>
      </c>
      <c r="C193" s="71" t="s">
        <v>154</v>
      </c>
      <c r="D193" t="s">
        <v>101</v>
      </c>
      <c r="E193" s="45">
        <v>-8700</v>
      </c>
      <c r="F193" s="30" t="s">
        <v>154</v>
      </c>
      <c r="G193" s="30" t="s">
        <v>107</v>
      </c>
      <c r="H193" s="30" t="s">
        <v>902</v>
      </c>
    </row>
    <row r="194" spans="2:9" ht="14.4" x14ac:dyDescent="0.3">
      <c r="B194" t="s">
        <v>534</v>
      </c>
      <c r="C194" s="71" t="s">
        <v>536</v>
      </c>
      <c r="D194" t="s">
        <v>101</v>
      </c>
      <c r="E194" s="45">
        <v>-4500</v>
      </c>
      <c r="F194" s="30" t="s">
        <v>32</v>
      </c>
      <c r="G194" s="30" t="s">
        <v>107</v>
      </c>
      <c r="I194" s="30" t="s">
        <v>806</v>
      </c>
    </row>
    <row r="195" spans="2:9" ht="14.4" x14ac:dyDescent="0.3">
      <c r="B195" t="s">
        <v>534</v>
      </c>
      <c r="C195" s="71" t="s">
        <v>537</v>
      </c>
      <c r="D195" t="s">
        <v>101</v>
      </c>
      <c r="E195" s="45">
        <v>-1250</v>
      </c>
      <c r="F195" s="30" t="s">
        <v>35</v>
      </c>
      <c r="G195" s="30" t="s">
        <v>580</v>
      </c>
    </row>
    <row r="196" spans="2:9" ht="14.4" x14ac:dyDescent="0.3">
      <c r="B196" t="s">
        <v>534</v>
      </c>
      <c r="C196" s="71" t="s">
        <v>535</v>
      </c>
      <c r="D196" t="s">
        <v>101</v>
      </c>
      <c r="E196" s="45">
        <v>-496</v>
      </c>
      <c r="F196" s="30" t="s">
        <v>46</v>
      </c>
      <c r="G196" s="30" t="s">
        <v>586</v>
      </c>
      <c r="H196" s="30" t="s">
        <v>586</v>
      </c>
    </row>
    <row r="197" spans="2:9" ht="14.4" x14ac:dyDescent="0.3">
      <c r="B197" t="s">
        <v>534</v>
      </c>
      <c r="C197" s="71" t="s">
        <v>538</v>
      </c>
      <c r="D197" t="s">
        <v>126</v>
      </c>
      <c r="E197" s="45">
        <v>-295</v>
      </c>
      <c r="F197" s="30" t="s">
        <v>39</v>
      </c>
      <c r="G197" s="30" t="s">
        <v>580</v>
      </c>
    </row>
    <row r="198" spans="2:9" ht="14.4" x14ac:dyDescent="0.3">
      <c r="B198" t="s">
        <v>534</v>
      </c>
      <c r="C198" s="71" t="s">
        <v>538</v>
      </c>
      <c r="D198" t="s">
        <v>126</v>
      </c>
      <c r="E198" s="45">
        <v>-230</v>
      </c>
      <c r="F198" s="30" t="s">
        <v>39</v>
      </c>
      <c r="G198" s="30" t="s">
        <v>580</v>
      </c>
    </row>
    <row r="199" spans="2:9" ht="14.4" x14ac:dyDescent="0.3">
      <c r="B199" t="s">
        <v>534</v>
      </c>
      <c r="C199" s="71" t="s">
        <v>144</v>
      </c>
      <c r="D199" t="s">
        <v>145</v>
      </c>
      <c r="E199" s="45">
        <v>1200</v>
      </c>
      <c r="F199" s="30" t="s">
        <v>52</v>
      </c>
      <c r="G199" s="30" t="s">
        <v>580</v>
      </c>
      <c r="H199" s="28" t="s">
        <v>594</v>
      </c>
    </row>
    <row r="200" spans="2:9" ht="14.4" x14ac:dyDescent="0.3">
      <c r="B200" t="s">
        <v>539</v>
      </c>
      <c r="C200" s="71" t="s">
        <v>144</v>
      </c>
      <c r="D200" t="s">
        <v>145</v>
      </c>
      <c r="E200" s="45">
        <v>5400</v>
      </c>
      <c r="F200" s="30" t="s">
        <v>52</v>
      </c>
      <c r="G200" s="30" t="s">
        <v>580</v>
      </c>
      <c r="H200" s="28" t="s">
        <v>438</v>
      </c>
    </row>
    <row r="201" spans="2:9" ht="14.4" x14ac:dyDescent="0.3">
      <c r="B201" t="s">
        <v>540</v>
      </c>
      <c r="C201" s="71" t="s">
        <v>544</v>
      </c>
      <c r="D201" t="s">
        <v>101</v>
      </c>
      <c r="E201" s="45">
        <v>-32872</v>
      </c>
      <c r="F201" s="30" t="s">
        <v>46</v>
      </c>
      <c r="G201" s="28" t="s">
        <v>107</v>
      </c>
      <c r="H201" s="28" t="s">
        <v>591</v>
      </c>
    </row>
    <row r="202" spans="2:9" ht="14.4" x14ac:dyDescent="0.3">
      <c r="B202" t="s">
        <v>540</v>
      </c>
      <c r="C202" s="71" t="s">
        <v>542</v>
      </c>
      <c r="D202" t="s">
        <v>101</v>
      </c>
      <c r="E202" s="45">
        <v>-610</v>
      </c>
      <c r="F202" s="30" t="s">
        <v>46</v>
      </c>
      <c r="G202" s="30" t="s">
        <v>580</v>
      </c>
      <c r="H202" s="30" t="s">
        <v>117</v>
      </c>
    </row>
    <row r="203" spans="2:9" ht="14.4" x14ac:dyDescent="0.3">
      <c r="B203" t="s">
        <v>540</v>
      </c>
      <c r="C203" s="71" t="s">
        <v>541</v>
      </c>
      <c r="D203" t="s">
        <v>101</v>
      </c>
      <c r="E203" s="45">
        <v>-550</v>
      </c>
      <c r="F203" s="30" t="s">
        <v>46</v>
      </c>
      <c r="G203" s="30" t="s">
        <v>580</v>
      </c>
      <c r="H203" s="30" t="s">
        <v>117</v>
      </c>
    </row>
    <row r="204" spans="2:9" ht="14.4" x14ac:dyDescent="0.3">
      <c r="B204" t="s">
        <v>540</v>
      </c>
      <c r="C204" s="71" t="s">
        <v>543</v>
      </c>
      <c r="D204" t="s">
        <v>101</v>
      </c>
      <c r="E204" s="45">
        <v>-550</v>
      </c>
      <c r="F204" s="30" t="s">
        <v>46</v>
      </c>
      <c r="G204" s="30" t="s">
        <v>580</v>
      </c>
      <c r="H204" s="30" t="s">
        <v>117</v>
      </c>
    </row>
    <row r="205" spans="2:9" ht="14.4" x14ac:dyDescent="0.3">
      <c r="B205" t="s">
        <v>540</v>
      </c>
      <c r="C205" s="71" t="s">
        <v>144</v>
      </c>
      <c r="D205" t="s">
        <v>145</v>
      </c>
      <c r="E205" s="45">
        <v>13512.5</v>
      </c>
      <c r="F205" s="30" t="s">
        <v>20</v>
      </c>
      <c r="G205" s="30" t="s">
        <v>580</v>
      </c>
    </row>
    <row r="206" spans="2:9" ht="14.4" x14ac:dyDescent="0.3">
      <c r="B206" t="s">
        <v>545</v>
      </c>
      <c r="C206" s="71" t="s">
        <v>546</v>
      </c>
      <c r="D206" t="s">
        <v>285</v>
      </c>
      <c r="E206" s="45">
        <v>-8325</v>
      </c>
      <c r="F206" s="30" t="s">
        <v>36</v>
      </c>
      <c r="G206" s="30" t="s">
        <v>580</v>
      </c>
      <c r="H206" s="30" t="s">
        <v>438</v>
      </c>
    </row>
    <row r="207" spans="2:9" ht="14.4" x14ac:dyDescent="0.3">
      <c r="B207" t="s">
        <v>547</v>
      </c>
      <c r="C207" s="71" t="s">
        <v>544</v>
      </c>
      <c r="D207" t="s">
        <v>101</v>
      </c>
      <c r="E207" s="45">
        <v>-2800</v>
      </c>
      <c r="F207" s="30" t="s">
        <v>46</v>
      </c>
      <c r="G207" s="28" t="s">
        <v>107</v>
      </c>
      <c r="H207" s="28" t="s">
        <v>46</v>
      </c>
    </row>
    <row r="208" spans="2:9" ht="14.4" x14ac:dyDescent="0.3">
      <c r="B208" t="s">
        <v>547</v>
      </c>
      <c r="C208" s="71" t="s">
        <v>548</v>
      </c>
      <c r="D208" t="s">
        <v>101</v>
      </c>
      <c r="E208" s="45">
        <v>-1920</v>
      </c>
      <c r="F208" s="30" t="s">
        <v>36</v>
      </c>
      <c r="G208" s="30" t="s">
        <v>580</v>
      </c>
      <c r="H208" s="30" t="s">
        <v>590</v>
      </c>
    </row>
    <row r="209" spans="2:8" ht="14.4" x14ac:dyDescent="0.3">
      <c r="B209" t="s">
        <v>547</v>
      </c>
      <c r="C209" s="71" t="s">
        <v>544</v>
      </c>
      <c r="D209" t="s">
        <v>101</v>
      </c>
      <c r="E209" s="45">
        <v>-380</v>
      </c>
      <c r="F209" s="30" t="s">
        <v>46</v>
      </c>
      <c r="G209" s="28" t="s">
        <v>586</v>
      </c>
      <c r="H209" s="28" t="s">
        <v>586</v>
      </c>
    </row>
    <row r="210" spans="2:8" ht="14.4" x14ac:dyDescent="0.3">
      <c r="B210" t="s">
        <v>549</v>
      </c>
      <c r="C210" s="71" t="s">
        <v>144</v>
      </c>
      <c r="D210" t="s">
        <v>145</v>
      </c>
      <c r="E210" s="45">
        <v>32240</v>
      </c>
      <c r="F210" s="30" t="s">
        <v>20</v>
      </c>
      <c r="G210" s="30" t="s">
        <v>580</v>
      </c>
    </row>
    <row r="211" spans="2:8" ht="14.4" x14ac:dyDescent="0.3">
      <c r="B211" t="s">
        <v>550</v>
      </c>
      <c r="C211" s="71" t="s">
        <v>449</v>
      </c>
      <c r="D211" t="s">
        <v>101</v>
      </c>
      <c r="E211" s="45">
        <v>-152</v>
      </c>
      <c r="F211" s="30" t="s">
        <v>46</v>
      </c>
      <c r="G211" s="30" t="s">
        <v>586</v>
      </c>
      <c r="H211" s="30" t="s">
        <v>586</v>
      </c>
    </row>
    <row r="212" spans="2:8" ht="14.4" x14ac:dyDescent="0.3">
      <c r="B212" t="s">
        <v>551</v>
      </c>
      <c r="C212" s="71" t="s">
        <v>552</v>
      </c>
      <c r="D212" t="s">
        <v>101</v>
      </c>
      <c r="E212" s="45">
        <v>-1599</v>
      </c>
      <c r="F212" s="30" t="s">
        <v>46</v>
      </c>
      <c r="G212" s="30" t="s">
        <v>586</v>
      </c>
      <c r="H212" s="30" t="s">
        <v>586</v>
      </c>
    </row>
    <row r="213" spans="2:8" ht="14.4" x14ac:dyDescent="0.3">
      <c r="B213" t="s">
        <v>553</v>
      </c>
      <c r="C213" s="71" t="s">
        <v>554</v>
      </c>
      <c r="D213" t="s">
        <v>101</v>
      </c>
      <c r="E213" s="45">
        <v>-900</v>
      </c>
      <c r="F213" s="30" t="s">
        <v>35</v>
      </c>
      <c r="G213" s="30" t="s">
        <v>580</v>
      </c>
    </row>
    <row r="214" spans="2:8" ht="14.4" x14ac:dyDescent="0.3">
      <c r="B214" t="s">
        <v>555</v>
      </c>
      <c r="C214" s="71" t="s">
        <v>556</v>
      </c>
      <c r="D214" t="s">
        <v>101</v>
      </c>
      <c r="E214" s="45">
        <v>-639</v>
      </c>
      <c r="F214" s="30" t="s">
        <v>39</v>
      </c>
      <c r="G214" s="30" t="s">
        <v>586</v>
      </c>
      <c r="H214" s="30"/>
    </row>
    <row r="215" spans="2:8" ht="14.4" x14ac:dyDescent="0.3">
      <c r="B215" t="s">
        <v>557</v>
      </c>
      <c r="C215" s="71" t="s">
        <v>558</v>
      </c>
      <c r="D215" t="s">
        <v>101</v>
      </c>
      <c r="E215" s="45">
        <v>-392</v>
      </c>
      <c r="F215" s="30" t="s">
        <v>46</v>
      </c>
      <c r="G215" s="30" t="s">
        <v>586</v>
      </c>
      <c r="H215" s="30" t="s">
        <v>586</v>
      </c>
    </row>
    <row r="216" spans="2:8" ht="14.4" x14ac:dyDescent="0.3">
      <c r="B216" t="s">
        <v>559</v>
      </c>
      <c r="C216" s="71" t="s">
        <v>45</v>
      </c>
      <c r="D216" t="s">
        <v>101</v>
      </c>
      <c r="E216" s="45">
        <v>-16965</v>
      </c>
      <c r="F216" s="30" t="s">
        <v>45</v>
      </c>
      <c r="G216" s="30" t="s">
        <v>107</v>
      </c>
    </row>
    <row r="217" spans="2:8" ht="14.4" x14ac:dyDescent="0.3">
      <c r="B217" t="s">
        <v>559</v>
      </c>
      <c r="C217" s="71" t="s">
        <v>560</v>
      </c>
      <c r="D217" t="s">
        <v>101</v>
      </c>
      <c r="E217" s="45">
        <v>-15800</v>
      </c>
      <c r="F217" s="30" t="s">
        <v>38</v>
      </c>
      <c r="G217" s="30" t="s">
        <v>580</v>
      </c>
    </row>
    <row r="218" spans="2:8" ht="14.4" x14ac:dyDescent="0.3">
      <c r="B218" t="s">
        <v>559</v>
      </c>
      <c r="C218" s="71" t="s">
        <v>137</v>
      </c>
      <c r="D218" t="s">
        <v>122</v>
      </c>
      <c r="E218" s="45">
        <v>-600</v>
      </c>
      <c r="F218" s="30" t="s">
        <v>490</v>
      </c>
      <c r="G218" s="30" t="s">
        <v>107</v>
      </c>
    </row>
    <row r="219" spans="2:8" ht="14.4" x14ac:dyDescent="0.3">
      <c r="B219" t="s">
        <v>561</v>
      </c>
      <c r="C219" s="71" t="s">
        <v>144</v>
      </c>
      <c r="D219" t="s">
        <v>145</v>
      </c>
      <c r="E219" s="45">
        <v>15800</v>
      </c>
      <c r="F219" s="30" t="s">
        <v>38</v>
      </c>
      <c r="G219" s="30" t="s">
        <v>580</v>
      </c>
    </row>
    <row r="220" spans="2:8" ht="14.4" x14ac:dyDescent="0.3">
      <c r="B220" t="s">
        <v>562</v>
      </c>
      <c r="C220" s="71" t="s">
        <v>563</v>
      </c>
      <c r="D220" t="s">
        <v>101</v>
      </c>
      <c r="E220" s="45">
        <v>-330</v>
      </c>
      <c r="F220" s="30" t="s">
        <v>46</v>
      </c>
      <c r="G220" s="30" t="s">
        <v>586</v>
      </c>
      <c r="H220" s="30" t="s">
        <v>586</v>
      </c>
    </row>
    <row r="221" spans="2:8" ht="14.4" x14ac:dyDescent="0.3">
      <c r="B221" t="s">
        <v>564</v>
      </c>
      <c r="C221" s="71" t="s">
        <v>565</v>
      </c>
      <c r="D221" t="s">
        <v>101</v>
      </c>
      <c r="E221" s="45">
        <v>-7260</v>
      </c>
      <c r="F221" s="30" t="s">
        <v>46</v>
      </c>
      <c r="G221" s="28" t="s">
        <v>586</v>
      </c>
      <c r="H221" s="28" t="s">
        <v>586</v>
      </c>
    </row>
    <row r="222" spans="2:8" ht="14.4" x14ac:dyDescent="0.3">
      <c r="B222" t="s">
        <v>566</v>
      </c>
      <c r="C222" s="71" t="s">
        <v>567</v>
      </c>
      <c r="D222" t="s">
        <v>101</v>
      </c>
      <c r="E222" s="45">
        <v>-1020</v>
      </c>
      <c r="F222" s="30" t="s">
        <v>43</v>
      </c>
      <c r="G222" s="30" t="s">
        <v>586</v>
      </c>
      <c r="H222" s="30" t="s">
        <v>586</v>
      </c>
    </row>
    <row r="223" spans="2:8" ht="14.4" x14ac:dyDescent="0.3">
      <c r="B223" t="s">
        <v>568</v>
      </c>
      <c r="C223" s="71" t="s">
        <v>569</v>
      </c>
      <c r="D223" t="s">
        <v>126</v>
      </c>
      <c r="E223" s="45">
        <v>-900</v>
      </c>
      <c r="F223" s="30" t="s">
        <v>36</v>
      </c>
      <c r="G223" s="30" t="s">
        <v>580</v>
      </c>
      <c r="H223" s="30" t="s">
        <v>438</v>
      </c>
    </row>
    <row r="224" spans="2:8" ht="14.4" x14ac:dyDescent="0.3">
      <c r="B224" t="s">
        <v>570</v>
      </c>
      <c r="C224" s="71" t="s">
        <v>571</v>
      </c>
      <c r="D224" t="s">
        <v>122</v>
      </c>
      <c r="E224" s="45">
        <v>-250</v>
      </c>
      <c r="F224" s="30" t="s">
        <v>32</v>
      </c>
      <c r="G224" s="30" t="s">
        <v>107</v>
      </c>
    </row>
    <row r="225" spans="2:8" ht="14.4" x14ac:dyDescent="0.3">
      <c r="B225" t="s">
        <v>570</v>
      </c>
      <c r="C225" s="71" t="s">
        <v>226</v>
      </c>
      <c r="D225" t="s">
        <v>101</v>
      </c>
      <c r="E225" s="45">
        <v>-144</v>
      </c>
      <c r="F225" s="30" t="s">
        <v>46</v>
      </c>
      <c r="G225" s="30" t="s">
        <v>586</v>
      </c>
      <c r="H225" s="30" t="s">
        <v>586</v>
      </c>
    </row>
    <row r="226" spans="2:8" ht="14.4" x14ac:dyDescent="0.3">
      <c r="B226" t="s">
        <v>572</v>
      </c>
      <c r="C226" s="71" t="s">
        <v>575</v>
      </c>
      <c r="D226" t="s">
        <v>126</v>
      </c>
      <c r="E226" s="45">
        <v>-1000</v>
      </c>
      <c r="F226" s="30" t="s">
        <v>36</v>
      </c>
      <c r="G226" s="30" t="s">
        <v>580</v>
      </c>
      <c r="H226" s="30" t="s">
        <v>129</v>
      </c>
    </row>
    <row r="227" spans="2:8" ht="14.4" x14ac:dyDescent="0.3">
      <c r="B227" t="s">
        <v>572</v>
      </c>
      <c r="C227" s="71" t="s">
        <v>573</v>
      </c>
      <c r="D227" t="s">
        <v>574</v>
      </c>
      <c r="E227" s="45">
        <v>-780</v>
      </c>
      <c r="F227" s="30" t="s">
        <v>32</v>
      </c>
      <c r="G227" s="30" t="s">
        <v>107</v>
      </c>
    </row>
    <row r="228" spans="2:8" ht="14.4" x14ac:dyDescent="0.3">
      <c r="B228" t="s">
        <v>576</v>
      </c>
      <c r="C228" s="71" t="s">
        <v>577</v>
      </c>
      <c r="D228" t="s">
        <v>101</v>
      </c>
      <c r="E228" s="45">
        <v>-5000</v>
      </c>
      <c r="F228" s="30" t="s">
        <v>154</v>
      </c>
      <c r="G228" s="30" t="s">
        <v>107</v>
      </c>
      <c r="H228" s="30" t="s">
        <v>901</v>
      </c>
    </row>
    <row r="229" spans="2:8" ht="14.4" x14ac:dyDescent="0.3">
      <c r="B229" t="s">
        <v>576</v>
      </c>
      <c r="C229" s="71" t="s">
        <v>578</v>
      </c>
      <c r="D229" t="s">
        <v>101</v>
      </c>
      <c r="E229" s="45">
        <v>-980</v>
      </c>
      <c r="F229" s="30" t="s">
        <v>154</v>
      </c>
      <c r="G229" s="30" t="s">
        <v>586</v>
      </c>
      <c r="H229" s="30" t="s">
        <v>586</v>
      </c>
    </row>
    <row r="230" spans="2:8" ht="14.4" x14ac:dyDescent="0.3">
      <c r="B230" t="s">
        <v>576</v>
      </c>
      <c r="C230" s="71" t="s">
        <v>449</v>
      </c>
      <c r="D230" t="s">
        <v>101</v>
      </c>
      <c r="E230" s="45">
        <v>-76</v>
      </c>
      <c r="F230" s="30" t="s">
        <v>46</v>
      </c>
      <c r="G230" s="30" t="s">
        <v>586</v>
      </c>
      <c r="H230" s="30" t="s">
        <v>586</v>
      </c>
    </row>
    <row r="231" spans="2:8" ht="14.4" x14ac:dyDescent="0.3">
      <c r="B231" t="s">
        <v>576</v>
      </c>
      <c r="C231" s="71" t="s">
        <v>579</v>
      </c>
      <c r="D231" t="s">
        <v>101</v>
      </c>
      <c r="E231" s="45">
        <v>-70</v>
      </c>
      <c r="F231" s="30" t="s">
        <v>154</v>
      </c>
      <c r="G231" s="30" t="s">
        <v>580</v>
      </c>
    </row>
  </sheetData>
  <autoFilter ref="A1:J231" xr:uid="{00000000-0009-0000-0000-000035000000}"/>
  <pageMargins left="0.75" right="0.75" top="1" bottom="1" header="0.5" footer="0.5"/>
  <pageSetup orientation="portrait" horizontalDpi="300" verticalDpi="300" r:id="rId1"/>
  <headerFooter alignWithMargins="0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B1:D16"/>
  <sheetViews>
    <sheetView workbookViewId="0">
      <selection activeCell="D11" sqref="D11"/>
    </sheetView>
  </sheetViews>
  <sheetFormatPr defaultRowHeight="14.4" x14ac:dyDescent="0.3"/>
  <cols>
    <col min="2" max="2" width="20.88671875" bestFit="1" customWidth="1"/>
    <col min="3" max="4" width="10" bestFit="1" customWidth="1"/>
  </cols>
  <sheetData>
    <row r="1" spans="2:4" ht="15" thickBot="1" x14ac:dyDescent="0.35"/>
    <row r="2" spans="2:4" ht="15" thickBot="1" x14ac:dyDescent="0.35">
      <c r="B2" s="304" t="s">
        <v>892</v>
      </c>
      <c r="C2" s="305"/>
      <c r="D2" s="306"/>
    </row>
    <row r="3" spans="2:4" ht="15" thickBot="1" x14ac:dyDescent="0.35">
      <c r="C3" s="101" t="s">
        <v>893</v>
      </c>
      <c r="D3" s="101" t="s">
        <v>485</v>
      </c>
    </row>
    <row r="4" spans="2:4" x14ac:dyDescent="0.3">
      <c r="B4" t="s">
        <v>52</v>
      </c>
      <c r="C4" s="98">
        <v>12000</v>
      </c>
      <c r="D4" s="99">
        <v>12000</v>
      </c>
    </row>
    <row r="5" spans="2:4" x14ac:dyDescent="0.3">
      <c r="B5" t="s">
        <v>895</v>
      </c>
      <c r="C5" s="98">
        <v>25000</v>
      </c>
      <c r="D5" s="99"/>
    </row>
    <row r="6" spans="2:4" x14ac:dyDescent="0.3">
      <c r="B6" t="s">
        <v>55</v>
      </c>
      <c r="C6" s="98">
        <v>75000</v>
      </c>
      <c r="D6" s="99">
        <v>24600</v>
      </c>
    </row>
    <row r="7" spans="2:4" x14ac:dyDescent="0.3">
      <c r="B7" t="s">
        <v>57</v>
      </c>
      <c r="C7" s="98">
        <v>0</v>
      </c>
      <c r="D7" s="99"/>
    </row>
    <row r="8" spans="2:4" x14ac:dyDescent="0.3">
      <c r="B8" t="s">
        <v>894</v>
      </c>
      <c r="C8" s="98">
        <v>0</v>
      </c>
      <c r="D8" s="99">
        <v>500</v>
      </c>
    </row>
    <row r="9" spans="2:4" x14ac:dyDescent="0.3">
      <c r="B9" t="s">
        <v>896</v>
      </c>
      <c r="C9" s="98">
        <v>0</v>
      </c>
      <c r="D9" s="99">
        <v>1630</v>
      </c>
    </row>
    <row r="10" spans="2:4" x14ac:dyDescent="0.3">
      <c r="C10" s="98"/>
      <c r="D10" s="99"/>
    </row>
    <row r="11" spans="2:4" x14ac:dyDescent="0.3">
      <c r="B11" t="s">
        <v>61</v>
      </c>
      <c r="C11" s="98">
        <v>34000</v>
      </c>
      <c r="D11" s="99">
        <v>34000</v>
      </c>
    </row>
    <row r="12" spans="2:4" x14ac:dyDescent="0.3">
      <c r="B12" t="s">
        <v>60</v>
      </c>
      <c r="C12" s="98">
        <v>10000</v>
      </c>
      <c r="D12" s="99">
        <v>11790</v>
      </c>
    </row>
    <row r="13" spans="2:4" x14ac:dyDescent="0.3">
      <c r="B13" t="s">
        <v>897</v>
      </c>
      <c r="C13" s="98">
        <v>0</v>
      </c>
      <c r="D13" s="99">
        <v>500</v>
      </c>
    </row>
    <row r="14" spans="2:4" x14ac:dyDescent="0.3">
      <c r="C14" s="98"/>
      <c r="D14" s="99"/>
    </row>
    <row r="15" spans="2:4" x14ac:dyDescent="0.3">
      <c r="B15" t="s">
        <v>67</v>
      </c>
      <c r="C15" s="98">
        <v>6200</v>
      </c>
      <c r="D15" s="99"/>
    </row>
    <row r="16" spans="2:4" x14ac:dyDescent="0.3">
      <c r="B16" t="s">
        <v>69</v>
      </c>
      <c r="C16" s="98">
        <v>3000</v>
      </c>
      <c r="D16" s="100"/>
    </row>
  </sheetData>
  <mergeCells count="1">
    <mergeCell ref="B2:D2"/>
  </mergeCells>
  <pageMargins left="0.7" right="0.7" top="0.75" bottom="0.75" header="0.3" footer="0.3"/>
  <pageSetup paperSize="9" orientation="portrait" r:id="rId1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pageSetUpPr fitToPage="1"/>
  </sheetPr>
  <dimension ref="A1:J25"/>
  <sheetViews>
    <sheetView workbookViewId="0"/>
  </sheetViews>
  <sheetFormatPr defaultColWidth="9.109375" defaultRowHeight="15.6" x14ac:dyDescent="0.3"/>
  <cols>
    <col min="1" max="1" width="9.44140625" style="84" bestFit="1" customWidth="1"/>
    <col min="2" max="3" width="11.44140625" style="84" bestFit="1" customWidth="1"/>
    <col min="4" max="4" width="13.44140625" style="84" customWidth="1"/>
    <col min="5" max="5" width="18.44140625" style="84" bestFit="1" customWidth="1"/>
    <col min="6" max="6" width="8.88671875" style="93" customWidth="1"/>
    <col min="7" max="7" width="10.109375" style="84" bestFit="1" customWidth="1"/>
    <col min="8" max="8" width="13.6640625" style="94" bestFit="1" customWidth="1"/>
    <col min="9" max="9" width="12.109375" style="94" bestFit="1" customWidth="1"/>
    <col min="10" max="10" width="13.6640625" style="94" bestFit="1" customWidth="1"/>
    <col min="11" max="16384" width="9.109375" style="84"/>
  </cols>
  <sheetData>
    <row r="1" spans="1:10" ht="16.2" thickBot="1" x14ac:dyDescent="0.35">
      <c r="A1" s="95">
        <v>2013</v>
      </c>
      <c r="B1" s="83" t="s">
        <v>596</v>
      </c>
      <c r="C1" s="83" t="s">
        <v>597</v>
      </c>
      <c r="D1" s="83" t="s">
        <v>598</v>
      </c>
      <c r="E1" s="83" t="s">
        <v>599</v>
      </c>
      <c r="F1" s="83" t="s">
        <v>600</v>
      </c>
      <c r="G1" s="83" t="s">
        <v>601</v>
      </c>
      <c r="H1" s="83" t="s">
        <v>602</v>
      </c>
      <c r="I1" s="83" t="s">
        <v>603</v>
      </c>
      <c r="J1" s="83" t="s">
        <v>48</v>
      </c>
    </row>
    <row r="2" spans="1:10" x14ac:dyDescent="0.3">
      <c r="B2" s="85" t="s">
        <v>718</v>
      </c>
      <c r="C2" s="85" t="s">
        <v>719</v>
      </c>
      <c r="D2" s="85" t="s">
        <v>720</v>
      </c>
      <c r="E2" s="85" t="s">
        <v>868</v>
      </c>
      <c r="F2" s="86" t="s">
        <v>869</v>
      </c>
      <c r="G2" s="85" t="s">
        <v>870</v>
      </c>
      <c r="H2" s="87">
        <f>130+130+130+260+130+130+130+130</f>
        <v>1170</v>
      </c>
      <c r="I2" s="87">
        <v>0</v>
      </c>
      <c r="J2" s="87">
        <f t="shared" ref="J2:J11" si="0">H2+I2</f>
        <v>1170</v>
      </c>
    </row>
    <row r="3" spans="1:10" x14ac:dyDescent="0.3">
      <c r="B3" s="85" t="s">
        <v>623</v>
      </c>
      <c r="C3" s="85" t="s">
        <v>728</v>
      </c>
      <c r="D3" s="85" t="s">
        <v>729</v>
      </c>
      <c r="E3" s="85" t="s">
        <v>871</v>
      </c>
      <c r="F3" s="86" t="s">
        <v>749</v>
      </c>
      <c r="G3" s="85" t="s">
        <v>750</v>
      </c>
      <c r="H3" s="88">
        <f>170</f>
        <v>170</v>
      </c>
      <c r="I3" s="88">
        <v>0</v>
      </c>
      <c r="J3" s="87">
        <f t="shared" si="0"/>
        <v>170</v>
      </c>
    </row>
    <row r="4" spans="1:10" x14ac:dyDescent="0.3">
      <c r="B4" s="85" t="s">
        <v>725</v>
      </c>
      <c r="C4" s="85" t="s">
        <v>726</v>
      </c>
      <c r="D4" s="85" t="s">
        <v>727</v>
      </c>
      <c r="E4" s="85" t="s">
        <v>872</v>
      </c>
      <c r="F4" s="86" t="s">
        <v>873</v>
      </c>
      <c r="G4" s="85" t="s">
        <v>874</v>
      </c>
      <c r="H4" s="88">
        <f>260+165+170+330+165+130+130+130+130</f>
        <v>1610</v>
      </c>
      <c r="I4" s="88">
        <v>0</v>
      </c>
      <c r="J4" s="87">
        <f>H4+I4</f>
        <v>1610</v>
      </c>
    </row>
    <row r="5" spans="1:10" x14ac:dyDescent="0.3">
      <c r="B5" s="85" t="s">
        <v>628</v>
      </c>
      <c r="C5" s="85" t="s">
        <v>629</v>
      </c>
      <c r="D5" s="85" t="s">
        <v>630</v>
      </c>
      <c r="E5" s="85" t="s">
        <v>631</v>
      </c>
      <c r="F5" s="86" t="s">
        <v>689</v>
      </c>
      <c r="G5" s="85" t="s">
        <v>612</v>
      </c>
      <c r="H5" s="88">
        <f>230</f>
        <v>230</v>
      </c>
      <c r="I5" s="88">
        <v>140</v>
      </c>
      <c r="J5" s="87">
        <f>H5+I5</f>
        <v>370</v>
      </c>
    </row>
    <row r="6" spans="1:10" x14ac:dyDescent="0.3">
      <c r="B6" s="85" t="s">
        <v>743</v>
      </c>
      <c r="C6" s="85" t="s">
        <v>744</v>
      </c>
      <c r="D6" s="85" t="s">
        <v>745</v>
      </c>
      <c r="E6" s="85" t="s">
        <v>751</v>
      </c>
      <c r="F6" s="86" t="s">
        <v>749</v>
      </c>
      <c r="G6" s="85" t="s">
        <v>750</v>
      </c>
      <c r="H6" s="88">
        <f>295+230+295+230+230+295+230+365+230+165+295+230+230+165+165+230+230+295+230+230+330+295</f>
        <v>5490</v>
      </c>
      <c r="I6" s="88">
        <f>60+60+60+60+60+60+60+60+60+60+60+60+60+60+60+130+60+60+60+60</f>
        <v>1270</v>
      </c>
      <c r="J6" s="87">
        <f t="shared" si="0"/>
        <v>6760</v>
      </c>
    </row>
    <row r="7" spans="1:10" x14ac:dyDescent="0.3">
      <c r="B7" s="85" t="s">
        <v>882</v>
      </c>
      <c r="C7" s="85" t="s">
        <v>883</v>
      </c>
      <c r="D7" s="85" t="s">
        <v>884</v>
      </c>
      <c r="E7" s="85"/>
      <c r="F7" s="86"/>
      <c r="G7" s="85"/>
      <c r="H7" s="88">
        <f>260+130+130+130+130+270</f>
        <v>1050</v>
      </c>
      <c r="I7" s="88">
        <v>0</v>
      </c>
      <c r="J7" s="87">
        <f t="shared" si="0"/>
        <v>1050</v>
      </c>
    </row>
    <row r="8" spans="1:10" x14ac:dyDescent="0.3">
      <c r="B8" s="85" t="s">
        <v>735</v>
      </c>
      <c r="C8" s="85" t="s">
        <v>736</v>
      </c>
      <c r="D8" s="85" t="s">
        <v>737</v>
      </c>
      <c r="E8" s="85"/>
      <c r="F8" s="86"/>
      <c r="G8" s="85"/>
      <c r="H8" s="88">
        <f>170</f>
        <v>170</v>
      </c>
      <c r="I8" s="88">
        <v>0</v>
      </c>
      <c r="J8" s="87">
        <f>H8+I8</f>
        <v>170</v>
      </c>
    </row>
    <row r="9" spans="1:10" x14ac:dyDescent="0.3">
      <c r="B9" s="85" t="s">
        <v>632</v>
      </c>
      <c r="C9" s="85" t="s">
        <v>746</v>
      </c>
      <c r="D9" s="85" t="s">
        <v>747</v>
      </c>
      <c r="E9" s="85" t="s">
        <v>748</v>
      </c>
      <c r="F9" s="86" t="s">
        <v>749</v>
      </c>
      <c r="G9" s="85" t="s">
        <v>750</v>
      </c>
      <c r="H9" s="88">
        <f>230+295</f>
        <v>525</v>
      </c>
      <c r="I9" s="88">
        <f>48+48</f>
        <v>96</v>
      </c>
      <c r="J9" s="87">
        <f>H9+I9</f>
        <v>621</v>
      </c>
    </row>
    <row r="10" spans="1:10" x14ac:dyDescent="0.3">
      <c r="B10" s="85" t="s">
        <v>740</v>
      </c>
      <c r="C10" s="85" t="s">
        <v>741</v>
      </c>
      <c r="D10" s="85" t="s">
        <v>742</v>
      </c>
      <c r="E10" s="85"/>
      <c r="F10" s="86"/>
      <c r="G10" s="85"/>
      <c r="H10" s="88">
        <f>170</f>
        <v>170</v>
      </c>
      <c r="I10" s="88">
        <v>0</v>
      </c>
      <c r="J10" s="87">
        <f t="shared" si="0"/>
        <v>170</v>
      </c>
    </row>
    <row r="11" spans="1:10" x14ac:dyDescent="0.3">
      <c r="B11" s="85" t="s">
        <v>644</v>
      </c>
      <c r="C11" s="85" t="s">
        <v>645</v>
      </c>
      <c r="D11" s="85" t="s">
        <v>646</v>
      </c>
      <c r="E11" s="85" t="s">
        <v>647</v>
      </c>
      <c r="F11" s="86">
        <v>64540</v>
      </c>
      <c r="G11" s="85" t="s">
        <v>612</v>
      </c>
      <c r="H11" s="88">
        <f>225+225+290+225+195+195</f>
        <v>1355</v>
      </c>
      <c r="I11" s="88">
        <f>150+150+108+150+150</f>
        <v>708</v>
      </c>
      <c r="J11" s="87">
        <f t="shared" si="0"/>
        <v>2063</v>
      </c>
    </row>
    <row r="12" spans="1:10" x14ac:dyDescent="0.3">
      <c r="B12" s="85" t="s">
        <v>715</v>
      </c>
      <c r="C12" s="85" t="s">
        <v>716</v>
      </c>
      <c r="D12" s="85" t="s">
        <v>717</v>
      </c>
      <c r="E12" s="85" t="s">
        <v>875</v>
      </c>
      <c r="F12" s="86" t="s">
        <v>876</v>
      </c>
      <c r="G12" s="85" t="s">
        <v>870</v>
      </c>
      <c r="H12" s="88">
        <f>130+130+390+130+130+295+270+135+135+130</f>
        <v>1875</v>
      </c>
      <c r="I12" s="88">
        <v>0</v>
      </c>
      <c r="J12" s="87">
        <f>H12+I12</f>
        <v>1875</v>
      </c>
    </row>
    <row r="13" spans="1:10" x14ac:dyDescent="0.3">
      <c r="B13" s="85" t="s">
        <v>651</v>
      </c>
      <c r="C13" s="85" t="s">
        <v>652</v>
      </c>
      <c r="D13" s="85" t="s">
        <v>653</v>
      </c>
      <c r="E13" s="85" t="s">
        <v>877</v>
      </c>
      <c r="F13" s="86" t="s">
        <v>878</v>
      </c>
      <c r="G13" s="85" t="s">
        <v>870</v>
      </c>
      <c r="H13" s="88">
        <f>300</f>
        <v>300</v>
      </c>
      <c r="I13" s="88">
        <v>30</v>
      </c>
      <c r="J13" s="87">
        <f>H13+I13</f>
        <v>330</v>
      </c>
    </row>
    <row r="14" spans="1:10" x14ac:dyDescent="0.3">
      <c r="B14" s="85" t="s">
        <v>732</v>
      </c>
      <c r="C14" s="85" t="s">
        <v>733</v>
      </c>
      <c r="D14" s="85" t="s">
        <v>734</v>
      </c>
      <c r="E14" s="85"/>
      <c r="F14" s="86"/>
      <c r="G14" s="85"/>
      <c r="H14" s="88">
        <f>170</f>
        <v>170</v>
      </c>
      <c r="I14" s="88">
        <v>0</v>
      </c>
      <c r="J14" s="87">
        <f t="shared" ref="J14:J23" si="1">H14+I14</f>
        <v>170</v>
      </c>
    </row>
    <row r="15" spans="1:10" x14ac:dyDescent="0.3">
      <c r="B15" s="85" t="s">
        <v>730</v>
      </c>
      <c r="C15" s="85" t="s">
        <v>716</v>
      </c>
      <c r="D15" s="85" t="s">
        <v>731</v>
      </c>
      <c r="E15" s="85"/>
      <c r="F15" s="86"/>
      <c r="G15" s="85"/>
      <c r="H15" s="88">
        <f>170</f>
        <v>170</v>
      </c>
      <c r="I15" s="88">
        <v>0</v>
      </c>
      <c r="J15" s="87">
        <f t="shared" si="1"/>
        <v>170</v>
      </c>
    </row>
    <row r="16" spans="1:10" x14ac:dyDescent="0.3">
      <c r="B16" s="85" t="s">
        <v>671</v>
      </c>
      <c r="C16" s="85" t="s">
        <v>672</v>
      </c>
      <c r="D16" s="85" t="s">
        <v>673</v>
      </c>
      <c r="E16" s="85" t="s">
        <v>674</v>
      </c>
      <c r="F16" s="86" t="s">
        <v>752</v>
      </c>
      <c r="G16" s="85" t="s">
        <v>750</v>
      </c>
      <c r="H16" s="88">
        <f>230+155</f>
        <v>385</v>
      </c>
      <c r="I16" s="88">
        <f>60+60</f>
        <v>120</v>
      </c>
      <c r="J16" s="87">
        <f>H16+I16</f>
        <v>505</v>
      </c>
    </row>
    <row r="17" spans="2:10" x14ac:dyDescent="0.3">
      <c r="B17" s="85" t="s">
        <v>723</v>
      </c>
      <c r="C17" s="85" t="s">
        <v>719</v>
      </c>
      <c r="D17" s="85" t="s">
        <v>724</v>
      </c>
      <c r="E17" s="85" t="s">
        <v>880</v>
      </c>
      <c r="F17" s="86" t="s">
        <v>878</v>
      </c>
      <c r="G17" s="85" t="s">
        <v>870</v>
      </c>
      <c r="H17" s="88">
        <f>130+100+130+130+1040+130</f>
        <v>1660</v>
      </c>
      <c r="I17" s="88">
        <v>0</v>
      </c>
      <c r="J17" s="87">
        <f t="shared" si="1"/>
        <v>1660</v>
      </c>
    </row>
    <row r="18" spans="2:10" x14ac:dyDescent="0.3">
      <c r="B18" s="85" t="s">
        <v>678</v>
      </c>
      <c r="C18" s="85" t="s">
        <v>885</v>
      </c>
      <c r="D18" s="85" t="s">
        <v>680</v>
      </c>
      <c r="E18" s="85" t="s">
        <v>886</v>
      </c>
      <c r="F18" s="86" t="s">
        <v>887</v>
      </c>
      <c r="G18" s="85" t="s">
        <v>888</v>
      </c>
      <c r="H18" s="88">
        <f>230+230</f>
        <v>460</v>
      </c>
      <c r="I18" s="88">
        <f>320+320</f>
        <v>640</v>
      </c>
      <c r="J18" s="87">
        <f>SUM(H18:I18)</f>
        <v>1100</v>
      </c>
    </row>
    <row r="19" spans="2:10" x14ac:dyDescent="0.3">
      <c r="B19" s="85" t="s">
        <v>681</v>
      </c>
      <c r="C19" s="85" t="s">
        <v>690</v>
      </c>
      <c r="D19" s="85" t="s">
        <v>691</v>
      </c>
      <c r="E19" s="85" t="s">
        <v>692</v>
      </c>
      <c r="F19" s="86">
        <v>64542</v>
      </c>
      <c r="G19" s="85" t="s">
        <v>612</v>
      </c>
      <c r="H19" s="88">
        <v>230</v>
      </c>
      <c r="I19" s="88">
        <v>180</v>
      </c>
      <c r="J19" s="87">
        <f>SUM(H19:I19)</f>
        <v>410</v>
      </c>
    </row>
    <row r="20" spans="2:10" x14ac:dyDescent="0.3">
      <c r="B20" s="85" t="s">
        <v>681</v>
      </c>
      <c r="C20" s="85" t="s">
        <v>686</v>
      </c>
      <c r="D20" s="85" t="s">
        <v>687</v>
      </c>
      <c r="E20" s="85" t="s">
        <v>688</v>
      </c>
      <c r="F20" s="86" t="s">
        <v>689</v>
      </c>
      <c r="G20" s="85" t="s">
        <v>612</v>
      </c>
      <c r="H20" s="87">
        <f>230+295</f>
        <v>525</v>
      </c>
      <c r="I20" s="87">
        <f>150+150</f>
        <v>300</v>
      </c>
      <c r="J20" s="87">
        <f t="shared" si="1"/>
        <v>825</v>
      </c>
    </row>
    <row r="21" spans="2:10" x14ac:dyDescent="0.3">
      <c r="B21" s="85" t="s">
        <v>879</v>
      </c>
      <c r="C21" s="85" t="s">
        <v>721</v>
      </c>
      <c r="D21" s="85" t="s">
        <v>722</v>
      </c>
      <c r="E21" s="85" t="s">
        <v>889</v>
      </c>
      <c r="F21" s="86" t="s">
        <v>881</v>
      </c>
      <c r="G21" s="85" t="s">
        <v>870</v>
      </c>
      <c r="H21" s="88">
        <f>130+100+260+170+165</f>
        <v>825</v>
      </c>
      <c r="I21" s="88">
        <v>0</v>
      </c>
      <c r="J21" s="87">
        <f t="shared" si="1"/>
        <v>825</v>
      </c>
    </row>
    <row r="22" spans="2:10" x14ac:dyDescent="0.3">
      <c r="B22" s="85" t="s">
        <v>738</v>
      </c>
      <c r="C22" s="85" t="s">
        <v>728</v>
      </c>
      <c r="D22" s="85" t="s">
        <v>739</v>
      </c>
      <c r="E22" s="85"/>
      <c r="F22" s="86"/>
      <c r="G22" s="85"/>
      <c r="H22" s="88">
        <f>170</f>
        <v>170</v>
      </c>
      <c r="I22" s="88">
        <v>0</v>
      </c>
      <c r="J22" s="87">
        <f t="shared" si="1"/>
        <v>170</v>
      </c>
    </row>
    <row r="23" spans="2:10" x14ac:dyDescent="0.3">
      <c r="B23" s="85" t="s">
        <v>753</v>
      </c>
      <c r="C23" s="85" t="s">
        <v>754</v>
      </c>
      <c r="D23" s="85" t="s">
        <v>755</v>
      </c>
      <c r="E23" s="85" t="s">
        <v>756</v>
      </c>
      <c r="F23" s="86" t="s">
        <v>757</v>
      </c>
      <c r="G23" s="85" t="s">
        <v>612</v>
      </c>
      <c r="H23" s="87">
        <f>295+230</f>
        <v>525</v>
      </c>
      <c r="I23" s="87">
        <v>0</v>
      </c>
      <c r="J23" s="87">
        <f t="shared" si="1"/>
        <v>525</v>
      </c>
    </row>
    <row r="24" spans="2:10" ht="16.2" thickBot="1" x14ac:dyDescent="0.35">
      <c r="B24" s="89"/>
      <c r="C24" s="89"/>
      <c r="D24" s="89"/>
      <c r="E24" s="89"/>
      <c r="F24" s="90"/>
      <c r="G24" s="89"/>
      <c r="H24" s="91">
        <f>SUM(H2:H23)</f>
        <v>19235</v>
      </c>
      <c r="I24" s="91">
        <f>SUM(I2:I23)</f>
        <v>3484</v>
      </c>
      <c r="J24" s="91">
        <f>SUM(J2:J23)</f>
        <v>22719</v>
      </c>
    </row>
    <row r="25" spans="2:10" ht="16.2" thickTop="1" x14ac:dyDescent="0.3">
      <c r="B25" s="89"/>
      <c r="C25" s="89"/>
      <c r="D25" s="89"/>
      <c r="E25" s="89"/>
      <c r="F25" s="90"/>
      <c r="G25" s="89"/>
      <c r="H25" s="92"/>
      <c r="I25" s="92"/>
      <c r="J25" s="9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G22"/>
  <sheetViews>
    <sheetView workbookViewId="0"/>
  </sheetViews>
  <sheetFormatPr defaultColWidth="9.109375" defaultRowHeight="14.4" x14ac:dyDescent="0.3"/>
  <cols>
    <col min="1" max="1" width="9.109375" style="1"/>
    <col min="2" max="2" width="39.6640625" style="1" customWidth="1"/>
    <col min="3" max="3" width="10" style="1" bestFit="1" customWidth="1"/>
    <col min="4" max="4" width="10.33203125" style="1" bestFit="1" customWidth="1"/>
    <col min="5" max="5" width="10" style="1" bestFit="1" customWidth="1"/>
    <col min="6" max="16384" width="9.109375" style="1"/>
  </cols>
  <sheetData>
    <row r="1" spans="1:5" ht="18" x14ac:dyDescent="0.35">
      <c r="A1" s="26" t="s">
        <v>85</v>
      </c>
    </row>
    <row r="2" spans="1:5" x14ac:dyDescent="0.3">
      <c r="C2" s="1" t="s">
        <v>0</v>
      </c>
      <c r="D2" s="1" t="s">
        <v>1</v>
      </c>
      <c r="E2" s="1" t="s">
        <v>2</v>
      </c>
    </row>
    <row r="3" spans="1:5" x14ac:dyDescent="0.3">
      <c r="A3" s="13" t="s">
        <v>3</v>
      </c>
    </row>
    <row r="5" spans="1:5" x14ac:dyDescent="0.3">
      <c r="A5" s="1" t="s">
        <v>4</v>
      </c>
    </row>
    <row r="6" spans="1:5" x14ac:dyDescent="0.3">
      <c r="B6" s="1" t="s">
        <v>5</v>
      </c>
      <c r="C6" s="1">
        <v>105551</v>
      </c>
      <c r="D6" s="1">
        <v>0</v>
      </c>
      <c r="E6" s="1">
        <v>105551</v>
      </c>
    </row>
    <row r="7" spans="1:5" x14ac:dyDescent="0.3">
      <c r="B7" s="1" t="s">
        <v>6</v>
      </c>
      <c r="C7" s="1">
        <v>-81102</v>
      </c>
      <c r="D7" s="1">
        <v>-10000</v>
      </c>
      <c r="E7" s="1">
        <v>-91102</v>
      </c>
    </row>
    <row r="8" spans="1:5" x14ac:dyDescent="0.3">
      <c r="A8" s="1" t="s">
        <v>7</v>
      </c>
      <c r="C8" s="1">
        <v>34449</v>
      </c>
      <c r="D8" s="1">
        <v>-10000</v>
      </c>
      <c r="E8" s="1">
        <f>+E6+E7</f>
        <v>14449</v>
      </c>
    </row>
    <row r="12" spans="1:5" x14ac:dyDescent="0.3">
      <c r="A12" s="13" t="s">
        <v>8</v>
      </c>
    </row>
    <row r="13" spans="1:5" x14ac:dyDescent="0.3">
      <c r="A13" s="1" t="s">
        <v>9</v>
      </c>
    </row>
    <row r="14" spans="1:5" x14ac:dyDescent="0.3">
      <c r="B14" s="1" t="s">
        <v>10</v>
      </c>
      <c r="C14" s="1">
        <v>12810</v>
      </c>
      <c r="D14" s="1">
        <f>+E14-C14</f>
        <v>-6375</v>
      </c>
      <c r="E14" s="1">
        <f>770+ 5665</f>
        <v>6435</v>
      </c>
    </row>
    <row r="15" spans="1:5" x14ac:dyDescent="0.3">
      <c r="B15" s="1" t="s">
        <v>11</v>
      </c>
      <c r="C15" s="1">
        <v>5498.74</v>
      </c>
      <c r="D15" s="1">
        <f>+E15-C15</f>
        <v>-2660</v>
      </c>
      <c r="E15" s="1">
        <v>2838.74</v>
      </c>
    </row>
    <row r="16" spans="1:5" x14ac:dyDescent="0.3">
      <c r="B16" s="1" t="s">
        <v>12</v>
      </c>
      <c r="C16" s="1">
        <v>84938.4</v>
      </c>
      <c r="D16" s="1">
        <f>+E16-C16</f>
        <v>-18202.369999999995</v>
      </c>
      <c r="E16" s="1">
        <v>66736.03</v>
      </c>
    </row>
    <row r="17" spans="1:7" x14ac:dyDescent="0.3">
      <c r="B17" s="1" t="s">
        <v>13</v>
      </c>
      <c r="C17" s="2">
        <v>168861.78</v>
      </c>
      <c r="D17" s="1">
        <f>+E17-C17</f>
        <v>1277.8800000000047</v>
      </c>
      <c r="E17" s="2">
        <v>170139.66</v>
      </c>
      <c r="G17" s="2"/>
    </row>
    <row r="18" spans="1:7" x14ac:dyDescent="0.3">
      <c r="A18" s="1" t="s">
        <v>14</v>
      </c>
      <c r="C18" s="1">
        <f>SUM(C14:C17)</f>
        <v>272108.92</v>
      </c>
      <c r="D18" s="1">
        <f>SUM(D14:D17)</f>
        <v>-25959.489999999991</v>
      </c>
      <c r="E18" s="1">
        <f>SUM(E14:E17)</f>
        <v>246149.43</v>
      </c>
    </row>
    <row r="22" spans="1:7" x14ac:dyDescent="0.3">
      <c r="A22" s="1" t="s">
        <v>15</v>
      </c>
      <c r="C22" s="1">
        <f>+C8+C18</f>
        <v>306557.92</v>
      </c>
      <c r="D22" s="1">
        <f>+D8+D18</f>
        <v>-35959.489999999991</v>
      </c>
      <c r="E22" s="1">
        <f>+E8+E18</f>
        <v>260598.43</v>
      </c>
    </row>
  </sheetData>
  <pageMargins left="1.18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4C541-7F73-4BBC-8FA9-03C6CEF92106}">
  <sheetPr>
    <tabColor theme="5" tint="-0.249977111117893"/>
    <pageSetUpPr fitToPage="1"/>
  </sheetPr>
  <dimension ref="A1:T41"/>
  <sheetViews>
    <sheetView zoomScale="110" zoomScaleNormal="110" workbookViewId="0">
      <pane xSplit="1" ySplit="3" topLeftCell="N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2" width="16.44140625" style="1" hidden="1" customWidth="1"/>
    <col min="13" max="13" width="18" style="1" hidden="1" customWidth="1"/>
    <col min="14" max="17" width="16.44140625" style="1" customWidth="1"/>
    <col min="18" max="18" width="17.6640625" style="1" customWidth="1"/>
    <col min="19" max="19" width="18.5546875" style="1" customWidth="1"/>
    <col min="20" max="16384" width="9.109375" style="1"/>
  </cols>
  <sheetData>
    <row r="1" spans="1:19" ht="31.8" thickBot="1" x14ac:dyDescent="0.65">
      <c r="A1" s="211" t="s">
        <v>486</v>
      </c>
      <c r="C1" s="224"/>
      <c r="D1" s="224"/>
      <c r="I1" s="4"/>
      <c r="J1" s="4"/>
      <c r="K1" s="289"/>
      <c r="L1" s="289"/>
      <c r="M1" s="289"/>
      <c r="O1" s="290" t="s">
        <v>2786</v>
      </c>
      <c r="P1" s="290"/>
    </row>
    <row r="2" spans="1:19" ht="16.2" thickBot="1" x14ac:dyDescent="0.35"/>
    <row r="3" spans="1:19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37">
        <v>2023</v>
      </c>
      <c r="R3" s="227">
        <v>2024</v>
      </c>
      <c r="S3" s="240" t="s">
        <v>2701</v>
      </c>
    </row>
    <row r="4" spans="1:19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42"/>
      <c r="R4" s="110"/>
      <c r="S4" s="209"/>
    </row>
    <row r="5" spans="1:19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56"/>
      <c r="R5" s="237"/>
      <c r="S5" s="8"/>
    </row>
    <row r="6" spans="1:19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38">
        <v>183801</v>
      </c>
      <c r="L6" s="38">
        <v>157419</v>
      </c>
      <c r="M6" s="38">
        <v>174547</v>
      </c>
      <c r="N6" s="38">
        <v>201753</v>
      </c>
      <c r="O6" s="38">
        <v>201232</v>
      </c>
      <c r="P6" s="38">
        <v>225734</v>
      </c>
      <c r="Q6" s="38">
        <v>252983</v>
      </c>
      <c r="R6" s="9">
        <v>209138</v>
      </c>
      <c r="S6" s="190">
        <v>255000</v>
      </c>
    </row>
    <row r="7" spans="1:19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38">
        <v>131700</v>
      </c>
      <c r="L7" s="38">
        <v>136075</v>
      </c>
      <c r="M7" s="38">
        <v>171450</v>
      </c>
      <c r="N7" s="38">
        <v>179900</v>
      </c>
      <c r="O7" s="38">
        <v>165825</v>
      </c>
      <c r="P7" s="38">
        <v>187000</v>
      </c>
      <c r="Q7" s="38">
        <v>181250</v>
      </c>
      <c r="R7" s="9">
        <v>211575</v>
      </c>
      <c r="S7" s="190">
        <v>185000</v>
      </c>
    </row>
    <row r="8" spans="1:19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38">
        <v>96525</v>
      </c>
      <c r="L8" s="38">
        <v>71440</v>
      </c>
      <c r="M8" s="38">
        <v>94105</v>
      </c>
      <c r="N8" s="38">
        <v>36227</v>
      </c>
      <c r="O8" s="38">
        <v>38377</v>
      </c>
      <c r="P8" s="38">
        <v>83434</v>
      </c>
      <c r="Q8" s="38">
        <v>177917</v>
      </c>
      <c r="R8" s="9">
        <v>112047</v>
      </c>
      <c r="S8" s="190">
        <v>130000</v>
      </c>
    </row>
    <row r="9" spans="1:19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38">
        <v>13700</v>
      </c>
      <c r="L9" s="38">
        <v>18200</v>
      </c>
      <c r="M9" s="38">
        <v>12988</v>
      </c>
      <c r="N9" s="38">
        <v>20320</v>
      </c>
      <c r="O9" s="38">
        <v>16440</v>
      </c>
      <c r="P9" s="38">
        <v>33422</v>
      </c>
      <c r="Q9" s="38">
        <v>14330</v>
      </c>
      <c r="R9" s="9">
        <v>27500</v>
      </c>
      <c r="S9" s="190">
        <v>15000</v>
      </c>
    </row>
    <row r="10" spans="1:19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38">
        <v>104297</v>
      </c>
      <c r="L10" s="38">
        <v>93420</v>
      </c>
      <c r="M10" s="38">
        <v>63900</v>
      </c>
      <c r="N10" s="38">
        <v>40260</v>
      </c>
      <c r="O10" s="38">
        <v>93603</v>
      </c>
      <c r="P10" s="38">
        <v>109900</v>
      </c>
      <c r="Q10" s="38">
        <v>137850</v>
      </c>
      <c r="R10" s="9">
        <v>125900</v>
      </c>
      <c r="S10" s="190">
        <v>125000</v>
      </c>
    </row>
    <row r="11" spans="1:19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38">
        <v>85200</v>
      </c>
      <c r="L11" s="38">
        <v>69517</v>
      </c>
      <c r="M11" s="38">
        <v>89680</v>
      </c>
      <c r="N11" s="38">
        <v>95633</v>
      </c>
      <c r="O11" s="38">
        <v>124778</v>
      </c>
      <c r="P11" s="38">
        <v>145695</v>
      </c>
      <c r="Q11" s="38">
        <v>163300</v>
      </c>
      <c r="R11" s="9">
        <v>203280</v>
      </c>
      <c r="S11" s="190">
        <v>175500</v>
      </c>
    </row>
    <row r="12" spans="1:19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38">
        <v>5455</v>
      </c>
      <c r="L12" s="38">
        <v>0</v>
      </c>
      <c r="M12" s="38">
        <v>0</v>
      </c>
      <c r="N12" s="38">
        <v>0</v>
      </c>
      <c r="O12" s="38"/>
      <c r="P12" s="38"/>
      <c r="Q12" s="38"/>
      <c r="R12" s="9"/>
      <c r="S12" s="190">
        <v>0</v>
      </c>
    </row>
    <row r="13" spans="1:19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/>
      <c r="P13" s="38"/>
      <c r="Q13" s="38"/>
      <c r="R13" s="9">
        <v>6206</v>
      </c>
      <c r="S13" s="190">
        <v>0</v>
      </c>
    </row>
    <row r="14" spans="1:19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38">
        <v>29446</v>
      </c>
      <c r="L14" s="38">
        <v>56040</v>
      </c>
      <c r="M14" s="38">
        <v>21304</v>
      </c>
      <c r="N14" s="38">
        <v>93807</v>
      </c>
      <c r="O14" s="38">
        <v>61627</v>
      </c>
      <c r="P14" s="38">
        <v>46439</v>
      </c>
      <c r="Q14" s="38">
        <v>11035</v>
      </c>
      <c r="R14" s="9">
        <v>17071</v>
      </c>
      <c r="S14" s="190">
        <v>30000.01</v>
      </c>
    </row>
    <row r="15" spans="1:19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39">
        <f t="shared" si="0"/>
        <v>650124</v>
      </c>
      <c r="L15" s="39">
        <f t="shared" ref="L15:S15" si="2">SUM(L6:L14)</f>
        <v>602111</v>
      </c>
      <c r="M15" s="39">
        <f t="shared" si="2"/>
        <v>627974</v>
      </c>
      <c r="N15" s="39">
        <f t="shared" si="2"/>
        <v>667900</v>
      </c>
      <c r="O15" s="39">
        <f t="shared" si="2"/>
        <v>701882</v>
      </c>
      <c r="P15" s="39">
        <f t="shared" si="2"/>
        <v>831624</v>
      </c>
      <c r="Q15" s="39">
        <f t="shared" si="2"/>
        <v>938665</v>
      </c>
      <c r="R15" s="11">
        <f t="shared" si="2"/>
        <v>912717</v>
      </c>
      <c r="S15" s="191">
        <f t="shared" si="2"/>
        <v>915500.01</v>
      </c>
    </row>
    <row r="16" spans="1:19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111"/>
      <c r="S16" s="190"/>
    </row>
    <row r="17" spans="1:20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112"/>
      <c r="S17" s="190"/>
    </row>
    <row r="18" spans="1:20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38">
        <v>-201761</v>
      </c>
      <c r="L18" s="38">
        <v>-70226</v>
      </c>
      <c r="M18" s="38">
        <v>-120875</v>
      </c>
      <c r="N18" s="38">
        <v>-81372</v>
      </c>
      <c r="O18" s="38">
        <v>-159842</v>
      </c>
      <c r="P18" s="38">
        <v>-181432</v>
      </c>
      <c r="Q18" s="38">
        <v>-220492</v>
      </c>
      <c r="R18" s="9">
        <v>-95687</v>
      </c>
      <c r="S18" s="190">
        <v>-190000</v>
      </c>
    </row>
    <row r="19" spans="1:20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38">
        <v>-134562</v>
      </c>
      <c r="L19" s="38">
        <v>-150140</v>
      </c>
      <c r="M19" s="38">
        <v>-104717</v>
      </c>
      <c r="N19" s="38">
        <v>-122818</v>
      </c>
      <c r="O19" s="38">
        <v>-100638</v>
      </c>
      <c r="P19" s="38">
        <v>-133504</v>
      </c>
      <c r="Q19" s="38">
        <v>-140769</v>
      </c>
      <c r="R19" s="9">
        <v>-121835</v>
      </c>
      <c r="S19" s="190">
        <v>-135000</v>
      </c>
      <c r="T19" s="55"/>
    </row>
    <row r="20" spans="1:20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38">
        <v>-17887</v>
      </c>
      <c r="L20" s="38">
        <v>-4522</v>
      </c>
      <c r="M20" s="38">
        <v>0</v>
      </c>
      <c r="N20" s="38">
        <v>-469</v>
      </c>
      <c r="O20" s="38">
        <v>-225</v>
      </c>
      <c r="P20" s="38">
        <v>-519</v>
      </c>
      <c r="Q20" s="38">
        <v>-58306</v>
      </c>
      <c r="R20" s="9">
        <v>-29423</v>
      </c>
      <c r="S20" s="190">
        <v>-20000</v>
      </c>
    </row>
    <row r="21" spans="1:20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38">
        <v>-38345</v>
      </c>
      <c r="L21" s="38">
        <v>-52120</v>
      </c>
      <c r="M21" s="38">
        <v>-70704</v>
      </c>
      <c r="N21" s="38">
        <v>-10498</v>
      </c>
      <c r="O21" s="38">
        <v>-17059</v>
      </c>
      <c r="P21" s="38">
        <v>-29952</v>
      </c>
      <c r="Q21" s="38">
        <v>-42358</v>
      </c>
      <c r="R21" s="9">
        <v>-52555</v>
      </c>
      <c r="S21" s="190">
        <v>-30000</v>
      </c>
    </row>
    <row r="22" spans="1:20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38">
        <v>-40515</v>
      </c>
      <c r="L22" s="38">
        <v>-23150</v>
      </c>
      <c r="M22" s="38">
        <v>-39500</v>
      </c>
      <c r="N22" s="38">
        <v>-35192</v>
      </c>
      <c r="O22" s="38">
        <v>-26250</v>
      </c>
      <c r="P22" s="38">
        <v>-92029</v>
      </c>
      <c r="Q22" s="38">
        <v>-99926</v>
      </c>
      <c r="R22" s="9">
        <v>-108845</v>
      </c>
      <c r="S22" s="190">
        <v>-95000</v>
      </c>
    </row>
    <row r="23" spans="1:20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38">
        <v>-76389</v>
      </c>
      <c r="L23" s="38">
        <v>-81515</v>
      </c>
      <c r="M23" s="38">
        <v>-88679</v>
      </c>
      <c r="N23" s="38">
        <v>-72732</v>
      </c>
      <c r="O23" s="38">
        <v>-58100</v>
      </c>
      <c r="P23" s="38">
        <v>-79144</v>
      </c>
      <c r="Q23" s="38">
        <v>-104788</v>
      </c>
      <c r="R23" s="9">
        <v>-88174</v>
      </c>
      <c r="S23" s="190">
        <v>-105000</v>
      </c>
    </row>
    <row r="24" spans="1:20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38">
        <v>-2500</v>
      </c>
      <c r="L24" s="38">
        <v>-3050</v>
      </c>
      <c r="M24" s="38">
        <v>-3860</v>
      </c>
      <c r="N24" s="38">
        <v>-7420</v>
      </c>
      <c r="O24" s="38">
        <v>-4750</v>
      </c>
      <c r="P24" s="38">
        <v>-1231</v>
      </c>
      <c r="Q24" s="38">
        <v>-13700</v>
      </c>
      <c r="R24" s="9">
        <v>-14628</v>
      </c>
      <c r="S24" s="190">
        <v>-10000</v>
      </c>
    </row>
    <row r="25" spans="1:20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38">
        <v>-23700</v>
      </c>
      <c r="L25" s="38">
        <v>-23490</v>
      </c>
      <c r="M25" s="38">
        <v>-20500</v>
      </c>
      <c r="N25" s="38">
        <v>-6700</v>
      </c>
      <c r="O25" s="38">
        <v>-4050</v>
      </c>
      <c r="P25" s="38">
        <v>-22800</v>
      </c>
      <c r="Q25" s="38">
        <v>-34900</v>
      </c>
      <c r="R25" s="9">
        <v>-31665</v>
      </c>
      <c r="S25" s="190">
        <v>-35000</v>
      </c>
    </row>
    <row r="26" spans="1:20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38">
        <v>-30550</v>
      </c>
      <c r="L26" s="38">
        <v>-32750</v>
      </c>
      <c r="M26" s="38">
        <v>-41400</v>
      </c>
      <c r="N26" s="38">
        <v>-35920</v>
      </c>
      <c r="O26" s="38">
        <v>-14840</v>
      </c>
      <c r="P26" s="38">
        <v>-30440</v>
      </c>
      <c r="Q26" s="38">
        <v>-32200</v>
      </c>
      <c r="R26" s="9">
        <v>-24300</v>
      </c>
      <c r="S26" s="190">
        <v>-30000</v>
      </c>
    </row>
    <row r="27" spans="1:20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38">
        <v>-14710</v>
      </c>
      <c r="L27" s="38">
        <v>-18980</v>
      </c>
      <c r="M27" s="38">
        <v>-15500</v>
      </c>
      <c r="N27" s="38">
        <v>-14350</v>
      </c>
      <c r="O27" s="38">
        <v>-15370</v>
      </c>
      <c r="P27" s="38">
        <v>-5340</v>
      </c>
      <c r="Q27" s="38">
        <v>-4080</v>
      </c>
      <c r="R27" s="9">
        <v>-23540</v>
      </c>
      <c r="S27" s="190">
        <v>-5000</v>
      </c>
    </row>
    <row r="28" spans="1:20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38">
        <v>-39400</v>
      </c>
      <c r="L28" s="38">
        <v>-28600</v>
      </c>
      <c r="M28" s="38">
        <v>-18000</v>
      </c>
      <c r="N28" s="38">
        <v>-25600</v>
      </c>
      <c r="O28" s="38">
        <v>-53500</v>
      </c>
      <c r="P28" s="38">
        <f>-55750</f>
        <v>-55750</v>
      </c>
      <c r="Q28" s="38">
        <v>-66350</v>
      </c>
      <c r="R28" s="9">
        <v>-80025</v>
      </c>
      <c r="S28" s="190">
        <v>-75000</v>
      </c>
    </row>
    <row r="29" spans="1:20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38">
        <v>-10000</v>
      </c>
      <c r="L29" s="38">
        <v>-14500</v>
      </c>
      <c r="M29" s="38">
        <v>-12500</v>
      </c>
      <c r="N29" s="38">
        <v>-14000</v>
      </c>
      <c r="O29" s="38">
        <v>-9500</v>
      </c>
      <c r="P29" s="38">
        <f>-19000-4000</f>
        <v>-23000</v>
      </c>
      <c r="Q29" s="38">
        <v>-19850</v>
      </c>
      <c r="R29" s="9">
        <v>-27630</v>
      </c>
      <c r="S29" s="190">
        <v>-20000</v>
      </c>
    </row>
    <row r="30" spans="1:20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38">
        <v>-3000</v>
      </c>
      <c r="L30" s="38">
        <v>-500</v>
      </c>
      <c r="M30" s="38">
        <v>-500</v>
      </c>
      <c r="N30" s="38">
        <v>-500</v>
      </c>
      <c r="O30" s="38">
        <v>-500</v>
      </c>
      <c r="P30" s="38">
        <v>-500</v>
      </c>
      <c r="Q30" s="38">
        <v>-500</v>
      </c>
      <c r="R30" s="9">
        <v>-500</v>
      </c>
      <c r="S30" s="190">
        <v>-500</v>
      </c>
    </row>
    <row r="31" spans="1:20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38">
        <v>-90569</v>
      </c>
      <c r="L31" s="38">
        <v>-87302</v>
      </c>
      <c r="M31" s="38">
        <v>-94382</v>
      </c>
      <c r="N31" s="38">
        <v>-111217</v>
      </c>
      <c r="O31" s="38">
        <v>-128246</v>
      </c>
      <c r="P31" s="38">
        <v>-166907</v>
      </c>
      <c r="Q31" s="38">
        <v>-161843</v>
      </c>
      <c r="R31" s="9">
        <v>-202575</v>
      </c>
      <c r="S31" s="190">
        <v>-160000</v>
      </c>
    </row>
    <row r="32" spans="1:20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38">
        <v>0</v>
      </c>
      <c r="L32" s="38">
        <v>0</v>
      </c>
      <c r="M32" s="38">
        <v>0</v>
      </c>
      <c r="N32" s="38">
        <v>0</v>
      </c>
      <c r="O32" s="38"/>
      <c r="P32" s="38"/>
      <c r="Q32" s="38"/>
      <c r="R32" s="9"/>
      <c r="S32" s="190">
        <v>0</v>
      </c>
    </row>
    <row r="33" spans="1:19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38">
        <v>-11110</v>
      </c>
      <c r="L33" s="38">
        <f>-1688+-1553</f>
        <v>-3241</v>
      </c>
      <c r="M33" s="38">
        <f>-6416-763</f>
        <v>-7179</v>
      </c>
      <c r="N33" s="38">
        <f>-2226-250-4352</f>
        <v>-6828</v>
      </c>
      <c r="O33" s="38">
        <f>-2835-250-1000</f>
        <v>-4085</v>
      </c>
      <c r="P33" s="38">
        <v>-5059</v>
      </c>
      <c r="Q33" s="38">
        <f>-750-1134-300-1094-78-365-350-711-1000-295-148</f>
        <v>-6225</v>
      </c>
      <c r="R33" s="9">
        <f>-750-65-1368-1000-308-1600-90-74-1368-187-130-75-500-800-100-132-500</f>
        <v>-9047</v>
      </c>
      <c r="S33" s="190">
        <v>-5000</v>
      </c>
    </row>
    <row r="34" spans="1:19" x14ac:dyDescent="0.3">
      <c r="A34" s="7" t="s">
        <v>2555</v>
      </c>
      <c r="B34" s="39">
        <f t="shared" ref="B34:R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39">
        <f t="shared" si="3"/>
        <v>-734998</v>
      </c>
      <c r="L34" s="39">
        <f t="shared" si="3"/>
        <v>-594086</v>
      </c>
      <c r="M34" s="39">
        <f t="shared" si="3"/>
        <v>-638296</v>
      </c>
      <c r="N34" s="39">
        <f t="shared" si="3"/>
        <v>-545616</v>
      </c>
      <c r="O34" s="39">
        <f t="shared" ref="O34" si="4">SUM(O18:O33)</f>
        <v>-596955</v>
      </c>
      <c r="P34" s="39">
        <f t="shared" si="3"/>
        <v>-827607</v>
      </c>
      <c r="Q34" s="39">
        <f t="shared" ref="Q34" si="5">SUM(Q18:Q33)</f>
        <v>-1006287</v>
      </c>
      <c r="R34" s="11">
        <f t="shared" si="3"/>
        <v>-910429</v>
      </c>
      <c r="S34" s="191">
        <f>SUM(S18:S33)</f>
        <v>-915500</v>
      </c>
    </row>
    <row r="35" spans="1:19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46"/>
      <c r="Q35" s="46"/>
      <c r="R35" s="113"/>
      <c r="S35" s="191"/>
    </row>
    <row r="36" spans="1:19" s="13" customFormat="1" ht="38.25" hidden="1" customHeight="1" x14ac:dyDescent="0.3">
      <c r="A36" s="7" t="s">
        <v>48</v>
      </c>
      <c r="B36" s="39">
        <f t="shared" ref="B36:R36" si="6">+B34+B15</f>
        <v>-24674</v>
      </c>
      <c r="C36" s="39">
        <f t="shared" si="6"/>
        <v>86791</v>
      </c>
      <c r="D36" s="39">
        <f t="shared" si="6"/>
        <v>32713</v>
      </c>
      <c r="E36" s="39">
        <f t="shared" si="6"/>
        <v>-5009.1400000000431</v>
      </c>
      <c r="F36" s="39">
        <f t="shared" si="6"/>
        <v>-25959.489999999991</v>
      </c>
      <c r="G36" s="39">
        <f t="shared" si="6"/>
        <v>-167525</v>
      </c>
      <c r="H36" s="39">
        <f t="shared" si="6"/>
        <v>13685</v>
      </c>
      <c r="I36" s="12">
        <f t="shared" si="6"/>
        <v>10177</v>
      </c>
      <c r="J36" s="12">
        <f t="shared" si="6"/>
        <v>36557</v>
      </c>
      <c r="K36" s="12">
        <f t="shared" si="6"/>
        <v>-84874</v>
      </c>
      <c r="L36" s="12">
        <f t="shared" si="6"/>
        <v>8025</v>
      </c>
      <c r="M36" s="12">
        <f t="shared" si="6"/>
        <v>-10322</v>
      </c>
      <c r="N36" s="12">
        <f t="shared" si="6"/>
        <v>122284</v>
      </c>
      <c r="O36" s="12">
        <f t="shared" si="6"/>
        <v>104927</v>
      </c>
      <c r="P36" s="12">
        <f t="shared" si="6"/>
        <v>4017</v>
      </c>
      <c r="Q36" s="12">
        <f t="shared" si="6"/>
        <v>-67622</v>
      </c>
      <c r="R36" s="11">
        <f t="shared" si="6"/>
        <v>2288</v>
      </c>
      <c r="S36" s="191">
        <f>S15+S34</f>
        <v>1.0000000009313226E-2</v>
      </c>
    </row>
    <row r="37" spans="1:19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2"/>
      <c r="Q37" s="12"/>
      <c r="R37" s="11"/>
      <c r="S37" s="191"/>
    </row>
    <row r="38" spans="1:19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1">
        <v>0</v>
      </c>
      <c r="S38" s="191">
        <v>0</v>
      </c>
    </row>
    <row r="39" spans="1:19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2"/>
      <c r="R39" s="14"/>
      <c r="S39" s="210"/>
    </row>
    <row r="40" spans="1:19" s="13" customFormat="1" ht="16.2" thickBot="1" x14ac:dyDescent="0.35">
      <c r="A40" s="7" t="s">
        <v>2557</v>
      </c>
      <c r="B40" s="39">
        <f t="shared" ref="B40:R40" si="7">+B38+B36</f>
        <v>-34674</v>
      </c>
      <c r="C40" s="39">
        <f t="shared" si="7"/>
        <v>76791</v>
      </c>
      <c r="D40" s="39">
        <f t="shared" si="7"/>
        <v>22713</v>
      </c>
      <c r="E40" s="39">
        <f t="shared" si="7"/>
        <v>-15009.140000000043</v>
      </c>
      <c r="F40" s="39">
        <f t="shared" si="7"/>
        <v>-35959.489999999991</v>
      </c>
      <c r="G40" s="39">
        <f t="shared" si="7"/>
        <v>-181974</v>
      </c>
      <c r="H40" s="39">
        <f t="shared" si="7"/>
        <v>13685</v>
      </c>
      <c r="I40" s="12">
        <f t="shared" si="7"/>
        <v>10177</v>
      </c>
      <c r="J40" s="12">
        <f>+J38+J36</f>
        <v>36557</v>
      </c>
      <c r="K40" s="12">
        <f t="shared" si="7"/>
        <v>-84874</v>
      </c>
      <c r="L40" s="12">
        <f t="shared" si="7"/>
        <v>8025</v>
      </c>
      <c r="M40" s="12">
        <f t="shared" si="7"/>
        <v>-10322</v>
      </c>
      <c r="N40" s="12">
        <f t="shared" si="7"/>
        <v>122284</v>
      </c>
      <c r="O40" s="12">
        <f t="shared" si="7"/>
        <v>104927</v>
      </c>
      <c r="P40" s="12">
        <f t="shared" si="7"/>
        <v>4017</v>
      </c>
      <c r="Q40" s="12">
        <f t="shared" si="7"/>
        <v>-67622</v>
      </c>
      <c r="R40" s="154">
        <f t="shared" si="7"/>
        <v>2288</v>
      </c>
      <c r="S40" s="192">
        <f>+S38+S36</f>
        <v>1.0000000009313226E-2</v>
      </c>
    </row>
    <row r="41" spans="1:19" s="13" customFormat="1" x14ac:dyDescent="0.3">
      <c r="A41" s="4"/>
      <c r="B41" s="4"/>
      <c r="C41" s="4"/>
      <c r="D41" s="4"/>
      <c r="E41" s="4"/>
      <c r="F41" s="4"/>
      <c r="G41" s="4"/>
      <c r="H41" s="4"/>
      <c r="S41" s="58"/>
    </row>
  </sheetData>
  <mergeCells count="2">
    <mergeCell ref="K1:M1"/>
    <mergeCell ref="O1:P1"/>
  </mergeCells>
  <pageMargins left="0.7" right="0.7" top="0.75" bottom="0.75" header="0.3" footer="0.3"/>
  <pageSetup paperSize="9" scale="58" orientation="landscape"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C35"/>
  <sheetViews>
    <sheetView topLeftCell="A3" workbookViewId="0">
      <selection activeCell="B25" sqref="B25"/>
    </sheetView>
  </sheetViews>
  <sheetFormatPr defaultRowHeight="14.4" x14ac:dyDescent="0.3"/>
  <cols>
    <col min="2" max="2" width="18.33203125" bestFit="1" customWidth="1"/>
    <col min="3" max="3" width="10.6640625" bestFit="1" customWidth="1"/>
  </cols>
  <sheetData>
    <row r="1" spans="1:3" ht="18" x14ac:dyDescent="0.35">
      <c r="A1" s="26" t="s">
        <v>86</v>
      </c>
    </row>
    <row r="3" spans="1:3" x14ac:dyDescent="0.3">
      <c r="B3" s="25" t="s">
        <v>19</v>
      </c>
    </row>
    <row r="4" spans="1:3" x14ac:dyDescent="0.3">
      <c r="B4" t="s">
        <v>20</v>
      </c>
      <c r="C4">
        <v>96927.4</v>
      </c>
    </row>
    <row r="5" spans="1:3" x14ac:dyDescent="0.3">
      <c r="B5" t="s">
        <v>21</v>
      </c>
      <c r="C5">
        <v>91100</v>
      </c>
    </row>
    <row r="6" spans="1:3" x14ac:dyDescent="0.3">
      <c r="B6" t="s">
        <v>22</v>
      </c>
      <c r="C6">
        <v>70983</v>
      </c>
    </row>
    <row r="7" spans="1:3" x14ac:dyDescent="0.3">
      <c r="B7" t="s">
        <v>23</v>
      </c>
      <c r="C7">
        <v>28901</v>
      </c>
    </row>
    <row r="8" spans="1:3" x14ac:dyDescent="0.3">
      <c r="B8" t="s">
        <v>24</v>
      </c>
      <c r="C8">
        <v>3840</v>
      </c>
    </row>
    <row r="9" spans="1:3" x14ac:dyDescent="0.3">
      <c r="B9" t="s">
        <v>26</v>
      </c>
      <c r="C9">
        <v>4050</v>
      </c>
    </row>
    <row r="10" spans="1:3" x14ac:dyDescent="0.3">
      <c r="B10" t="s">
        <v>27</v>
      </c>
      <c r="C10">
        <v>1824.88</v>
      </c>
    </row>
    <row r="11" spans="1:3" x14ac:dyDescent="0.3">
      <c r="B11" t="s">
        <v>28</v>
      </c>
      <c r="C11">
        <v>1987</v>
      </c>
    </row>
    <row r="12" spans="1:3" x14ac:dyDescent="0.3">
      <c r="B12" s="25" t="s">
        <v>29</v>
      </c>
      <c r="C12" s="25">
        <v>299613.28000000003</v>
      </c>
    </row>
    <row r="14" spans="1:3" x14ac:dyDescent="0.3">
      <c r="B14" s="25" t="s">
        <v>30</v>
      </c>
    </row>
    <row r="15" spans="1:3" x14ac:dyDescent="0.3">
      <c r="B15" t="s">
        <v>31</v>
      </c>
      <c r="C15">
        <v>-1887</v>
      </c>
    </row>
    <row r="16" spans="1:3" x14ac:dyDescent="0.3">
      <c r="B16" t="s">
        <v>32</v>
      </c>
      <c r="C16">
        <v>-6643</v>
      </c>
    </row>
    <row r="17" spans="2:3" x14ac:dyDescent="0.3">
      <c r="B17" t="s">
        <v>33</v>
      </c>
      <c r="C17">
        <v>-547</v>
      </c>
    </row>
    <row r="18" spans="2:3" x14ac:dyDescent="0.3">
      <c r="B18" t="s">
        <v>34</v>
      </c>
      <c r="C18">
        <v>-4637.7700000000004</v>
      </c>
    </row>
    <row r="19" spans="2:3" x14ac:dyDescent="0.3">
      <c r="B19" t="s">
        <v>35</v>
      </c>
      <c r="C19">
        <v>-3900</v>
      </c>
    </row>
    <row r="20" spans="2:3" x14ac:dyDescent="0.3">
      <c r="B20" t="s">
        <v>36</v>
      </c>
      <c r="C20">
        <v>-10190</v>
      </c>
    </row>
    <row r="21" spans="2:3" x14ac:dyDescent="0.3">
      <c r="B21" t="s">
        <v>38</v>
      </c>
      <c r="C21">
        <v>-3450</v>
      </c>
    </row>
    <row r="22" spans="2:3" x14ac:dyDescent="0.3">
      <c r="B22" t="s">
        <v>39</v>
      </c>
      <c r="C22">
        <v>-13828</v>
      </c>
    </row>
    <row r="23" spans="2:3" x14ac:dyDescent="0.3">
      <c r="B23" t="s">
        <v>41</v>
      </c>
      <c r="C23">
        <v>-18717</v>
      </c>
    </row>
    <row r="24" spans="2:3" x14ac:dyDescent="0.3">
      <c r="B24" t="s">
        <v>42</v>
      </c>
      <c r="C24">
        <v>-21750</v>
      </c>
    </row>
    <row r="25" spans="2:3" x14ac:dyDescent="0.3">
      <c r="B25" t="s">
        <v>43</v>
      </c>
      <c r="C25">
        <v>-18405</v>
      </c>
    </row>
    <row r="26" spans="2:3" x14ac:dyDescent="0.3">
      <c r="B26" t="s">
        <v>44</v>
      </c>
      <c r="C26">
        <v>-16000</v>
      </c>
    </row>
    <row r="27" spans="2:3" x14ac:dyDescent="0.3">
      <c r="B27" t="s">
        <v>45</v>
      </c>
      <c r="C27">
        <v>-50743</v>
      </c>
    </row>
    <row r="28" spans="2:3" x14ac:dyDescent="0.3">
      <c r="B28" t="s">
        <v>46</v>
      </c>
      <c r="C28">
        <v>-154875</v>
      </c>
    </row>
    <row r="29" spans="2:3" x14ac:dyDescent="0.3">
      <c r="B29" s="25" t="s">
        <v>47</v>
      </c>
      <c r="C29" s="25">
        <v>-325572.77</v>
      </c>
    </row>
    <row r="31" spans="2:3" x14ac:dyDescent="0.3">
      <c r="B31" s="25" t="s">
        <v>83</v>
      </c>
      <c r="C31" s="25">
        <v>-25959.489999999991</v>
      </c>
    </row>
    <row r="32" spans="2:3" x14ac:dyDescent="0.3">
      <c r="B32" s="25"/>
    </row>
    <row r="33" spans="2:3" x14ac:dyDescent="0.3">
      <c r="B33" s="25" t="s">
        <v>49</v>
      </c>
      <c r="C33" s="25">
        <v>-10000</v>
      </c>
    </row>
    <row r="35" spans="2:3" x14ac:dyDescent="0.3">
      <c r="B35" s="25" t="s">
        <v>84</v>
      </c>
      <c r="C35" s="25">
        <v>-35959.489999999991</v>
      </c>
    </row>
  </sheetData>
  <pageMargins left="0.91" right="0.7" top="0.75" bottom="0.75" header="0.3" footer="0.3"/>
  <pageSetup paperSize="9" orientation="portrait" r:id="rId1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B1:C35"/>
  <sheetViews>
    <sheetView workbookViewId="0">
      <selection activeCell="B1" sqref="B1"/>
    </sheetView>
  </sheetViews>
  <sheetFormatPr defaultColWidth="9.109375" defaultRowHeight="13.2" x14ac:dyDescent="0.25"/>
  <cols>
    <col min="1" max="1" width="2.109375" style="3" customWidth="1"/>
    <col min="2" max="2" width="19.5546875" style="3" bestFit="1" customWidth="1"/>
    <col min="3" max="3" width="12.44140625" style="3" bestFit="1" customWidth="1"/>
    <col min="4" max="16384" width="9.109375" style="3"/>
  </cols>
  <sheetData>
    <row r="1" spans="2:3" ht="9.75" customHeight="1" x14ac:dyDescent="0.3">
      <c r="B1" s="4"/>
      <c r="C1" s="6"/>
    </row>
    <row r="2" spans="2:3" ht="15.6" x14ac:dyDescent="0.3">
      <c r="B2" s="7" t="s">
        <v>19</v>
      </c>
      <c r="C2" s="4"/>
    </row>
    <row r="3" spans="2:3" ht="15.6" x14ac:dyDescent="0.3">
      <c r="B3" s="4" t="s">
        <v>20</v>
      </c>
      <c r="C3" s="10">
        <v>96927.4</v>
      </c>
    </row>
    <row r="4" spans="2:3" ht="15.6" x14ac:dyDescent="0.3">
      <c r="B4" s="4" t="s">
        <v>21</v>
      </c>
      <c r="C4" s="10">
        <v>91100</v>
      </c>
    </row>
    <row r="5" spans="2:3" ht="15.6" x14ac:dyDescent="0.3">
      <c r="B5" s="4" t="s">
        <v>22</v>
      </c>
      <c r="C5" s="10">
        <v>53633</v>
      </c>
    </row>
    <row r="6" spans="2:3" ht="15.6" x14ac:dyDescent="0.3">
      <c r="B6" s="4" t="s">
        <v>23</v>
      </c>
      <c r="C6" s="10">
        <v>28901</v>
      </c>
    </row>
    <row r="7" spans="2:3" ht="15.6" x14ac:dyDescent="0.3">
      <c r="B7" s="4" t="s">
        <v>24</v>
      </c>
      <c r="C7" s="10">
        <v>3840</v>
      </c>
    </row>
    <row r="8" spans="2:3" ht="15.6" x14ac:dyDescent="0.3">
      <c r="B8" s="4" t="s">
        <v>25</v>
      </c>
      <c r="C8" s="10"/>
    </row>
    <row r="9" spans="2:3" ht="15.6" x14ac:dyDescent="0.3">
      <c r="B9" s="4" t="s">
        <v>26</v>
      </c>
      <c r="C9" s="10">
        <v>4050</v>
      </c>
    </row>
    <row r="10" spans="2:3" ht="15.6" x14ac:dyDescent="0.3">
      <c r="B10" s="4" t="s">
        <v>27</v>
      </c>
      <c r="C10" s="10">
        <v>1824.88</v>
      </c>
    </row>
    <row r="11" spans="2:3" ht="15.6" x14ac:dyDescent="0.3">
      <c r="B11" s="4" t="s">
        <v>28</v>
      </c>
      <c r="C11" s="10">
        <v>1987</v>
      </c>
    </row>
    <row r="12" spans="2:3" ht="15.6" x14ac:dyDescent="0.3">
      <c r="B12" s="7" t="s">
        <v>29</v>
      </c>
      <c r="C12" s="12">
        <f>SUM(C3:C11)</f>
        <v>282263.28000000003</v>
      </c>
    </row>
    <row r="13" spans="2:3" ht="15.6" x14ac:dyDescent="0.3">
      <c r="B13" s="4"/>
      <c r="C13" s="4"/>
    </row>
    <row r="14" spans="2:3" ht="15.6" x14ac:dyDescent="0.3">
      <c r="B14" s="7" t="s">
        <v>30</v>
      </c>
      <c r="C14" s="7"/>
    </row>
    <row r="15" spans="2:3" ht="15.6" x14ac:dyDescent="0.3">
      <c r="B15" s="4" t="s">
        <v>31</v>
      </c>
      <c r="C15" s="4"/>
    </row>
    <row r="16" spans="2:3" ht="15.6" x14ac:dyDescent="0.3">
      <c r="B16" s="4" t="s">
        <v>32</v>
      </c>
      <c r="C16" s="10">
        <v>-6643</v>
      </c>
    </row>
    <row r="17" spans="2:3" ht="15.6" x14ac:dyDescent="0.3">
      <c r="B17" s="4" t="s">
        <v>33</v>
      </c>
      <c r="C17" s="10">
        <v>-547</v>
      </c>
    </row>
    <row r="18" spans="2:3" ht="15.6" x14ac:dyDescent="0.3">
      <c r="B18" s="4" t="s">
        <v>34</v>
      </c>
      <c r="C18" s="10">
        <v>-4637.7700000000004</v>
      </c>
    </row>
    <row r="19" spans="2:3" ht="15.6" x14ac:dyDescent="0.3">
      <c r="B19" s="4" t="s">
        <v>35</v>
      </c>
      <c r="C19" s="10">
        <v>-3900</v>
      </c>
    </row>
    <row r="20" spans="2:3" ht="15.6" x14ac:dyDescent="0.3">
      <c r="B20" s="4" t="s">
        <v>36</v>
      </c>
      <c r="C20" s="10">
        <v>-8690</v>
      </c>
    </row>
    <row r="21" spans="2:3" ht="15.6" x14ac:dyDescent="0.3">
      <c r="B21" s="4" t="s">
        <v>38</v>
      </c>
      <c r="C21" s="10">
        <v>-3450</v>
      </c>
    </row>
    <row r="22" spans="2:3" ht="15.6" x14ac:dyDescent="0.3">
      <c r="B22" s="4" t="s">
        <v>39</v>
      </c>
      <c r="C22" s="10">
        <v>-7280</v>
      </c>
    </row>
    <row r="23" spans="2:3" ht="15.6" x14ac:dyDescent="0.3">
      <c r="B23" s="4" t="s">
        <v>41</v>
      </c>
      <c r="C23" s="10">
        <v>-18717</v>
      </c>
    </row>
    <row r="24" spans="2:3" ht="15.6" x14ac:dyDescent="0.3">
      <c r="B24" s="4" t="s">
        <v>42</v>
      </c>
      <c r="C24" s="10">
        <v>-21750</v>
      </c>
    </row>
    <row r="25" spans="2:3" ht="15.6" x14ac:dyDescent="0.3">
      <c r="B25" s="4" t="s">
        <v>43</v>
      </c>
      <c r="C25" s="10">
        <v>-16655</v>
      </c>
    </row>
    <row r="26" spans="2:3" ht="15.6" x14ac:dyDescent="0.3">
      <c r="B26" s="4" t="s">
        <v>44</v>
      </c>
      <c r="C26" s="10">
        <v>-16000</v>
      </c>
    </row>
    <row r="27" spans="2:3" ht="15.6" x14ac:dyDescent="0.3">
      <c r="B27" s="4" t="s">
        <v>45</v>
      </c>
      <c r="C27" s="10">
        <v>-50743</v>
      </c>
    </row>
    <row r="28" spans="2:3" ht="15.6" x14ac:dyDescent="0.3">
      <c r="B28" s="4" t="s">
        <v>46</v>
      </c>
      <c r="C28" s="10">
        <v>-154875</v>
      </c>
    </row>
    <row r="29" spans="2:3" ht="15.6" x14ac:dyDescent="0.3">
      <c r="B29" s="7" t="s">
        <v>47</v>
      </c>
      <c r="C29" s="12">
        <f>SUM(C15:C28)</f>
        <v>-313887.77</v>
      </c>
    </row>
    <row r="30" spans="2:3" ht="15.6" x14ac:dyDescent="0.3">
      <c r="B30" s="7"/>
      <c r="C30" s="12"/>
    </row>
    <row r="31" spans="2:3" ht="15.6" x14ac:dyDescent="0.3">
      <c r="B31" s="7" t="s">
        <v>50</v>
      </c>
      <c r="C31" s="12">
        <f>+C29+C12</f>
        <v>-31624.489999999991</v>
      </c>
    </row>
    <row r="32" spans="2:3" ht="15.6" x14ac:dyDescent="0.3">
      <c r="B32" s="7"/>
      <c r="C32" s="12"/>
    </row>
    <row r="33" spans="2:3" ht="15.6" x14ac:dyDescent="0.3">
      <c r="B33" s="7" t="s">
        <v>49</v>
      </c>
      <c r="C33" s="12">
        <v>-10000</v>
      </c>
    </row>
    <row r="34" spans="2:3" ht="15.6" x14ac:dyDescent="0.3">
      <c r="B34" s="7"/>
      <c r="C34" s="12"/>
    </row>
    <row r="35" spans="2:3" ht="15.6" x14ac:dyDescent="0.3">
      <c r="B35" s="7" t="s">
        <v>51</v>
      </c>
      <c r="C35" s="12">
        <f>+C33+C31</f>
        <v>-41624.489999999991</v>
      </c>
    </row>
  </sheetData>
  <pageMargins left="1.6" right="0.7" top="1.18" bottom="0.75" header="0.3" footer="0.3"/>
  <pageSetup paperSize="9" orientation="portrait" r:id="rId1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D35"/>
  <sheetViews>
    <sheetView topLeftCell="A21" workbookViewId="0">
      <selection activeCell="D38" sqref="D38"/>
    </sheetView>
  </sheetViews>
  <sheetFormatPr defaultRowHeight="14.4" x14ac:dyDescent="0.3"/>
  <cols>
    <col min="1" max="1" width="21" bestFit="1" customWidth="1"/>
    <col min="4" max="4" width="7.88671875" bestFit="1" customWidth="1"/>
  </cols>
  <sheetData>
    <row r="1" spans="1:4" ht="15.6" x14ac:dyDescent="0.3">
      <c r="A1" s="27" t="s">
        <v>87</v>
      </c>
    </row>
    <row r="3" spans="1:4" x14ac:dyDescent="0.3">
      <c r="A3" s="1"/>
      <c r="B3" s="1"/>
      <c r="C3" s="1"/>
      <c r="D3" s="1"/>
    </row>
    <row r="4" spans="1:4" x14ac:dyDescent="0.3">
      <c r="B4" s="307">
        <v>2012</v>
      </c>
      <c r="C4" s="307"/>
      <c r="D4" s="307"/>
    </row>
    <row r="5" spans="1:4" x14ac:dyDescent="0.3">
      <c r="A5" s="15"/>
      <c r="B5" s="16"/>
      <c r="C5" s="16" t="s">
        <v>19</v>
      </c>
      <c r="D5" s="16" t="s">
        <v>30</v>
      </c>
    </row>
    <row r="6" spans="1:4" x14ac:dyDescent="0.3">
      <c r="A6" s="15" t="s">
        <v>52</v>
      </c>
      <c r="B6" s="16"/>
      <c r="C6" s="16">
        <v>17350</v>
      </c>
      <c r="D6" s="16"/>
    </row>
    <row r="7" spans="1:4" x14ac:dyDescent="0.3">
      <c r="A7" s="15"/>
      <c r="B7" s="16"/>
      <c r="C7" s="16"/>
      <c r="D7" s="16"/>
    </row>
    <row r="8" spans="1:4" x14ac:dyDescent="0.3">
      <c r="A8" s="15" t="s">
        <v>53</v>
      </c>
      <c r="B8" s="16">
        <v>1500</v>
      </c>
      <c r="C8" s="16"/>
      <c r="D8" s="16">
        <v>1500</v>
      </c>
    </row>
    <row r="9" spans="1:4" x14ac:dyDescent="0.3">
      <c r="A9" s="15"/>
      <c r="B9" s="16"/>
      <c r="C9" s="16"/>
      <c r="D9" s="16"/>
    </row>
    <row r="10" spans="1:4" x14ac:dyDescent="0.3">
      <c r="A10" s="15" t="s">
        <v>56</v>
      </c>
      <c r="B10" s="16"/>
      <c r="C10" s="16"/>
      <c r="D10" s="16"/>
    </row>
    <row r="11" spans="1:4" x14ac:dyDescent="0.3">
      <c r="A11" s="15" t="s">
        <v>59</v>
      </c>
      <c r="B11" s="16">
        <v>1887</v>
      </c>
      <c r="C11" s="16"/>
      <c r="D11" s="16">
        <v>1887</v>
      </c>
    </row>
    <row r="12" spans="1:4" x14ac:dyDescent="0.3">
      <c r="A12" s="15"/>
      <c r="B12" s="16"/>
      <c r="C12" s="16"/>
      <c r="D12" s="16"/>
    </row>
    <row r="13" spans="1:4" x14ac:dyDescent="0.3">
      <c r="A13" s="15" t="s">
        <v>60</v>
      </c>
      <c r="B13" s="16"/>
      <c r="C13" s="16"/>
      <c r="D13" s="16"/>
    </row>
    <row r="14" spans="1:4" x14ac:dyDescent="0.3">
      <c r="A14" s="15" t="s">
        <v>62</v>
      </c>
      <c r="B14" s="16">
        <v>840</v>
      </c>
      <c r="C14" s="16"/>
      <c r="D14" s="16"/>
    </row>
    <row r="15" spans="1:4" x14ac:dyDescent="0.3">
      <c r="A15" s="15" t="s">
        <v>63</v>
      </c>
      <c r="B15" s="16">
        <v>858</v>
      </c>
      <c r="C15" s="16"/>
      <c r="D15" s="16"/>
    </row>
    <row r="16" spans="1:4" x14ac:dyDescent="0.3">
      <c r="A16" s="15" t="s">
        <v>64</v>
      </c>
      <c r="B16" s="16">
        <v>840</v>
      </c>
      <c r="C16" s="16"/>
      <c r="D16" s="16"/>
    </row>
    <row r="17" spans="1:4" x14ac:dyDescent="0.3">
      <c r="A17" s="15" t="s">
        <v>66</v>
      </c>
      <c r="B17" s="16">
        <v>840</v>
      </c>
      <c r="C17" s="16"/>
      <c r="D17" s="16"/>
    </row>
    <row r="18" spans="1:4" x14ac:dyDescent="0.3">
      <c r="A18" s="15" t="s">
        <v>68</v>
      </c>
      <c r="B18" s="16">
        <v>840</v>
      </c>
      <c r="C18" s="16"/>
      <c r="D18" s="16"/>
    </row>
    <row r="19" spans="1:4" x14ac:dyDescent="0.3">
      <c r="A19" s="15" t="s">
        <v>70</v>
      </c>
      <c r="B19" s="16">
        <v>810</v>
      </c>
      <c r="C19" s="16"/>
      <c r="D19" s="16"/>
    </row>
    <row r="20" spans="1:4" x14ac:dyDescent="0.3">
      <c r="A20" s="15" t="s">
        <v>71</v>
      </c>
      <c r="B20" s="16">
        <v>800</v>
      </c>
      <c r="C20" s="16"/>
      <c r="D20" s="16"/>
    </row>
    <row r="21" spans="1:4" x14ac:dyDescent="0.3">
      <c r="A21" s="15" t="s">
        <v>72</v>
      </c>
      <c r="B21" s="16">
        <v>720</v>
      </c>
      <c r="C21" s="16"/>
      <c r="D21" s="16">
        <f>SUM(B14:B21)</f>
        <v>6548</v>
      </c>
    </row>
    <row r="22" spans="1:4" x14ac:dyDescent="0.3">
      <c r="A22" s="15"/>
      <c r="B22" s="16"/>
      <c r="C22" s="16"/>
      <c r="D22" s="16"/>
    </row>
    <row r="23" spans="1:4" x14ac:dyDescent="0.3">
      <c r="A23" s="15" t="s">
        <v>73</v>
      </c>
      <c r="B23" s="16"/>
      <c r="C23" s="16"/>
      <c r="D23" s="16"/>
    </row>
    <row r="24" spans="1:4" x14ac:dyDescent="0.3">
      <c r="A24" s="15" t="s">
        <v>74</v>
      </c>
      <c r="B24" s="16">
        <v>250</v>
      </c>
      <c r="C24" s="16"/>
      <c r="D24" s="16"/>
    </row>
    <row r="25" spans="1:4" x14ac:dyDescent="0.3">
      <c r="A25" s="15" t="s">
        <v>75</v>
      </c>
      <c r="B25" s="16">
        <v>250</v>
      </c>
      <c r="C25" s="16"/>
      <c r="D25" s="16"/>
    </row>
    <row r="26" spans="1:4" x14ac:dyDescent="0.3">
      <c r="A26" s="15" t="s">
        <v>76</v>
      </c>
      <c r="B26" s="16">
        <v>250</v>
      </c>
      <c r="C26" s="16"/>
      <c r="D26" s="16"/>
    </row>
    <row r="27" spans="1:4" x14ac:dyDescent="0.3">
      <c r="A27" s="15" t="s">
        <v>77</v>
      </c>
      <c r="B27" s="16">
        <v>125</v>
      </c>
      <c r="C27" s="16"/>
      <c r="D27" s="16"/>
    </row>
    <row r="28" spans="1:4" x14ac:dyDescent="0.3">
      <c r="A28" s="15" t="s">
        <v>76</v>
      </c>
      <c r="B28" s="16">
        <v>125</v>
      </c>
      <c r="C28" s="16"/>
      <c r="D28" s="16"/>
    </row>
    <row r="29" spans="1:4" x14ac:dyDescent="0.3">
      <c r="A29" s="15" t="s">
        <v>78</v>
      </c>
      <c r="B29" s="16">
        <v>250</v>
      </c>
      <c r="C29" s="16"/>
      <c r="D29" s="16"/>
    </row>
    <row r="30" spans="1:4" x14ac:dyDescent="0.3">
      <c r="A30" s="15" t="s">
        <v>79</v>
      </c>
      <c r="B30" s="16">
        <v>250</v>
      </c>
      <c r="C30" s="16"/>
      <c r="D30" s="16"/>
    </row>
    <row r="31" spans="1:4" x14ac:dyDescent="0.3">
      <c r="A31" s="15" t="s">
        <v>79</v>
      </c>
      <c r="B31" s="16">
        <v>125</v>
      </c>
      <c r="C31" s="16"/>
      <c r="D31" s="16"/>
    </row>
    <row r="32" spans="1:4" x14ac:dyDescent="0.3">
      <c r="A32" s="15" t="s">
        <v>80</v>
      </c>
      <c r="B32" s="16">
        <v>125</v>
      </c>
      <c r="C32" s="16"/>
      <c r="D32" s="16">
        <f>SUM(B24:B32)</f>
        <v>1750</v>
      </c>
    </row>
    <row r="33" spans="1:4" x14ac:dyDescent="0.3">
      <c r="A33" s="15"/>
      <c r="B33" s="16"/>
      <c r="C33" s="16">
        <f>SUM(C6:C32)</f>
        <v>17350</v>
      </c>
      <c r="D33" s="16">
        <f>SUM(D6:D32)</f>
        <v>11685</v>
      </c>
    </row>
    <row r="34" spans="1:4" x14ac:dyDescent="0.3">
      <c r="A34" s="15"/>
      <c r="B34" s="16"/>
      <c r="C34" s="16"/>
      <c r="D34" s="16"/>
    </row>
    <row r="35" spans="1:4" x14ac:dyDescent="0.3">
      <c r="A35" s="15" t="s">
        <v>81</v>
      </c>
      <c r="B35" s="16"/>
      <c r="C35" s="16">
        <f>C33-D33</f>
        <v>5665</v>
      </c>
      <c r="D35" s="16"/>
    </row>
  </sheetData>
  <mergeCells count="1">
    <mergeCell ref="B4:D4"/>
  </mergeCells>
  <pageMargins left="1.41" right="0.7" top="0.75" bottom="0.75" header="0.3" footer="0.3"/>
  <pageSetup paperSize="9" orientation="portrait" r:id="rId1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Q39"/>
  <sheetViews>
    <sheetView workbookViewId="0"/>
  </sheetViews>
  <sheetFormatPr defaultColWidth="9.109375" defaultRowHeight="15.6" x14ac:dyDescent="0.3"/>
  <cols>
    <col min="1" max="1" width="25.109375" style="4" bestFit="1" customWidth="1"/>
    <col min="2" max="2" width="14.88671875" style="4" customWidth="1"/>
    <col min="3" max="3" width="12.44140625" style="4" bestFit="1" customWidth="1"/>
    <col min="4" max="4" width="12.109375" style="4" bestFit="1" customWidth="1"/>
    <col min="5" max="5" width="9.109375" style="1"/>
    <col min="6" max="7" width="12.44140625" style="1" bestFit="1" customWidth="1"/>
    <col min="8" max="9" width="9.109375" style="1"/>
    <col min="10" max="10" width="21" style="1" bestFit="1" customWidth="1"/>
    <col min="11" max="15" width="9.109375" style="1"/>
    <col min="16" max="16" width="17.88671875" style="1" bestFit="1" customWidth="1"/>
    <col min="17" max="16384" width="9.109375" style="1"/>
  </cols>
  <sheetData>
    <row r="1" spans="1:17" x14ac:dyDescent="0.3">
      <c r="B1" s="5" t="s">
        <v>16</v>
      </c>
      <c r="C1" s="6" t="s">
        <v>17</v>
      </c>
      <c r="D1" s="6" t="s">
        <v>18</v>
      </c>
      <c r="F1" s="18" t="str">
        <f>B1</f>
        <v>2013 Budget</v>
      </c>
      <c r="G1" s="18" t="str">
        <f>C1</f>
        <v>2012 res</v>
      </c>
    </row>
    <row r="2" spans="1:17" x14ac:dyDescent="0.3">
      <c r="A2" s="7" t="s">
        <v>19</v>
      </c>
      <c r="B2" s="8"/>
      <c r="F2" s="18"/>
      <c r="G2" s="18"/>
      <c r="J2"/>
      <c r="K2" s="307">
        <v>2012</v>
      </c>
      <c r="L2" s="307"/>
      <c r="M2" s="307"/>
      <c r="N2"/>
      <c r="O2"/>
      <c r="P2" s="308">
        <v>2013</v>
      </c>
      <c r="Q2" s="308"/>
    </row>
    <row r="3" spans="1:17" x14ac:dyDescent="0.3">
      <c r="A3" s="4" t="s">
        <v>20</v>
      </c>
      <c r="B3" s="9">
        <v>100000</v>
      </c>
      <c r="C3" s="10">
        <v>96927.4</v>
      </c>
      <c r="D3" s="10">
        <v>77519.3</v>
      </c>
      <c r="F3" s="19">
        <f t="shared" ref="F3:F35" si="0">B3</f>
        <v>100000</v>
      </c>
      <c r="G3" s="19">
        <f t="shared" ref="G3:G35" si="1">C3</f>
        <v>96927.4</v>
      </c>
      <c r="J3" s="15"/>
      <c r="K3" s="16"/>
      <c r="L3" s="16" t="s">
        <v>19</v>
      </c>
      <c r="M3" s="16" t="s">
        <v>30</v>
      </c>
      <c r="N3"/>
      <c r="O3"/>
      <c r="P3"/>
      <c r="Q3" s="17"/>
    </row>
    <row r="4" spans="1:17" x14ac:dyDescent="0.3">
      <c r="A4" s="4" t="s">
        <v>21</v>
      </c>
      <c r="B4" s="9">
        <v>90000</v>
      </c>
      <c r="C4" s="10">
        <v>91100</v>
      </c>
      <c r="D4" s="10">
        <v>66900</v>
      </c>
      <c r="F4" s="19">
        <f t="shared" si="0"/>
        <v>90000</v>
      </c>
      <c r="G4" s="19">
        <f t="shared" si="1"/>
        <v>91100</v>
      </c>
      <c r="J4" s="15" t="s">
        <v>52</v>
      </c>
      <c r="K4" s="16"/>
      <c r="L4" s="16">
        <v>17350</v>
      </c>
      <c r="M4" s="16"/>
      <c r="N4"/>
      <c r="O4"/>
      <c r="P4" t="s">
        <v>52</v>
      </c>
      <c r="Q4" s="17">
        <v>12000</v>
      </c>
    </row>
    <row r="5" spans="1:17" x14ac:dyDescent="0.3">
      <c r="A5" s="4" t="s">
        <v>22</v>
      </c>
      <c r="B5" s="9">
        <v>55000</v>
      </c>
      <c r="C5" s="10">
        <v>53633</v>
      </c>
      <c r="D5" s="10">
        <v>41550</v>
      </c>
      <c r="F5" s="21">
        <f>B5+Q4</f>
        <v>67000</v>
      </c>
      <c r="G5" s="21">
        <f>C5+L4</f>
        <v>70983</v>
      </c>
      <c r="J5" s="15"/>
      <c r="K5" s="16"/>
      <c r="L5" s="16"/>
      <c r="M5" s="16"/>
      <c r="N5"/>
      <c r="O5"/>
      <c r="P5" t="s">
        <v>24</v>
      </c>
      <c r="Q5" s="17"/>
    </row>
    <row r="6" spans="1:17" x14ac:dyDescent="0.3">
      <c r="A6" s="4" t="s">
        <v>23</v>
      </c>
      <c r="B6" s="9">
        <v>30000</v>
      </c>
      <c r="C6" s="10">
        <v>28901</v>
      </c>
      <c r="D6" s="10">
        <v>20105</v>
      </c>
      <c r="F6" s="19">
        <f t="shared" si="0"/>
        <v>30000</v>
      </c>
      <c r="G6" s="19">
        <f t="shared" si="1"/>
        <v>28901</v>
      </c>
      <c r="J6" s="15" t="s">
        <v>53</v>
      </c>
      <c r="K6" s="16">
        <v>1500</v>
      </c>
      <c r="L6" s="16"/>
      <c r="M6" s="16">
        <v>1500</v>
      </c>
      <c r="N6"/>
      <c r="O6"/>
      <c r="P6" t="s">
        <v>54</v>
      </c>
      <c r="Q6" s="17">
        <v>25000</v>
      </c>
    </row>
    <row r="7" spans="1:17" x14ac:dyDescent="0.3">
      <c r="A7" s="4" t="s">
        <v>24</v>
      </c>
      <c r="B7" s="9">
        <v>5000</v>
      </c>
      <c r="C7" s="10">
        <v>3840</v>
      </c>
      <c r="D7" s="10">
        <v>14600</v>
      </c>
      <c r="F7" s="21">
        <f>B7+Q6</f>
        <v>30000</v>
      </c>
      <c r="G7" s="19">
        <f t="shared" si="1"/>
        <v>3840</v>
      </c>
      <c r="J7" s="15"/>
      <c r="K7" s="16"/>
      <c r="L7" s="16"/>
      <c r="M7" s="16"/>
      <c r="N7"/>
      <c r="O7"/>
      <c r="P7" t="s">
        <v>55</v>
      </c>
      <c r="Q7" s="17">
        <v>75000</v>
      </c>
    </row>
    <row r="8" spans="1:17" x14ac:dyDescent="0.3">
      <c r="A8" s="4" t="s">
        <v>25</v>
      </c>
      <c r="B8" s="9"/>
      <c r="C8" s="10"/>
      <c r="D8" s="10">
        <v>6728</v>
      </c>
      <c r="F8" s="19">
        <f t="shared" si="0"/>
        <v>0</v>
      </c>
      <c r="G8" s="19">
        <f t="shared" si="1"/>
        <v>0</v>
      </c>
      <c r="J8" s="15" t="s">
        <v>56</v>
      </c>
      <c r="K8" s="16"/>
      <c r="L8" s="16"/>
      <c r="M8" s="16"/>
      <c r="N8"/>
      <c r="O8"/>
      <c r="P8" t="s">
        <v>57</v>
      </c>
      <c r="Q8" s="17" t="s">
        <v>58</v>
      </c>
    </row>
    <row r="9" spans="1:17" x14ac:dyDescent="0.3">
      <c r="A9" s="4" t="s">
        <v>26</v>
      </c>
      <c r="B9" s="9">
        <v>6000</v>
      </c>
      <c r="C9" s="10">
        <v>4050</v>
      </c>
      <c r="D9" s="10">
        <v>5600</v>
      </c>
      <c r="F9" s="19">
        <f t="shared" si="0"/>
        <v>6000</v>
      </c>
      <c r="G9" s="19">
        <f t="shared" si="1"/>
        <v>4050</v>
      </c>
      <c r="J9" s="15" t="s">
        <v>59</v>
      </c>
      <c r="K9" s="16">
        <v>1887</v>
      </c>
      <c r="L9" s="16"/>
      <c r="M9" s="16">
        <v>1887</v>
      </c>
      <c r="N9"/>
      <c r="O9"/>
      <c r="P9"/>
      <c r="Q9" s="17"/>
    </row>
    <row r="10" spans="1:17" x14ac:dyDescent="0.3">
      <c r="A10" s="4" t="s">
        <v>27</v>
      </c>
      <c r="B10" s="9">
        <v>2000</v>
      </c>
      <c r="C10" s="10">
        <v>1824.88</v>
      </c>
      <c r="D10" s="10">
        <v>2470.9899999999998</v>
      </c>
      <c r="F10" s="19">
        <f t="shared" si="0"/>
        <v>2000</v>
      </c>
      <c r="G10" s="19">
        <f t="shared" si="1"/>
        <v>1824.88</v>
      </c>
      <c r="J10" s="15"/>
      <c r="K10" s="16"/>
      <c r="L10" s="16"/>
      <c r="M10" s="16"/>
      <c r="N10"/>
      <c r="O10"/>
      <c r="P10"/>
      <c r="Q10" s="17"/>
    </row>
    <row r="11" spans="1:17" x14ac:dyDescent="0.3">
      <c r="A11" s="4" t="s">
        <v>28</v>
      </c>
      <c r="B11" s="9">
        <v>20000</v>
      </c>
      <c r="C11" s="10">
        <v>1987</v>
      </c>
      <c r="D11" s="10">
        <v>4135</v>
      </c>
      <c r="F11" s="19">
        <f t="shared" si="0"/>
        <v>20000</v>
      </c>
      <c r="G11" s="19">
        <f t="shared" si="1"/>
        <v>1987</v>
      </c>
      <c r="J11" s="15" t="s">
        <v>60</v>
      </c>
      <c r="K11" s="16"/>
      <c r="L11" s="16"/>
      <c r="M11" s="16"/>
      <c r="N11"/>
      <c r="O11"/>
      <c r="P11" t="s">
        <v>61</v>
      </c>
      <c r="Q11" s="17">
        <v>34000</v>
      </c>
    </row>
    <row r="12" spans="1:17" x14ac:dyDescent="0.3">
      <c r="A12" s="7" t="s">
        <v>29</v>
      </c>
      <c r="B12" s="11">
        <f>SUM(B3:B11)</f>
        <v>308000</v>
      </c>
      <c r="C12" s="12">
        <f>SUM(C3:C11)</f>
        <v>282263.28000000003</v>
      </c>
      <c r="D12" s="12">
        <f>SUM(D3:D11)</f>
        <v>239608.28999999998</v>
      </c>
      <c r="F12" s="20">
        <f>SUM(F3:F11)</f>
        <v>345000</v>
      </c>
      <c r="G12" s="20">
        <f>SUM(G3:G11)</f>
        <v>299613.28000000003</v>
      </c>
      <c r="J12" s="15" t="s">
        <v>62</v>
      </c>
      <c r="K12" s="16">
        <v>840</v>
      </c>
      <c r="L12" s="16"/>
      <c r="M12" s="16"/>
      <c r="N12"/>
      <c r="O12"/>
      <c r="P12" t="s">
        <v>60</v>
      </c>
      <c r="Q12" s="17">
        <v>10000</v>
      </c>
    </row>
    <row r="13" spans="1:17" x14ac:dyDescent="0.3">
      <c r="B13" s="9"/>
      <c r="D13" s="10"/>
      <c r="F13" s="19"/>
      <c r="G13" s="19"/>
      <c r="J13" s="15" t="s">
        <v>63</v>
      </c>
      <c r="K13" s="16">
        <v>858</v>
      </c>
      <c r="L13" s="16"/>
      <c r="M13" s="16"/>
      <c r="N13"/>
      <c r="O13"/>
      <c r="P13"/>
      <c r="Q13" s="17"/>
    </row>
    <row r="14" spans="1:17" s="13" customFormat="1" x14ac:dyDescent="0.3">
      <c r="A14" s="7" t="s">
        <v>30</v>
      </c>
      <c r="B14" s="9"/>
      <c r="C14" s="7"/>
      <c r="D14" s="10"/>
      <c r="F14" s="19"/>
      <c r="G14" s="19"/>
      <c r="J14" s="15" t="s">
        <v>64</v>
      </c>
      <c r="K14" s="16">
        <v>840</v>
      </c>
      <c r="L14" s="16"/>
      <c r="M14" s="16"/>
      <c r="N14"/>
      <c r="O14"/>
      <c r="P14" t="s">
        <v>65</v>
      </c>
      <c r="Q14" s="17"/>
    </row>
    <row r="15" spans="1:17" x14ac:dyDescent="0.3">
      <c r="A15" s="4" t="s">
        <v>31</v>
      </c>
      <c r="B15" s="8"/>
      <c r="D15" s="10">
        <v>-180</v>
      </c>
      <c r="F15" s="19">
        <f t="shared" si="0"/>
        <v>0</v>
      </c>
      <c r="G15" s="21">
        <f>C15-M9</f>
        <v>-1887</v>
      </c>
      <c r="J15" s="15" t="s">
        <v>66</v>
      </c>
      <c r="K15" s="16">
        <v>840</v>
      </c>
      <c r="L15" s="16"/>
      <c r="M15" s="16"/>
      <c r="N15"/>
      <c r="O15"/>
      <c r="P15" t="s">
        <v>67</v>
      </c>
      <c r="Q15" s="17">
        <v>6200</v>
      </c>
    </row>
    <row r="16" spans="1:17" x14ac:dyDescent="0.3">
      <c r="A16" s="4" t="s">
        <v>32</v>
      </c>
      <c r="B16" s="9">
        <v>-6700</v>
      </c>
      <c r="C16" s="10">
        <v>-6643</v>
      </c>
      <c r="D16" s="10">
        <v>-6338</v>
      </c>
      <c r="F16" s="19">
        <f t="shared" si="0"/>
        <v>-6700</v>
      </c>
      <c r="G16" s="19">
        <f t="shared" si="1"/>
        <v>-6643</v>
      </c>
      <c r="J16" s="15" t="s">
        <v>68</v>
      </c>
      <c r="K16" s="16">
        <v>840</v>
      </c>
      <c r="L16" s="16"/>
      <c r="M16" s="16"/>
      <c r="N16"/>
      <c r="O16"/>
      <c r="P16" t="s">
        <v>69</v>
      </c>
      <c r="Q16" s="17">
        <v>3000</v>
      </c>
    </row>
    <row r="17" spans="1:17" x14ac:dyDescent="0.3">
      <c r="A17" s="4" t="s">
        <v>33</v>
      </c>
      <c r="B17" s="9">
        <v>-600</v>
      </c>
      <c r="C17" s="10">
        <v>-547</v>
      </c>
      <c r="D17" s="10">
        <v>-741</v>
      </c>
      <c r="F17" s="19">
        <f t="shared" si="0"/>
        <v>-600</v>
      </c>
      <c r="G17" s="19">
        <f t="shared" si="1"/>
        <v>-547</v>
      </c>
      <c r="J17" s="15" t="s">
        <v>70</v>
      </c>
      <c r="K17" s="16">
        <v>810</v>
      </c>
      <c r="L17" s="16"/>
      <c r="M17" s="16"/>
      <c r="N17"/>
      <c r="O17"/>
      <c r="P17"/>
      <c r="Q17" s="17"/>
    </row>
    <row r="18" spans="1:17" x14ac:dyDescent="0.3">
      <c r="A18" s="4" t="s">
        <v>34</v>
      </c>
      <c r="B18" s="9"/>
      <c r="C18" s="10">
        <v>-4637.7700000000004</v>
      </c>
      <c r="D18" s="10">
        <v>-2424</v>
      </c>
      <c r="F18" s="19">
        <f t="shared" si="0"/>
        <v>0</v>
      </c>
      <c r="G18" s="19">
        <f t="shared" si="1"/>
        <v>-4637.7700000000004</v>
      </c>
      <c r="J18" s="15" t="s">
        <v>71</v>
      </c>
      <c r="K18" s="16">
        <v>800</v>
      </c>
      <c r="L18" s="16"/>
      <c r="M18" s="16"/>
      <c r="N18"/>
      <c r="O18"/>
      <c r="P18"/>
      <c r="Q18" s="17"/>
    </row>
    <row r="19" spans="1:17" x14ac:dyDescent="0.3">
      <c r="A19" s="4" t="s">
        <v>35</v>
      </c>
      <c r="B19" s="9">
        <v>-4000</v>
      </c>
      <c r="C19" s="10">
        <v>-3900</v>
      </c>
      <c r="D19" s="10">
        <v>-3400</v>
      </c>
      <c r="F19" s="19">
        <f t="shared" si="0"/>
        <v>-4000</v>
      </c>
      <c r="G19" s="19">
        <f t="shared" si="1"/>
        <v>-3900</v>
      </c>
      <c r="J19" s="15" t="s">
        <v>72</v>
      </c>
      <c r="K19" s="16">
        <v>720</v>
      </c>
      <c r="L19" s="16"/>
      <c r="M19" s="16">
        <f>SUM(K12:K19)</f>
        <v>6548</v>
      </c>
      <c r="N19"/>
      <c r="O19"/>
      <c r="P19"/>
      <c r="Q19" s="17"/>
    </row>
    <row r="20" spans="1:17" x14ac:dyDescent="0.3">
      <c r="A20" s="4" t="s">
        <v>36</v>
      </c>
      <c r="B20" s="9">
        <v>-8000</v>
      </c>
      <c r="C20" s="10">
        <v>-8690</v>
      </c>
      <c r="D20" s="10">
        <v>-3550</v>
      </c>
      <c r="F20" s="19">
        <f t="shared" si="0"/>
        <v>-8000</v>
      </c>
      <c r="G20" s="21">
        <f>C20-M6</f>
        <v>-10190</v>
      </c>
      <c r="J20" s="15"/>
      <c r="K20" s="16"/>
      <c r="L20" s="16"/>
      <c r="M20" s="16"/>
      <c r="N20"/>
      <c r="O20"/>
      <c r="P20"/>
      <c r="Q20" s="17"/>
    </row>
    <row r="21" spans="1:17" x14ac:dyDescent="0.3">
      <c r="A21" s="4" t="s">
        <v>37</v>
      </c>
      <c r="B21" s="9">
        <v>-4000</v>
      </c>
      <c r="C21" s="10"/>
      <c r="D21" s="10">
        <v>-5850</v>
      </c>
      <c r="F21" s="19">
        <f t="shared" si="0"/>
        <v>-4000</v>
      </c>
      <c r="G21" s="19">
        <f t="shared" si="1"/>
        <v>0</v>
      </c>
      <c r="J21" s="15" t="s">
        <v>73</v>
      </c>
      <c r="K21" s="16"/>
      <c r="L21" s="16"/>
      <c r="M21" s="16"/>
      <c r="N21"/>
      <c r="O21"/>
      <c r="P21"/>
      <c r="Q21" s="17"/>
    </row>
    <row r="22" spans="1:17" x14ac:dyDescent="0.3">
      <c r="A22" s="4" t="s">
        <v>38</v>
      </c>
      <c r="B22" s="9">
        <v>-7000</v>
      </c>
      <c r="C22" s="10">
        <v>-3450</v>
      </c>
      <c r="D22" s="10">
        <v>-7138</v>
      </c>
      <c r="F22" s="19">
        <f t="shared" si="0"/>
        <v>-7000</v>
      </c>
      <c r="G22" s="19">
        <f t="shared" si="1"/>
        <v>-3450</v>
      </c>
      <c r="J22" s="15" t="s">
        <v>74</v>
      </c>
      <c r="K22" s="16">
        <v>250</v>
      </c>
      <c r="L22" s="16"/>
      <c r="M22" s="16"/>
      <c r="N22"/>
      <c r="O22"/>
      <c r="P22"/>
      <c r="Q22" s="17"/>
    </row>
    <row r="23" spans="1:17" x14ac:dyDescent="0.3">
      <c r="A23" s="4" t="s">
        <v>39</v>
      </c>
      <c r="B23" s="9">
        <v>-8000</v>
      </c>
      <c r="C23" s="10">
        <v>-7280</v>
      </c>
      <c r="D23" s="10">
        <v>-7915</v>
      </c>
      <c r="F23" s="21">
        <f>B23-Q12/2</f>
        <v>-13000</v>
      </c>
      <c r="G23" s="21">
        <f>C23-M19</f>
        <v>-13828</v>
      </c>
      <c r="J23" s="15" t="s">
        <v>75</v>
      </c>
      <c r="K23" s="16">
        <v>250</v>
      </c>
      <c r="L23" s="16"/>
      <c r="M23" s="16"/>
      <c r="N23"/>
      <c r="O23"/>
      <c r="P23"/>
      <c r="Q23" s="17"/>
    </row>
    <row r="24" spans="1:17" x14ac:dyDescent="0.3">
      <c r="A24" s="4" t="s">
        <v>40</v>
      </c>
      <c r="B24" s="9">
        <v>-6000</v>
      </c>
      <c r="C24" s="10"/>
      <c r="D24" s="10">
        <v>-8200</v>
      </c>
      <c r="F24" s="19">
        <f t="shared" si="0"/>
        <v>-6000</v>
      </c>
      <c r="G24" s="19">
        <f t="shared" si="1"/>
        <v>0</v>
      </c>
      <c r="J24" s="15" t="s">
        <v>76</v>
      </c>
      <c r="K24" s="16">
        <v>250</v>
      </c>
      <c r="L24" s="16"/>
      <c r="M24" s="16"/>
      <c r="N24"/>
      <c r="O24"/>
      <c r="P24"/>
      <c r="Q24" s="17"/>
    </row>
    <row r="25" spans="1:17" x14ac:dyDescent="0.3">
      <c r="A25" s="4" t="s">
        <v>41</v>
      </c>
      <c r="B25" s="9">
        <v>-20000</v>
      </c>
      <c r="C25" s="10">
        <v>-18717</v>
      </c>
      <c r="D25" s="10">
        <v>-14853.42</v>
      </c>
      <c r="F25" s="19">
        <f t="shared" si="0"/>
        <v>-20000</v>
      </c>
      <c r="G25" s="19">
        <f t="shared" si="1"/>
        <v>-18717</v>
      </c>
      <c r="J25" s="15" t="s">
        <v>77</v>
      </c>
      <c r="K25" s="16">
        <v>125</v>
      </c>
      <c r="L25" s="16"/>
      <c r="M25" s="16"/>
      <c r="N25"/>
      <c r="O25"/>
      <c r="P25"/>
      <c r="Q25" s="17"/>
    </row>
    <row r="26" spans="1:17" x14ac:dyDescent="0.3">
      <c r="A26" s="4" t="s">
        <v>42</v>
      </c>
      <c r="B26" s="9">
        <v>-17000</v>
      </c>
      <c r="C26" s="10">
        <v>-21750</v>
      </c>
      <c r="D26" s="10">
        <v>-15750</v>
      </c>
      <c r="F26" s="19">
        <f t="shared" si="0"/>
        <v>-17000</v>
      </c>
      <c r="G26" s="19">
        <f t="shared" si="1"/>
        <v>-21750</v>
      </c>
      <c r="J26" s="15" t="s">
        <v>76</v>
      </c>
      <c r="K26" s="16">
        <v>125</v>
      </c>
      <c r="L26" s="16"/>
      <c r="M26" s="16"/>
      <c r="N26"/>
      <c r="O26"/>
      <c r="P26"/>
      <c r="Q26" s="17"/>
    </row>
    <row r="27" spans="1:17" x14ac:dyDescent="0.3">
      <c r="A27" s="4" t="s">
        <v>43</v>
      </c>
      <c r="B27" s="9">
        <v>-10000</v>
      </c>
      <c r="C27" s="10">
        <v>-16655</v>
      </c>
      <c r="D27" s="10"/>
      <c r="F27" s="19">
        <f t="shared" si="0"/>
        <v>-10000</v>
      </c>
      <c r="G27" s="21">
        <f>C27-M30</f>
        <v>-18405</v>
      </c>
      <c r="J27" s="15" t="s">
        <v>78</v>
      </c>
      <c r="K27" s="16">
        <v>250</v>
      </c>
      <c r="L27" s="16"/>
      <c r="M27" s="16"/>
      <c r="N27"/>
      <c r="O27"/>
      <c r="P27"/>
      <c r="Q27" s="17"/>
    </row>
    <row r="28" spans="1:17" x14ac:dyDescent="0.3">
      <c r="A28" s="4" t="s">
        <v>44</v>
      </c>
      <c r="B28" s="9">
        <v>-16000</v>
      </c>
      <c r="C28" s="10">
        <v>-16000</v>
      </c>
      <c r="D28" s="10">
        <v>-30416</v>
      </c>
      <c r="F28" s="21">
        <f>B28-Q11</f>
        <v>-50000</v>
      </c>
      <c r="G28" s="19">
        <f t="shared" si="1"/>
        <v>-16000</v>
      </c>
      <c r="J28" s="15" t="s">
        <v>79</v>
      </c>
      <c r="K28" s="16">
        <v>250</v>
      </c>
      <c r="L28" s="16"/>
      <c r="M28" s="16"/>
      <c r="N28"/>
      <c r="O28"/>
      <c r="P28"/>
      <c r="Q28" s="17"/>
    </row>
    <row r="29" spans="1:17" x14ac:dyDescent="0.3">
      <c r="A29" s="4" t="s">
        <v>45</v>
      </c>
      <c r="B29" s="9">
        <v>-50000</v>
      </c>
      <c r="C29" s="10">
        <v>-50743</v>
      </c>
      <c r="D29" s="10">
        <v>-32572</v>
      </c>
      <c r="F29" s="19">
        <f t="shared" si="0"/>
        <v>-50000</v>
      </c>
      <c r="G29" s="19">
        <f t="shared" si="1"/>
        <v>-50743</v>
      </c>
      <c r="J29" s="15" t="s">
        <v>79</v>
      </c>
      <c r="K29" s="16">
        <v>125</v>
      </c>
      <c r="L29" s="16"/>
      <c r="M29" s="16"/>
      <c r="N29"/>
      <c r="O29"/>
      <c r="P29"/>
      <c r="Q29" s="17"/>
    </row>
    <row r="30" spans="1:17" x14ac:dyDescent="0.3">
      <c r="A30" s="4" t="s">
        <v>46</v>
      </c>
      <c r="B30" s="9">
        <v>-150000</v>
      </c>
      <c r="C30" s="10">
        <v>-154875</v>
      </c>
      <c r="D30" s="10">
        <v>-107761</v>
      </c>
      <c r="F30" s="19">
        <f t="shared" si="0"/>
        <v>-150000</v>
      </c>
      <c r="G30" s="19">
        <f t="shared" si="1"/>
        <v>-154875</v>
      </c>
      <c r="J30" s="15" t="s">
        <v>80</v>
      </c>
      <c r="K30" s="16">
        <v>125</v>
      </c>
      <c r="L30" s="16"/>
      <c r="M30" s="16">
        <f>SUM(K22:K30)</f>
        <v>1750</v>
      </c>
      <c r="N30"/>
      <c r="O30"/>
      <c r="P30"/>
      <c r="Q30" s="17"/>
    </row>
    <row r="31" spans="1:17" x14ac:dyDescent="0.3">
      <c r="A31" s="7" t="s">
        <v>47</v>
      </c>
      <c r="B31" s="11">
        <f>SUM(B15:B30)</f>
        <v>-307300</v>
      </c>
      <c r="C31" s="12">
        <f>SUM(C15:C30)</f>
        <v>-313887.77</v>
      </c>
      <c r="D31" s="12">
        <f>SUM(D15:D30)</f>
        <v>-247088.41999999998</v>
      </c>
      <c r="F31" s="20">
        <f>SUM(F15:F30)</f>
        <v>-346300</v>
      </c>
      <c r="G31" s="20">
        <f>SUM(G15:G30)</f>
        <v>-325572.77</v>
      </c>
      <c r="J31" s="15"/>
      <c r="K31" s="16"/>
      <c r="L31" s="16">
        <f>SUM(L4:L30)</f>
        <v>17350</v>
      </c>
      <c r="M31" s="16">
        <f>SUM(M4:M30)</f>
        <v>11685</v>
      </c>
      <c r="N31"/>
      <c r="O31"/>
      <c r="P31"/>
      <c r="Q31" s="17"/>
    </row>
    <row r="32" spans="1:17" x14ac:dyDescent="0.3">
      <c r="A32" s="7"/>
      <c r="B32" s="11"/>
      <c r="C32" s="12"/>
      <c r="D32" s="12"/>
      <c r="F32" s="19"/>
      <c r="G32" s="19"/>
      <c r="J32" s="15"/>
      <c r="K32" s="16"/>
      <c r="L32" s="16"/>
      <c r="M32" s="16"/>
      <c r="N32"/>
      <c r="O32"/>
      <c r="P32"/>
      <c r="Q32" s="17"/>
    </row>
    <row r="33" spans="1:17" s="13" customFormat="1" x14ac:dyDescent="0.3">
      <c r="A33" s="7" t="s">
        <v>48</v>
      </c>
      <c r="B33" s="11">
        <f>+B31+B12</f>
        <v>700</v>
      </c>
      <c r="C33" s="12">
        <f>+C31+C12</f>
        <v>-31624.489999999991</v>
      </c>
      <c r="D33" s="12">
        <f>+D31+D12</f>
        <v>-7480.1300000000047</v>
      </c>
      <c r="F33" s="20">
        <f>+F31+F12</f>
        <v>-1300</v>
      </c>
      <c r="G33" s="20">
        <f>+G31+G12</f>
        <v>-25959.489999999991</v>
      </c>
      <c r="J33" s="15" t="s">
        <v>81</v>
      </c>
      <c r="K33" s="16"/>
      <c r="L33" s="16">
        <f>L31-M31</f>
        <v>5665</v>
      </c>
      <c r="M33" s="16"/>
      <c r="N33"/>
      <c r="O33"/>
      <c r="P33"/>
      <c r="Q33" s="17"/>
    </row>
    <row r="34" spans="1:17" s="13" customFormat="1" x14ac:dyDescent="0.3">
      <c r="A34" s="7"/>
      <c r="B34" s="11"/>
      <c r="C34" s="12"/>
      <c r="D34" s="12"/>
      <c r="F34" s="19"/>
      <c r="G34" s="19"/>
    </row>
    <row r="35" spans="1:17" s="13" customFormat="1" x14ac:dyDescent="0.3">
      <c r="A35" s="7" t="s">
        <v>49</v>
      </c>
      <c r="B35" s="11">
        <v>-10000</v>
      </c>
      <c r="C35" s="12">
        <v>-10000</v>
      </c>
      <c r="D35" s="12">
        <v>-10000</v>
      </c>
      <c r="F35" s="19">
        <f t="shared" si="0"/>
        <v>-10000</v>
      </c>
      <c r="G35" s="19">
        <f t="shared" si="1"/>
        <v>-10000</v>
      </c>
    </row>
    <row r="36" spans="1:17" s="13" customFormat="1" x14ac:dyDescent="0.3">
      <c r="A36" s="7"/>
      <c r="B36" s="11"/>
      <c r="C36" s="12"/>
      <c r="D36" s="12"/>
      <c r="F36" s="19"/>
      <c r="G36" s="19"/>
      <c r="L36" s="24"/>
    </row>
    <row r="37" spans="1:17" s="13" customFormat="1" ht="16.2" thickBot="1" x14ac:dyDescent="0.35">
      <c r="A37" s="7"/>
      <c r="B37" s="14">
        <f>+B35+B33</f>
        <v>-9300</v>
      </c>
      <c r="C37" s="12">
        <f>+C35+C33</f>
        <v>-41624.489999999991</v>
      </c>
      <c r="D37" s="12">
        <f>+D35+D33</f>
        <v>-17480.130000000005</v>
      </c>
      <c r="F37" s="20">
        <f>+F35+F33</f>
        <v>-11300</v>
      </c>
      <c r="G37" s="20">
        <f>+G35+G33</f>
        <v>-35959.489999999991</v>
      </c>
    </row>
    <row r="38" spans="1:17" s="13" customFormat="1" x14ac:dyDescent="0.3">
      <c r="A38" s="4"/>
      <c r="B38" s="4"/>
      <c r="C38" s="4"/>
      <c r="D38" s="4"/>
      <c r="F38" s="22"/>
    </row>
    <row r="39" spans="1:17" s="13" customFormat="1" x14ac:dyDescent="0.3">
      <c r="A39" s="7" t="s">
        <v>82</v>
      </c>
      <c r="B39" s="4"/>
      <c r="C39" s="4"/>
      <c r="D39" s="4"/>
      <c r="F39" s="23">
        <v>1300</v>
      </c>
    </row>
  </sheetData>
  <mergeCells count="2">
    <mergeCell ref="K2:M2"/>
    <mergeCell ref="P2:Q2"/>
  </mergeCells>
  <pageMargins left="0.7" right="0.7" top="0.75" bottom="0.75" header="0.3" footer="0.3"/>
  <pageSetup paperSize="9" orientation="portrait" r:id="rId1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J178"/>
  <sheetViews>
    <sheetView workbookViewId="0">
      <selection activeCell="F25" sqref="F25"/>
    </sheetView>
  </sheetViews>
  <sheetFormatPr defaultColWidth="9.109375" defaultRowHeight="13.2" x14ac:dyDescent="0.25"/>
  <cols>
    <col min="1" max="1" width="4.5546875" style="28" customWidth="1"/>
    <col min="2" max="2" width="10.109375" style="28" bestFit="1" customWidth="1"/>
    <col min="3" max="3" width="17.33203125" style="28" customWidth="1"/>
    <col min="4" max="4" width="18.88671875" style="28" bestFit="1" customWidth="1"/>
    <col min="5" max="5" width="9.109375" style="28"/>
    <col min="6" max="6" width="19.109375" style="28" bestFit="1" customWidth="1"/>
    <col min="7" max="7" width="13.44140625" style="28" bestFit="1" customWidth="1"/>
    <col min="8" max="8" width="15" style="28" bestFit="1" customWidth="1"/>
    <col min="9" max="9" width="10.33203125" style="28" bestFit="1" customWidth="1"/>
    <col min="10" max="16384" width="9.109375" style="28"/>
  </cols>
  <sheetData>
    <row r="1" spans="1:10" x14ac:dyDescent="0.25">
      <c r="A1" s="28" t="s">
        <v>89</v>
      </c>
      <c r="B1" s="28" t="s">
        <v>90</v>
      </c>
      <c r="C1" s="28" t="s">
        <v>91</v>
      </c>
      <c r="D1" s="28" t="s">
        <v>92</v>
      </c>
      <c r="E1" s="28" t="s">
        <v>93</v>
      </c>
      <c r="F1" s="28" t="s">
        <v>94</v>
      </c>
      <c r="G1" s="28" t="s">
        <v>95</v>
      </c>
      <c r="H1" s="28" t="s">
        <v>96</v>
      </c>
      <c r="I1" s="28" t="s">
        <v>97</v>
      </c>
    </row>
    <row r="2" spans="1:10" x14ac:dyDescent="0.25">
      <c r="A2" s="28" t="s">
        <v>98</v>
      </c>
      <c r="B2" s="28" t="s">
        <v>99</v>
      </c>
      <c r="C2" s="28" t="s">
        <v>100</v>
      </c>
      <c r="D2" s="28" t="s">
        <v>101</v>
      </c>
      <c r="E2" s="29">
        <v>-2422</v>
      </c>
      <c r="F2" s="30" t="s">
        <v>46</v>
      </c>
      <c r="G2" s="30" t="s">
        <v>102</v>
      </c>
      <c r="H2" s="30"/>
      <c r="I2" s="28" t="s">
        <v>103</v>
      </c>
    </row>
    <row r="3" spans="1:10" x14ac:dyDescent="0.25">
      <c r="A3" s="28" t="s">
        <v>104</v>
      </c>
      <c r="B3" s="28" t="s">
        <v>105</v>
      </c>
      <c r="D3" s="28" t="s">
        <v>106</v>
      </c>
      <c r="E3" s="29">
        <v>-783</v>
      </c>
      <c r="F3" s="30" t="s">
        <v>32</v>
      </c>
      <c r="G3" s="30" t="s">
        <v>107</v>
      </c>
      <c r="H3" s="30" t="s">
        <v>108</v>
      </c>
      <c r="I3" s="28" t="s">
        <v>103</v>
      </c>
    </row>
    <row r="4" spans="1:10" x14ac:dyDescent="0.25">
      <c r="A4" s="28" t="s">
        <v>109</v>
      </c>
      <c r="B4" s="28" t="s">
        <v>110</v>
      </c>
      <c r="C4" s="28" t="s">
        <v>111</v>
      </c>
      <c r="D4" s="28" t="s">
        <v>101</v>
      </c>
      <c r="E4" s="29">
        <v>-1600</v>
      </c>
      <c r="F4" s="30" t="s">
        <v>46</v>
      </c>
      <c r="G4" s="30" t="s">
        <v>112</v>
      </c>
      <c r="H4" s="30"/>
      <c r="I4" s="28" t="s">
        <v>103</v>
      </c>
    </row>
    <row r="5" spans="1:10" x14ac:dyDescent="0.25">
      <c r="A5" s="28" t="s">
        <v>113</v>
      </c>
      <c r="B5" s="28" t="s">
        <v>110</v>
      </c>
      <c r="C5" s="28" t="s">
        <v>100</v>
      </c>
      <c r="D5" s="28" t="s">
        <v>101</v>
      </c>
      <c r="E5" s="29">
        <v>-363</v>
      </c>
      <c r="F5" s="30" t="s">
        <v>46</v>
      </c>
      <c r="G5" s="30" t="s">
        <v>102</v>
      </c>
      <c r="H5" s="30"/>
      <c r="I5" s="28" t="s">
        <v>103</v>
      </c>
    </row>
    <row r="6" spans="1:10" x14ac:dyDescent="0.25">
      <c r="A6" s="28" t="s">
        <v>114</v>
      </c>
      <c r="B6" s="28" t="s">
        <v>115</v>
      </c>
      <c r="C6" s="28" t="s">
        <v>116</v>
      </c>
      <c r="D6" s="28" t="s">
        <v>101</v>
      </c>
      <c r="E6" s="29">
        <v>-1160</v>
      </c>
      <c r="F6" s="30" t="s">
        <v>46</v>
      </c>
      <c r="G6" s="30" t="s">
        <v>112</v>
      </c>
      <c r="H6" s="30" t="s">
        <v>117</v>
      </c>
      <c r="I6" s="28" t="s">
        <v>103</v>
      </c>
      <c r="J6" s="28" t="s">
        <v>118</v>
      </c>
    </row>
    <row r="7" spans="1:10" x14ac:dyDescent="0.25">
      <c r="A7" s="28" t="s">
        <v>119</v>
      </c>
      <c r="B7" s="28" t="s">
        <v>120</v>
      </c>
      <c r="C7" s="28" t="s">
        <v>121</v>
      </c>
      <c r="D7" s="28" t="s">
        <v>122</v>
      </c>
      <c r="E7" s="29">
        <v>-250</v>
      </c>
      <c r="F7" s="30" t="s">
        <v>32</v>
      </c>
      <c r="G7" s="30" t="s">
        <v>107</v>
      </c>
      <c r="H7" s="30" t="s">
        <v>121</v>
      </c>
      <c r="I7" s="28" t="s">
        <v>103</v>
      </c>
    </row>
    <row r="8" spans="1:10" x14ac:dyDescent="0.25">
      <c r="A8" s="28" t="s">
        <v>123</v>
      </c>
      <c r="B8" s="31" t="s">
        <v>124</v>
      </c>
      <c r="C8" s="28" t="s">
        <v>125</v>
      </c>
      <c r="D8" s="28" t="s">
        <v>126</v>
      </c>
      <c r="E8" s="29">
        <v>-10255</v>
      </c>
      <c r="F8" s="30" t="s">
        <v>43</v>
      </c>
      <c r="G8" s="30" t="s">
        <v>107</v>
      </c>
      <c r="I8" s="28" t="s">
        <v>103</v>
      </c>
    </row>
    <row r="9" spans="1:10" x14ac:dyDescent="0.25">
      <c r="A9" s="28" t="s">
        <v>127</v>
      </c>
      <c r="B9" s="31" t="s">
        <v>124</v>
      </c>
      <c r="C9" s="28" t="s">
        <v>128</v>
      </c>
      <c r="D9" s="28" t="s">
        <v>126</v>
      </c>
      <c r="E9" s="29">
        <v>-1850</v>
      </c>
      <c r="F9" s="30" t="s">
        <v>36</v>
      </c>
      <c r="G9" s="30" t="s">
        <v>112</v>
      </c>
      <c r="I9" s="28" t="s">
        <v>103</v>
      </c>
      <c r="J9" s="28" t="s">
        <v>129</v>
      </c>
    </row>
    <row r="10" spans="1:10" x14ac:dyDescent="0.25">
      <c r="A10" s="28" t="s">
        <v>130</v>
      </c>
      <c r="B10" s="28" t="s">
        <v>124</v>
      </c>
      <c r="C10" s="28" t="s">
        <v>131</v>
      </c>
      <c r="D10" s="28" t="s">
        <v>101</v>
      </c>
      <c r="E10" s="29">
        <v>-3330</v>
      </c>
      <c r="F10" s="30" t="s">
        <v>46</v>
      </c>
      <c r="G10" s="30" t="s">
        <v>102</v>
      </c>
      <c r="H10" s="30" t="s">
        <v>132</v>
      </c>
      <c r="I10" s="28" t="s">
        <v>103</v>
      </c>
    </row>
    <row r="11" spans="1:10" x14ac:dyDescent="0.25">
      <c r="A11" s="28" t="s">
        <v>133</v>
      </c>
      <c r="B11" s="28" t="s">
        <v>134</v>
      </c>
      <c r="C11" s="28" t="s">
        <v>135</v>
      </c>
      <c r="D11" s="28" t="s">
        <v>122</v>
      </c>
      <c r="E11" s="29">
        <v>-600</v>
      </c>
      <c r="F11" s="30" t="s">
        <v>136</v>
      </c>
      <c r="G11" s="30" t="s">
        <v>107</v>
      </c>
      <c r="H11" s="30" t="s">
        <v>137</v>
      </c>
      <c r="I11" s="28" t="s">
        <v>103</v>
      </c>
    </row>
    <row r="12" spans="1:10" x14ac:dyDescent="0.25">
      <c r="A12" s="28" t="s">
        <v>138</v>
      </c>
      <c r="B12" s="28" t="s">
        <v>139</v>
      </c>
      <c r="C12" s="28" t="s">
        <v>140</v>
      </c>
      <c r="D12" s="28" t="s">
        <v>122</v>
      </c>
      <c r="E12" s="29">
        <v>-195</v>
      </c>
      <c r="F12" s="30" t="s">
        <v>41</v>
      </c>
      <c r="G12" s="30" t="s">
        <v>107</v>
      </c>
      <c r="I12" s="28" t="s">
        <v>103</v>
      </c>
    </row>
    <row r="13" spans="1:10" x14ac:dyDescent="0.25">
      <c r="A13" s="28" t="s">
        <v>141</v>
      </c>
      <c r="B13" s="28" t="s">
        <v>139</v>
      </c>
      <c r="C13" s="28" t="s">
        <v>45</v>
      </c>
      <c r="D13" s="28" t="s">
        <v>122</v>
      </c>
      <c r="E13" s="29">
        <v>-8232</v>
      </c>
      <c r="F13" s="28" t="s">
        <v>45</v>
      </c>
      <c r="G13" s="28" t="s">
        <v>107</v>
      </c>
      <c r="I13" s="28" t="s">
        <v>103</v>
      </c>
    </row>
    <row r="14" spans="1:10" x14ac:dyDescent="0.25">
      <c r="A14" s="28" t="s">
        <v>142</v>
      </c>
      <c r="B14" s="28" t="s">
        <v>143</v>
      </c>
      <c r="C14" s="28" t="s">
        <v>144</v>
      </c>
      <c r="D14" s="28" t="s">
        <v>145</v>
      </c>
      <c r="E14" s="29">
        <v>36</v>
      </c>
      <c r="F14" s="28" t="s">
        <v>20</v>
      </c>
      <c r="G14" s="30" t="s">
        <v>112</v>
      </c>
      <c r="I14" s="28" t="s">
        <v>103</v>
      </c>
    </row>
    <row r="15" spans="1:10" x14ac:dyDescent="0.25">
      <c r="A15" s="28" t="s">
        <v>146</v>
      </c>
      <c r="B15" s="28" t="s">
        <v>147</v>
      </c>
      <c r="C15" s="28" t="s">
        <v>144</v>
      </c>
      <c r="D15" s="28" t="s">
        <v>145</v>
      </c>
      <c r="E15" s="29">
        <v>37340</v>
      </c>
      <c r="F15" s="28" t="s">
        <v>20</v>
      </c>
      <c r="G15" s="30" t="s">
        <v>112</v>
      </c>
      <c r="I15" s="28" t="s">
        <v>103</v>
      </c>
    </row>
    <row r="16" spans="1:10" x14ac:dyDescent="0.25">
      <c r="A16" s="28" t="s">
        <v>148</v>
      </c>
      <c r="B16" s="28" t="s">
        <v>149</v>
      </c>
      <c r="C16" s="28" t="s">
        <v>150</v>
      </c>
      <c r="D16" s="28" t="s">
        <v>126</v>
      </c>
      <c r="E16" s="29">
        <v>-1200</v>
      </c>
      <c r="F16" s="28" t="s">
        <v>36</v>
      </c>
      <c r="G16" s="28" t="s">
        <v>112</v>
      </c>
      <c r="I16" s="28" t="s">
        <v>103</v>
      </c>
      <c r="J16" s="28" t="s">
        <v>151</v>
      </c>
    </row>
    <row r="17" spans="1:10" x14ac:dyDescent="0.25">
      <c r="A17" s="28" t="s">
        <v>152</v>
      </c>
      <c r="B17" s="28" t="s">
        <v>149</v>
      </c>
      <c r="C17" s="28" t="s">
        <v>153</v>
      </c>
      <c r="D17" s="28" t="s">
        <v>122</v>
      </c>
      <c r="E17" s="29">
        <v>-3750</v>
      </c>
      <c r="F17" s="30" t="s">
        <v>154</v>
      </c>
      <c r="G17" s="30" t="s">
        <v>112</v>
      </c>
      <c r="H17" s="30"/>
      <c r="I17" s="28" t="s">
        <v>103</v>
      </c>
    </row>
    <row r="18" spans="1:10" x14ac:dyDescent="0.25">
      <c r="A18" s="28" t="s">
        <v>155</v>
      </c>
      <c r="B18" s="28" t="s">
        <v>149</v>
      </c>
      <c r="C18" s="28" t="s">
        <v>156</v>
      </c>
      <c r="D18" s="28" t="s">
        <v>101</v>
      </c>
      <c r="E18" s="29">
        <v>-2340</v>
      </c>
      <c r="F18" s="28" t="s">
        <v>41</v>
      </c>
      <c r="G18" s="30" t="s">
        <v>107</v>
      </c>
      <c r="I18" s="28" t="s">
        <v>103</v>
      </c>
    </row>
    <row r="19" spans="1:10" x14ac:dyDescent="0.25">
      <c r="A19" s="28" t="s">
        <v>157</v>
      </c>
      <c r="B19" s="28" t="s">
        <v>149</v>
      </c>
      <c r="C19" s="28" t="s">
        <v>158</v>
      </c>
      <c r="D19" s="28" t="s">
        <v>101</v>
      </c>
      <c r="E19" s="29">
        <v>-6100</v>
      </c>
      <c r="F19" s="30" t="s">
        <v>43</v>
      </c>
      <c r="G19" s="30" t="s">
        <v>112</v>
      </c>
      <c r="H19" s="30"/>
      <c r="I19" s="28" t="s">
        <v>103</v>
      </c>
    </row>
    <row r="20" spans="1:10" x14ac:dyDescent="0.25">
      <c r="A20" s="28" t="s">
        <v>159</v>
      </c>
      <c r="B20" s="28" t="s">
        <v>149</v>
      </c>
      <c r="C20" s="28" t="s">
        <v>160</v>
      </c>
      <c r="D20" s="28" t="s">
        <v>101</v>
      </c>
      <c r="E20" s="29">
        <v>-4500</v>
      </c>
      <c r="F20" s="30" t="s">
        <v>32</v>
      </c>
      <c r="G20" s="30" t="s">
        <v>107</v>
      </c>
      <c r="H20" s="30" t="s">
        <v>161</v>
      </c>
      <c r="I20" s="28" t="s">
        <v>103</v>
      </c>
    </row>
    <row r="21" spans="1:10" x14ac:dyDescent="0.25">
      <c r="A21" s="28" t="s">
        <v>162</v>
      </c>
      <c r="B21" s="28" t="s">
        <v>149</v>
      </c>
      <c r="C21" s="28" t="s">
        <v>163</v>
      </c>
      <c r="D21" s="28" t="s">
        <v>101</v>
      </c>
      <c r="E21" s="29">
        <v>-3900</v>
      </c>
      <c r="F21" s="30" t="s">
        <v>35</v>
      </c>
      <c r="G21" s="30" t="s">
        <v>112</v>
      </c>
      <c r="H21" s="30"/>
      <c r="I21" s="28" t="s">
        <v>103</v>
      </c>
    </row>
    <row r="22" spans="1:10" x14ac:dyDescent="0.25">
      <c r="A22" s="28" t="s">
        <v>164</v>
      </c>
      <c r="B22" s="28" t="s">
        <v>149</v>
      </c>
      <c r="C22" s="28" t="s">
        <v>165</v>
      </c>
      <c r="D22" s="28" t="s">
        <v>101</v>
      </c>
      <c r="E22" s="29">
        <v>-225</v>
      </c>
      <c r="F22" s="30" t="s">
        <v>46</v>
      </c>
      <c r="G22" s="30" t="s">
        <v>102</v>
      </c>
      <c r="H22" s="30"/>
      <c r="I22" s="28" t="s">
        <v>103</v>
      </c>
    </row>
    <row r="23" spans="1:10" x14ac:dyDescent="0.25">
      <c r="A23" s="28" t="s">
        <v>166</v>
      </c>
      <c r="B23" s="28" t="s">
        <v>149</v>
      </c>
      <c r="C23" s="28" t="s">
        <v>167</v>
      </c>
      <c r="D23" s="28" t="s">
        <v>101</v>
      </c>
      <c r="E23" s="29">
        <v>-131</v>
      </c>
      <c r="F23" s="30" t="s">
        <v>46</v>
      </c>
      <c r="G23" s="30" t="s">
        <v>102</v>
      </c>
      <c r="H23" s="30"/>
      <c r="I23" s="28" t="s">
        <v>103</v>
      </c>
    </row>
    <row r="24" spans="1:10" x14ac:dyDescent="0.25">
      <c r="A24" s="28" t="s">
        <v>168</v>
      </c>
      <c r="B24" s="28" t="s">
        <v>169</v>
      </c>
      <c r="C24" s="28" t="s">
        <v>144</v>
      </c>
      <c r="D24" s="28" t="s">
        <v>145</v>
      </c>
      <c r="E24" s="29">
        <v>300</v>
      </c>
      <c r="F24" s="30" t="s">
        <v>22</v>
      </c>
      <c r="G24" s="30" t="s">
        <v>112</v>
      </c>
      <c r="H24" s="30"/>
      <c r="I24" s="28" t="s">
        <v>103</v>
      </c>
    </row>
    <row r="25" spans="1:10" x14ac:dyDescent="0.25">
      <c r="A25" s="28" t="s">
        <v>170</v>
      </c>
      <c r="B25" s="28" t="s">
        <v>171</v>
      </c>
      <c r="C25" s="28" t="s">
        <v>144</v>
      </c>
      <c r="D25" s="28" t="s">
        <v>145</v>
      </c>
      <c r="E25" s="29">
        <v>1700</v>
      </c>
      <c r="F25" s="30" t="s">
        <v>22</v>
      </c>
      <c r="G25" s="30" t="s">
        <v>112</v>
      </c>
      <c r="H25" s="30"/>
      <c r="I25" s="28" t="s">
        <v>103</v>
      </c>
    </row>
    <row r="26" spans="1:10" x14ac:dyDescent="0.25">
      <c r="A26" s="28" t="s">
        <v>172</v>
      </c>
      <c r="B26" s="28" t="s">
        <v>173</v>
      </c>
      <c r="C26" s="28" t="s">
        <v>144</v>
      </c>
      <c r="D26" s="28" t="s">
        <v>145</v>
      </c>
      <c r="E26" s="29">
        <v>850</v>
      </c>
      <c r="F26" s="30" t="s">
        <v>22</v>
      </c>
      <c r="G26" s="30" t="s">
        <v>112</v>
      </c>
      <c r="H26" s="30"/>
      <c r="I26" s="28" t="s">
        <v>103</v>
      </c>
    </row>
    <row r="27" spans="1:10" x14ac:dyDescent="0.25">
      <c r="A27" s="28" t="s">
        <v>174</v>
      </c>
      <c r="B27" s="28" t="s">
        <v>175</v>
      </c>
      <c r="C27" s="28" t="s">
        <v>144</v>
      </c>
      <c r="D27" s="28" t="s">
        <v>145</v>
      </c>
      <c r="E27" s="29">
        <v>5500</v>
      </c>
      <c r="F27" s="30" t="s">
        <v>22</v>
      </c>
      <c r="G27" s="30" t="s">
        <v>112</v>
      </c>
      <c r="H27" s="30"/>
      <c r="I27" s="28" t="s">
        <v>103</v>
      </c>
    </row>
    <row r="28" spans="1:10" x14ac:dyDescent="0.25">
      <c r="A28" s="28" t="s">
        <v>176</v>
      </c>
      <c r="B28" s="28" t="s">
        <v>177</v>
      </c>
      <c r="C28" s="28" t="s">
        <v>178</v>
      </c>
      <c r="D28" s="28" t="s">
        <v>126</v>
      </c>
      <c r="E28" s="29">
        <v>-800</v>
      </c>
      <c r="F28" s="30" t="s">
        <v>36</v>
      </c>
      <c r="G28" s="30" t="s">
        <v>112</v>
      </c>
      <c r="H28" s="30"/>
      <c r="I28" s="28" t="s">
        <v>103</v>
      </c>
      <c r="J28" s="28" t="s">
        <v>179</v>
      </c>
    </row>
    <row r="29" spans="1:10" x14ac:dyDescent="0.25">
      <c r="A29" s="28" t="s">
        <v>180</v>
      </c>
      <c r="B29" s="28" t="s">
        <v>177</v>
      </c>
      <c r="C29" s="31" t="s">
        <v>181</v>
      </c>
      <c r="D29" s="28" t="s">
        <v>126</v>
      </c>
      <c r="E29" s="29">
        <v>-840</v>
      </c>
      <c r="F29" s="30" t="s">
        <v>136</v>
      </c>
      <c r="G29" s="30" t="s">
        <v>102</v>
      </c>
      <c r="H29" s="30"/>
      <c r="I29" s="28" t="s">
        <v>103</v>
      </c>
    </row>
    <row r="30" spans="1:10" x14ac:dyDescent="0.25">
      <c r="A30" s="28" t="s">
        <v>182</v>
      </c>
      <c r="B30" s="28" t="s">
        <v>177</v>
      </c>
      <c r="C30" s="28" t="s">
        <v>144</v>
      </c>
      <c r="D30" s="28" t="s">
        <v>145</v>
      </c>
      <c r="E30" s="29">
        <v>3600</v>
      </c>
      <c r="F30" s="30" t="s">
        <v>22</v>
      </c>
      <c r="G30" s="30" t="s">
        <v>112</v>
      </c>
      <c r="H30" s="30"/>
      <c r="I30" s="28" t="s">
        <v>103</v>
      </c>
    </row>
    <row r="31" spans="1:10" x14ac:dyDescent="0.25">
      <c r="A31" s="28" t="s">
        <v>183</v>
      </c>
      <c r="B31" s="28" t="s">
        <v>184</v>
      </c>
      <c r="C31" s="28" t="s">
        <v>144</v>
      </c>
      <c r="D31" s="28" t="s">
        <v>145</v>
      </c>
      <c r="E31" s="29">
        <v>600</v>
      </c>
      <c r="F31" s="30" t="s">
        <v>22</v>
      </c>
      <c r="G31" s="30" t="s">
        <v>112</v>
      </c>
      <c r="H31" s="30"/>
      <c r="I31" s="28" t="s">
        <v>103</v>
      </c>
    </row>
    <row r="32" spans="1:10" x14ac:dyDescent="0.25">
      <c r="A32" s="28" t="s">
        <v>185</v>
      </c>
      <c r="B32" s="28" t="s">
        <v>186</v>
      </c>
      <c r="C32" s="28" t="s">
        <v>144</v>
      </c>
      <c r="D32" s="28" t="s">
        <v>145</v>
      </c>
      <c r="E32" s="29">
        <v>1000</v>
      </c>
      <c r="F32" s="30" t="s">
        <v>22</v>
      </c>
      <c r="G32" s="30" t="s">
        <v>112</v>
      </c>
      <c r="H32" s="30"/>
      <c r="I32" s="28" t="s">
        <v>103</v>
      </c>
    </row>
    <row r="33" spans="1:10" x14ac:dyDescent="0.25">
      <c r="A33" s="28" t="s">
        <v>187</v>
      </c>
      <c r="B33" s="28" t="s">
        <v>188</v>
      </c>
      <c r="C33" s="28" t="s">
        <v>189</v>
      </c>
      <c r="D33" s="28" t="s">
        <v>101</v>
      </c>
      <c r="E33" s="29">
        <v>-1100</v>
      </c>
      <c r="F33" s="30" t="s">
        <v>46</v>
      </c>
      <c r="G33" s="30" t="s">
        <v>112</v>
      </c>
      <c r="H33" s="30" t="s">
        <v>190</v>
      </c>
      <c r="I33" s="28" t="s">
        <v>103</v>
      </c>
      <c r="J33" s="28" t="s">
        <v>191</v>
      </c>
    </row>
    <row r="34" spans="1:10" x14ac:dyDescent="0.25">
      <c r="A34" s="28" t="s">
        <v>192</v>
      </c>
      <c r="B34" s="28" t="s">
        <v>188</v>
      </c>
      <c r="C34" s="28" t="s">
        <v>167</v>
      </c>
      <c r="D34" s="28" t="s">
        <v>101</v>
      </c>
      <c r="E34" s="29">
        <v>-468</v>
      </c>
      <c r="F34" s="30" t="s">
        <v>46</v>
      </c>
      <c r="G34" s="30" t="s">
        <v>102</v>
      </c>
      <c r="I34" s="28" t="s">
        <v>103</v>
      </c>
    </row>
    <row r="35" spans="1:10" x14ac:dyDescent="0.25">
      <c r="A35" s="28" t="s">
        <v>193</v>
      </c>
      <c r="B35" s="28" t="s">
        <v>188</v>
      </c>
      <c r="C35" s="28" t="s">
        <v>144</v>
      </c>
      <c r="D35" s="28" t="s">
        <v>145</v>
      </c>
      <c r="E35" s="29">
        <v>850</v>
      </c>
      <c r="F35" s="28" t="s">
        <v>194</v>
      </c>
      <c r="G35" s="30" t="s">
        <v>156</v>
      </c>
      <c r="H35" s="30"/>
      <c r="I35" s="28" t="s">
        <v>103</v>
      </c>
    </row>
    <row r="36" spans="1:10" x14ac:dyDescent="0.25">
      <c r="A36" s="28" t="s">
        <v>195</v>
      </c>
      <c r="B36" s="28" t="s">
        <v>196</v>
      </c>
      <c r="C36" s="28" t="s">
        <v>197</v>
      </c>
      <c r="D36" s="28" t="s">
        <v>101</v>
      </c>
      <c r="E36" s="29">
        <v>-350</v>
      </c>
      <c r="F36" s="30" t="s">
        <v>198</v>
      </c>
      <c r="G36" s="30" t="s">
        <v>156</v>
      </c>
      <c r="H36" s="30" t="s">
        <v>199</v>
      </c>
      <c r="I36" s="28" t="s">
        <v>103</v>
      </c>
    </row>
    <row r="37" spans="1:10" x14ac:dyDescent="0.25">
      <c r="A37" s="28" t="s">
        <v>200</v>
      </c>
      <c r="B37" s="28" t="s">
        <v>196</v>
      </c>
      <c r="C37" s="28" t="s">
        <v>41</v>
      </c>
      <c r="D37" s="28" t="s">
        <v>101</v>
      </c>
      <c r="E37" s="29">
        <v>-199</v>
      </c>
      <c r="F37" s="30" t="s">
        <v>41</v>
      </c>
      <c r="G37" s="30" t="s">
        <v>107</v>
      </c>
      <c r="H37" s="30"/>
      <c r="I37" s="28" t="s">
        <v>103</v>
      </c>
    </row>
    <row r="38" spans="1:10" x14ac:dyDescent="0.25">
      <c r="A38" s="28" t="s">
        <v>201</v>
      </c>
      <c r="B38" s="28" t="s">
        <v>196</v>
      </c>
      <c r="C38" s="28" t="s">
        <v>41</v>
      </c>
      <c r="D38" s="28" t="s">
        <v>101</v>
      </c>
      <c r="E38" s="29">
        <v>-275</v>
      </c>
      <c r="F38" s="30" t="s">
        <v>41</v>
      </c>
      <c r="G38" s="30" t="s">
        <v>107</v>
      </c>
      <c r="H38" s="30"/>
      <c r="I38" s="28" t="s">
        <v>103</v>
      </c>
    </row>
    <row r="39" spans="1:10" x14ac:dyDescent="0.25">
      <c r="A39" s="28" t="s">
        <v>202</v>
      </c>
      <c r="B39" s="28" t="s">
        <v>196</v>
      </c>
      <c r="C39" s="28" t="s">
        <v>203</v>
      </c>
      <c r="D39" s="28" t="s">
        <v>126</v>
      </c>
      <c r="E39" s="29">
        <v>-1610</v>
      </c>
      <c r="F39" s="30" t="s">
        <v>41</v>
      </c>
      <c r="G39" s="30" t="s">
        <v>107</v>
      </c>
      <c r="I39" s="28" t="s">
        <v>103</v>
      </c>
    </row>
    <row r="40" spans="1:10" x14ac:dyDescent="0.25">
      <c r="A40" s="28" t="s">
        <v>204</v>
      </c>
      <c r="B40" s="28" t="s">
        <v>205</v>
      </c>
      <c r="C40" s="28" t="s">
        <v>206</v>
      </c>
      <c r="D40" s="28" t="s">
        <v>122</v>
      </c>
      <c r="E40" s="29">
        <v>-1350</v>
      </c>
      <c r="F40" s="30" t="s">
        <v>45</v>
      </c>
      <c r="G40" s="30" t="s">
        <v>107</v>
      </c>
      <c r="H40" s="30"/>
      <c r="I40" s="28" t="s">
        <v>103</v>
      </c>
    </row>
    <row r="41" spans="1:10" x14ac:dyDescent="0.25">
      <c r="A41" s="28" t="s">
        <v>207</v>
      </c>
      <c r="B41" s="28" t="s">
        <v>208</v>
      </c>
      <c r="C41" s="28" t="s">
        <v>209</v>
      </c>
      <c r="D41" s="28" t="s">
        <v>101</v>
      </c>
      <c r="E41" s="29">
        <v>-900</v>
      </c>
      <c r="F41" s="30" t="s">
        <v>46</v>
      </c>
      <c r="G41" s="30" t="s">
        <v>102</v>
      </c>
      <c r="I41" s="28" t="s">
        <v>103</v>
      </c>
    </row>
    <row r="42" spans="1:10" x14ac:dyDescent="0.25">
      <c r="A42" s="28" t="s">
        <v>210</v>
      </c>
      <c r="B42" s="28" t="s">
        <v>208</v>
      </c>
      <c r="C42" s="28" t="s">
        <v>211</v>
      </c>
      <c r="D42" s="28" t="s">
        <v>126</v>
      </c>
      <c r="E42" s="29">
        <v>-840</v>
      </c>
      <c r="F42" s="30" t="s">
        <v>136</v>
      </c>
      <c r="G42" s="30" t="s">
        <v>102</v>
      </c>
      <c r="H42" s="30"/>
      <c r="I42" s="28" t="s">
        <v>103</v>
      </c>
    </row>
    <row r="43" spans="1:10" x14ac:dyDescent="0.25">
      <c r="A43" s="28" t="s">
        <v>212</v>
      </c>
      <c r="B43" s="28" t="s">
        <v>208</v>
      </c>
      <c r="C43" s="28" t="s">
        <v>211</v>
      </c>
      <c r="D43" s="28" t="s">
        <v>126</v>
      </c>
      <c r="E43" s="29">
        <v>-800</v>
      </c>
      <c r="F43" s="30" t="s">
        <v>136</v>
      </c>
      <c r="G43" s="30" t="s">
        <v>102</v>
      </c>
      <c r="H43" s="30"/>
      <c r="I43" s="28" t="s">
        <v>103</v>
      </c>
    </row>
    <row r="44" spans="1:10" x14ac:dyDescent="0.25">
      <c r="A44" s="28" t="s">
        <v>213</v>
      </c>
      <c r="B44" s="28" t="s">
        <v>208</v>
      </c>
      <c r="C44" s="28" t="s">
        <v>144</v>
      </c>
      <c r="D44" s="28" t="s">
        <v>145</v>
      </c>
      <c r="E44" s="29">
        <v>600</v>
      </c>
      <c r="F44" s="30" t="s">
        <v>22</v>
      </c>
      <c r="G44" s="30" t="s">
        <v>112</v>
      </c>
      <c r="I44" s="28" t="s">
        <v>103</v>
      </c>
    </row>
    <row r="45" spans="1:10" x14ac:dyDescent="0.25">
      <c r="A45" s="28" t="s">
        <v>214</v>
      </c>
      <c r="B45" s="28" t="s">
        <v>215</v>
      </c>
      <c r="C45" s="28" t="s">
        <v>144</v>
      </c>
      <c r="D45" s="28" t="s">
        <v>145</v>
      </c>
      <c r="E45" s="29">
        <v>1200</v>
      </c>
      <c r="F45" s="30" t="s">
        <v>22</v>
      </c>
      <c r="G45" s="30" t="s">
        <v>112</v>
      </c>
      <c r="I45" s="28" t="s">
        <v>103</v>
      </c>
    </row>
    <row r="46" spans="1:10" x14ac:dyDescent="0.25">
      <c r="A46" s="28" t="s">
        <v>216</v>
      </c>
      <c r="B46" s="28" t="s">
        <v>217</v>
      </c>
      <c r="C46" s="31" t="s">
        <v>218</v>
      </c>
      <c r="D46" s="28" t="s">
        <v>101</v>
      </c>
      <c r="E46" s="29">
        <v>-7534</v>
      </c>
      <c r="F46" s="28" t="s">
        <v>46</v>
      </c>
      <c r="G46" s="30" t="s">
        <v>219</v>
      </c>
      <c r="I46" s="28" t="s">
        <v>103</v>
      </c>
    </row>
    <row r="47" spans="1:10" x14ac:dyDescent="0.25">
      <c r="A47" s="28" t="s">
        <v>220</v>
      </c>
      <c r="B47" s="28" t="s">
        <v>217</v>
      </c>
      <c r="C47" s="28" t="s">
        <v>221</v>
      </c>
      <c r="D47" s="28" t="s">
        <v>101</v>
      </c>
      <c r="E47" s="29">
        <v>-550</v>
      </c>
      <c r="F47" s="28" t="s">
        <v>46</v>
      </c>
      <c r="G47" s="28" t="s">
        <v>112</v>
      </c>
      <c r="H47" s="28" t="s">
        <v>117</v>
      </c>
      <c r="I47" s="28" t="s">
        <v>103</v>
      </c>
      <c r="J47" s="28" t="s">
        <v>118</v>
      </c>
    </row>
    <row r="48" spans="1:10" x14ac:dyDescent="0.25">
      <c r="A48" s="28" t="s">
        <v>222</v>
      </c>
      <c r="B48" s="28" t="s">
        <v>217</v>
      </c>
      <c r="C48" s="28" t="s">
        <v>223</v>
      </c>
      <c r="D48" s="28" t="s">
        <v>101</v>
      </c>
      <c r="E48" s="29">
        <v>-9500</v>
      </c>
      <c r="F48" s="28" t="s">
        <v>154</v>
      </c>
      <c r="G48" s="28" t="s">
        <v>102</v>
      </c>
      <c r="I48" s="28" t="s">
        <v>103</v>
      </c>
    </row>
    <row r="49" spans="1:10" x14ac:dyDescent="0.25">
      <c r="A49" s="28" t="s">
        <v>224</v>
      </c>
      <c r="B49" s="28" t="s">
        <v>225</v>
      </c>
      <c r="C49" s="28" t="s">
        <v>226</v>
      </c>
      <c r="D49" s="28" t="s">
        <v>101</v>
      </c>
      <c r="E49" s="29">
        <v>-303</v>
      </c>
      <c r="F49" s="28" t="s">
        <v>41</v>
      </c>
      <c r="G49" s="28" t="s">
        <v>102</v>
      </c>
      <c r="I49" s="28" t="s">
        <v>103</v>
      </c>
    </row>
    <row r="50" spans="1:10" x14ac:dyDescent="0.25">
      <c r="A50" s="28" t="s">
        <v>227</v>
      </c>
      <c r="B50" s="28" t="s">
        <v>225</v>
      </c>
      <c r="C50" s="28" t="s">
        <v>144</v>
      </c>
      <c r="D50" s="28" t="s">
        <v>145</v>
      </c>
      <c r="E50" s="29">
        <v>850</v>
      </c>
      <c r="F50" s="28" t="s">
        <v>194</v>
      </c>
      <c r="G50" s="28" t="s">
        <v>156</v>
      </c>
      <c r="I50" s="28" t="s">
        <v>103</v>
      </c>
    </row>
    <row r="51" spans="1:10" x14ac:dyDescent="0.25">
      <c r="A51" s="28" t="s">
        <v>228</v>
      </c>
      <c r="B51" s="28" t="s">
        <v>229</v>
      </c>
      <c r="C51" s="28" t="s">
        <v>230</v>
      </c>
      <c r="D51" s="28" t="s">
        <v>101</v>
      </c>
      <c r="E51" s="29">
        <v>-769</v>
      </c>
      <c r="F51" s="30" t="s">
        <v>198</v>
      </c>
      <c r="G51" s="28" t="s">
        <v>107</v>
      </c>
      <c r="H51" s="28" t="s">
        <v>231</v>
      </c>
      <c r="I51" s="28" t="s">
        <v>103</v>
      </c>
    </row>
    <row r="52" spans="1:10" x14ac:dyDescent="0.25">
      <c r="A52" s="28" t="s">
        <v>232</v>
      </c>
      <c r="B52" s="28" t="s">
        <v>229</v>
      </c>
      <c r="C52" s="28" t="s">
        <v>144</v>
      </c>
      <c r="D52" s="28" t="s">
        <v>145</v>
      </c>
      <c r="E52" s="29">
        <v>300</v>
      </c>
      <c r="F52" s="28" t="s">
        <v>22</v>
      </c>
      <c r="G52" s="28" t="s">
        <v>112</v>
      </c>
      <c r="I52" s="28" t="s">
        <v>103</v>
      </c>
    </row>
    <row r="53" spans="1:10" x14ac:dyDescent="0.25">
      <c r="A53" s="28" t="s">
        <v>233</v>
      </c>
      <c r="B53" s="28" t="s">
        <v>234</v>
      </c>
      <c r="C53" s="28" t="s">
        <v>144</v>
      </c>
      <c r="D53" s="28" t="s">
        <v>145</v>
      </c>
      <c r="E53" s="29">
        <v>850</v>
      </c>
      <c r="F53" s="28" t="s">
        <v>194</v>
      </c>
      <c r="G53" s="28" t="s">
        <v>156</v>
      </c>
      <c r="I53" s="28" t="s">
        <v>103</v>
      </c>
    </row>
    <row r="54" spans="1:10" x14ac:dyDescent="0.25">
      <c r="A54" s="28" t="s">
        <v>235</v>
      </c>
      <c r="B54" s="28" t="s">
        <v>236</v>
      </c>
      <c r="C54" s="28" t="s">
        <v>237</v>
      </c>
      <c r="D54" s="28" t="s">
        <v>126</v>
      </c>
      <c r="E54" s="29">
        <v>-800</v>
      </c>
      <c r="F54" s="28" t="s">
        <v>136</v>
      </c>
      <c r="G54" s="28" t="s">
        <v>102</v>
      </c>
      <c r="I54" s="28" t="s">
        <v>103</v>
      </c>
    </row>
    <row r="55" spans="1:10" x14ac:dyDescent="0.25">
      <c r="A55" s="28" t="s">
        <v>238</v>
      </c>
      <c r="B55" s="28" t="s">
        <v>236</v>
      </c>
      <c r="C55" s="28" t="s">
        <v>144</v>
      </c>
      <c r="D55" s="28" t="s">
        <v>145</v>
      </c>
      <c r="E55" s="29">
        <v>500</v>
      </c>
      <c r="F55" s="28" t="s">
        <v>22</v>
      </c>
      <c r="G55" s="28" t="s">
        <v>112</v>
      </c>
      <c r="I55" s="28" t="s">
        <v>103</v>
      </c>
    </row>
    <row r="56" spans="1:10" x14ac:dyDescent="0.25">
      <c r="A56" s="28" t="s">
        <v>239</v>
      </c>
      <c r="B56" s="28" t="s">
        <v>240</v>
      </c>
      <c r="C56" s="28" t="s">
        <v>230</v>
      </c>
      <c r="D56" s="28" t="s">
        <v>101</v>
      </c>
      <c r="E56" s="29">
        <v>-433</v>
      </c>
      <c r="F56" s="30" t="s">
        <v>198</v>
      </c>
      <c r="G56" s="28" t="s">
        <v>107</v>
      </c>
      <c r="H56" s="28" t="s">
        <v>231</v>
      </c>
      <c r="I56" s="28" t="s">
        <v>103</v>
      </c>
    </row>
    <row r="57" spans="1:10" x14ac:dyDescent="0.25">
      <c r="A57" s="28" t="s">
        <v>241</v>
      </c>
      <c r="B57" s="28" t="s">
        <v>242</v>
      </c>
      <c r="C57" s="28" t="s">
        <v>243</v>
      </c>
      <c r="D57" s="28" t="s">
        <v>101</v>
      </c>
      <c r="E57" s="29">
        <v>-550</v>
      </c>
      <c r="F57" s="28" t="s">
        <v>46</v>
      </c>
      <c r="G57" s="28" t="s">
        <v>112</v>
      </c>
      <c r="H57" s="28" t="s">
        <v>190</v>
      </c>
      <c r="I57" s="28" t="s">
        <v>103</v>
      </c>
    </row>
    <row r="58" spans="1:10" x14ac:dyDescent="0.25">
      <c r="A58" s="28" t="s">
        <v>244</v>
      </c>
      <c r="B58" s="28" t="s">
        <v>242</v>
      </c>
      <c r="C58" s="28" t="s">
        <v>245</v>
      </c>
      <c r="D58" s="28" t="s">
        <v>101</v>
      </c>
      <c r="E58" s="29">
        <v>-3791</v>
      </c>
      <c r="F58" s="28" t="s">
        <v>46</v>
      </c>
      <c r="G58" s="28" t="s">
        <v>246</v>
      </c>
      <c r="I58" s="28" t="s">
        <v>103</v>
      </c>
    </row>
    <row r="59" spans="1:10" x14ac:dyDescent="0.25">
      <c r="A59" s="28" t="s">
        <v>247</v>
      </c>
      <c r="B59" s="28" t="s">
        <v>242</v>
      </c>
      <c r="C59" s="31" t="s">
        <v>248</v>
      </c>
      <c r="D59" s="28" t="s">
        <v>101</v>
      </c>
      <c r="E59" s="29">
        <v>-2110</v>
      </c>
      <c r="F59" s="28" t="s">
        <v>46</v>
      </c>
      <c r="G59" s="28" t="s">
        <v>219</v>
      </c>
      <c r="I59" s="28" t="s">
        <v>103</v>
      </c>
    </row>
    <row r="60" spans="1:10" x14ac:dyDescent="0.25">
      <c r="A60" s="28" t="s">
        <v>249</v>
      </c>
      <c r="B60" s="28" t="s">
        <v>242</v>
      </c>
      <c r="C60" s="28" t="s">
        <v>250</v>
      </c>
      <c r="D60" s="28" t="s">
        <v>101</v>
      </c>
      <c r="E60" s="29">
        <v>-610</v>
      </c>
      <c r="F60" s="28" t="s">
        <v>46</v>
      </c>
      <c r="G60" s="28" t="s">
        <v>112</v>
      </c>
      <c r="H60" s="28" t="s">
        <v>190</v>
      </c>
      <c r="I60" s="28" t="s">
        <v>103</v>
      </c>
      <c r="J60" s="28" t="s">
        <v>251</v>
      </c>
    </row>
    <row r="61" spans="1:10" x14ac:dyDescent="0.25">
      <c r="A61" s="28" t="s">
        <v>252</v>
      </c>
      <c r="B61" s="28" t="s">
        <v>253</v>
      </c>
      <c r="C61" s="28" t="s">
        <v>144</v>
      </c>
      <c r="D61" s="28" t="s">
        <v>145</v>
      </c>
      <c r="E61" s="29">
        <v>1450</v>
      </c>
      <c r="F61" s="28" t="s">
        <v>194</v>
      </c>
      <c r="G61" s="28" t="s">
        <v>156</v>
      </c>
      <c r="I61" s="28" t="s">
        <v>103</v>
      </c>
    </row>
    <row r="62" spans="1:10" x14ac:dyDescent="0.25">
      <c r="A62" s="28" t="s">
        <v>254</v>
      </c>
      <c r="B62" s="28" t="s">
        <v>255</v>
      </c>
      <c r="C62" s="28" t="s">
        <v>256</v>
      </c>
      <c r="D62" s="28" t="s">
        <v>126</v>
      </c>
      <c r="E62" s="29">
        <v>-596</v>
      </c>
      <c r="F62" s="28" t="s">
        <v>41</v>
      </c>
      <c r="G62" s="28" t="s">
        <v>107</v>
      </c>
      <c r="I62" s="28" t="s">
        <v>103</v>
      </c>
    </row>
    <row r="63" spans="1:10" x14ac:dyDescent="0.25">
      <c r="A63" s="28" t="s">
        <v>257</v>
      </c>
      <c r="B63" s="28" t="s">
        <v>255</v>
      </c>
      <c r="C63" s="28" t="s">
        <v>258</v>
      </c>
      <c r="D63" s="28" t="s">
        <v>126</v>
      </c>
      <c r="E63" s="29">
        <v>-5000</v>
      </c>
      <c r="F63" s="28" t="s">
        <v>46</v>
      </c>
      <c r="G63" s="28" t="s">
        <v>259</v>
      </c>
      <c r="H63" s="28" t="s">
        <v>260</v>
      </c>
      <c r="I63" s="28" t="s">
        <v>103</v>
      </c>
    </row>
    <row r="64" spans="1:10" x14ac:dyDescent="0.25">
      <c r="A64" s="28" t="s">
        <v>261</v>
      </c>
      <c r="B64" s="28" t="s">
        <v>262</v>
      </c>
      <c r="C64" s="28" t="s">
        <v>144</v>
      </c>
      <c r="D64" s="28" t="s">
        <v>145</v>
      </c>
      <c r="E64" s="29">
        <v>5400</v>
      </c>
      <c r="F64" s="28" t="s">
        <v>22</v>
      </c>
      <c r="G64" s="28" t="s">
        <v>112</v>
      </c>
      <c r="I64" s="28" t="s">
        <v>103</v>
      </c>
    </row>
    <row r="65" spans="1:9" x14ac:dyDescent="0.25">
      <c r="A65" s="28" t="s">
        <v>263</v>
      </c>
      <c r="B65" s="28" t="s">
        <v>264</v>
      </c>
      <c r="C65" s="28" t="s">
        <v>265</v>
      </c>
      <c r="D65" s="28" t="s">
        <v>126</v>
      </c>
      <c r="E65" s="29">
        <v>-800</v>
      </c>
      <c r="F65" s="28" t="s">
        <v>44</v>
      </c>
      <c r="G65" s="28" t="s">
        <v>259</v>
      </c>
      <c r="I65" s="28" t="s">
        <v>103</v>
      </c>
    </row>
    <row r="66" spans="1:9" x14ac:dyDescent="0.25">
      <c r="A66" s="28" t="s">
        <v>266</v>
      </c>
      <c r="B66" s="28" t="s">
        <v>264</v>
      </c>
      <c r="C66" s="28" t="s">
        <v>265</v>
      </c>
      <c r="D66" s="28" t="s">
        <v>126</v>
      </c>
      <c r="E66" s="29">
        <v>-800</v>
      </c>
      <c r="F66" s="28" t="s">
        <v>44</v>
      </c>
      <c r="G66" s="28" t="s">
        <v>259</v>
      </c>
      <c r="I66" s="28" t="s">
        <v>103</v>
      </c>
    </row>
    <row r="67" spans="1:9" x14ac:dyDescent="0.25">
      <c r="A67" s="28" t="s">
        <v>267</v>
      </c>
      <c r="B67" s="28" t="s">
        <v>264</v>
      </c>
      <c r="C67" s="28" t="s">
        <v>265</v>
      </c>
      <c r="D67" s="28" t="s">
        <v>126</v>
      </c>
      <c r="E67" s="29">
        <v>-800</v>
      </c>
      <c r="F67" s="28" t="s">
        <v>44</v>
      </c>
      <c r="G67" s="28" t="s">
        <v>259</v>
      </c>
      <c r="I67" s="28" t="s">
        <v>103</v>
      </c>
    </row>
    <row r="68" spans="1:9" x14ac:dyDescent="0.25">
      <c r="A68" s="28" t="s">
        <v>268</v>
      </c>
      <c r="B68" s="28" t="s">
        <v>264</v>
      </c>
      <c r="C68" s="28" t="s">
        <v>265</v>
      </c>
      <c r="D68" s="28" t="s">
        <v>126</v>
      </c>
      <c r="E68" s="29">
        <v>-800</v>
      </c>
      <c r="F68" s="28" t="s">
        <v>44</v>
      </c>
      <c r="G68" s="28" t="s">
        <v>259</v>
      </c>
      <c r="I68" s="28" t="s">
        <v>103</v>
      </c>
    </row>
    <row r="69" spans="1:9" x14ac:dyDescent="0.25">
      <c r="A69" s="28" t="s">
        <v>269</v>
      </c>
      <c r="B69" s="28" t="s">
        <v>264</v>
      </c>
      <c r="C69" s="28" t="s">
        <v>265</v>
      </c>
      <c r="D69" s="28" t="s">
        <v>126</v>
      </c>
      <c r="E69" s="29">
        <v>-800</v>
      </c>
      <c r="F69" s="28" t="s">
        <v>44</v>
      </c>
      <c r="G69" s="28" t="s">
        <v>259</v>
      </c>
      <c r="I69" s="28" t="s">
        <v>103</v>
      </c>
    </row>
    <row r="70" spans="1:9" x14ac:dyDescent="0.25">
      <c r="A70" s="28" t="s">
        <v>270</v>
      </c>
      <c r="B70" s="28" t="s">
        <v>264</v>
      </c>
      <c r="C70" s="28" t="s">
        <v>271</v>
      </c>
      <c r="D70" s="28" t="s">
        <v>126</v>
      </c>
      <c r="E70" s="29">
        <v>-800</v>
      </c>
      <c r="F70" s="28" t="s">
        <v>44</v>
      </c>
      <c r="G70" s="28" t="s">
        <v>259</v>
      </c>
      <c r="I70" s="28" t="s">
        <v>103</v>
      </c>
    </row>
    <row r="71" spans="1:9" x14ac:dyDescent="0.25">
      <c r="A71" s="28" t="s">
        <v>272</v>
      </c>
      <c r="B71" s="28" t="s">
        <v>264</v>
      </c>
      <c r="C71" s="28" t="s">
        <v>265</v>
      </c>
      <c r="D71" s="28" t="s">
        <v>126</v>
      </c>
      <c r="E71" s="29">
        <v>-800</v>
      </c>
      <c r="F71" s="28" t="s">
        <v>44</v>
      </c>
      <c r="G71" s="28" t="s">
        <v>259</v>
      </c>
      <c r="I71" s="28" t="s">
        <v>273</v>
      </c>
    </row>
    <row r="72" spans="1:9" x14ac:dyDescent="0.25">
      <c r="A72" s="28" t="s">
        <v>274</v>
      </c>
      <c r="B72" s="28" t="s">
        <v>264</v>
      </c>
      <c r="C72" s="28" t="s">
        <v>265</v>
      </c>
      <c r="D72" s="28" t="s">
        <v>126</v>
      </c>
      <c r="E72" s="29">
        <v>-800</v>
      </c>
      <c r="F72" s="28" t="s">
        <v>44</v>
      </c>
      <c r="G72" s="28" t="s">
        <v>259</v>
      </c>
      <c r="I72" s="28" t="s">
        <v>103</v>
      </c>
    </row>
    <row r="73" spans="1:9" x14ac:dyDescent="0.25">
      <c r="A73" s="28" t="s">
        <v>275</v>
      </c>
      <c r="B73" s="28" t="s">
        <v>264</v>
      </c>
      <c r="C73" s="28" t="s">
        <v>265</v>
      </c>
      <c r="D73" s="28" t="s">
        <v>126</v>
      </c>
      <c r="E73" s="29">
        <v>-1600</v>
      </c>
      <c r="F73" s="28" t="s">
        <v>44</v>
      </c>
      <c r="G73" s="28" t="s">
        <v>259</v>
      </c>
      <c r="I73" s="28" t="s">
        <v>103</v>
      </c>
    </row>
    <row r="74" spans="1:9" x14ac:dyDescent="0.25">
      <c r="A74" s="28" t="s">
        <v>276</v>
      </c>
      <c r="B74" s="28" t="s">
        <v>264</v>
      </c>
      <c r="C74" s="28" t="s">
        <v>265</v>
      </c>
      <c r="D74" s="28" t="s">
        <v>126</v>
      </c>
      <c r="E74" s="29">
        <v>-800</v>
      </c>
      <c r="F74" s="28" t="s">
        <v>44</v>
      </c>
      <c r="G74" s="28" t="s">
        <v>259</v>
      </c>
      <c r="I74" s="28" t="s">
        <v>103</v>
      </c>
    </row>
    <row r="75" spans="1:9" x14ac:dyDescent="0.25">
      <c r="A75" s="28" t="s">
        <v>277</v>
      </c>
      <c r="B75" s="28" t="s">
        <v>264</v>
      </c>
      <c r="C75" s="28" t="s">
        <v>265</v>
      </c>
      <c r="D75" s="28" t="s">
        <v>126</v>
      </c>
      <c r="E75" s="29">
        <v>-800</v>
      </c>
      <c r="F75" s="28" t="s">
        <v>44</v>
      </c>
      <c r="G75" s="28" t="s">
        <v>259</v>
      </c>
      <c r="I75" s="28" t="s">
        <v>103</v>
      </c>
    </row>
    <row r="76" spans="1:9" x14ac:dyDescent="0.25">
      <c r="A76" s="28" t="s">
        <v>278</v>
      </c>
      <c r="B76" s="28" t="s">
        <v>264</v>
      </c>
      <c r="C76" s="28" t="s">
        <v>256</v>
      </c>
      <c r="D76" s="28" t="s">
        <v>101</v>
      </c>
      <c r="E76" s="29">
        <v>-3642</v>
      </c>
      <c r="F76" s="28" t="s">
        <v>41</v>
      </c>
      <c r="G76" s="28" t="s">
        <v>107</v>
      </c>
      <c r="I76" s="28" t="s">
        <v>103</v>
      </c>
    </row>
    <row r="77" spans="1:9" x14ac:dyDescent="0.25">
      <c r="A77" s="28" t="s">
        <v>279</v>
      </c>
      <c r="B77" s="28" t="s">
        <v>264</v>
      </c>
      <c r="C77" s="28" t="s">
        <v>280</v>
      </c>
      <c r="D77" s="28" t="s">
        <v>101</v>
      </c>
      <c r="E77" s="29">
        <v>-1860</v>
      </c>
      <c r="F77" s="28" t="s">
        <v>46</v>
      </c>
      <c r="G77" s="28" t="s">
        <v>259</v>
      </c>
      <c r="H77" s="30" t="s">
        <v>281</v>
      </c>
      <c r="I77" s="28" t="s">
        <v>103</v>
      </c>
    </row>
    <row r="78" spans="1:9" x14ac:dyDescent="0.25">
      <c r="A78" s="28" t="s">
        <v>282</v>
      </c>
      <c r="B78" s="28" t="s">
        <v>264</v>
      </c>
      <c r="C78" s="28" t="s">
        <v>283</v>
      </c>
      <c r="D78" s="28" t="s">
        <v>284</v>
      </c>
      <c r="E78" s="29">
        <v>95000</v>
      </c>
      <c r="F78" s="28" t="s">
        <v>285</v>
      </c>
      <c r="G78" s="28" t="s">
        <v>107</v>
      </c>
      <c r="I78" s="28" t="s">
        <v>103</v>
      </c>
    </row>
    <row r="79" spans="1:9" x14ac:dyDescent="0.25">
      <c r="A79" s="28" t="s">
        <v>286</v>
      </c>
      <c r="B79" s="28" t="s">
        <v>264</v>
      </c>
      <c r="C79" s="28" t="s">
        <v>144</v>
      </c>
      <c r="D79" s="28" t="s">
        <v>145</v>
      </c>
      <c r="E79" s="29">
        <v>4800</v>
      </c>
      <c r="F79" s="28" t="s">
        <v>22</v>
      </c>
      <c r="G79" s="28" t="s">
        <v>112</v>
      </c>
      <c r="I79" s="28" t="s">
        <v>103</v>
      </c>
    </row>
    <row r="80" spans="1:9" x14ac:dyDescent="0.25">
      <c r="A80" s="28" t="s">
        <v>287</v>
      </c>
      <c r="B80" s="28" t="s">
        <v>288</v>
      </c>
      <c r="C80" s="28" t="s">
        <v>265</v>
      </c>
      <c r="D80" s="28" t="s">
        <v>126</v>
      </c>
      <c r="E80" s="29">
        <v>-800</v>
      </c>
      <c r="F80" s="28" t="s">
        <v>44</v>
      </c>
      <c r="G80" s="28" t="s">
        <v>259</v>
      </c>
      <c r="I80" s="28" t="s">
        <v>103</v>
      </c>
    </row>
    <row r="81" spans="1:10" x14ac:dyDescent="0.25">
      <c r="A81" s="28" t="s">
        <v>289</v>
      </c>
      <c r="B81" s="28" t="s">
        <v>288</v>
      </c>
      <c r="C81" s="28" t="s">
        <v>265</v>
      </c>
      <c r="D81" s="28" t="s">
        <v>126</v>
      </c>
      <c r="E81" s="29">
        <v>-800</v>
      </c>
      <c r="F81" s="28" t="s">
        <v>44</v>
      </c>
      <c r="G81" s="28" t="s">
        <v>259</v>
      </c>
      <c r="I81" s="28" t="s">
        <v>103</v>
      </c>
    </row>
    <row r="82" spans="1:10" x14ac:dyDescent="0.25">
      <c r="A82" s="28" t="s">
        <v>290</v>
      </c>
      <c r="B82" s="28" t="s">
        <v>288</v>
      </c>
      <c r="C82" s="28" t="s">
        <v>265</v>
      </c>
      <c r="D82" s="28" t="s">
        <v>126</v>
      </c>
      <c r="E82" s="29">
        <v>-800</v>
      </c>
      <c r="F82" s="28" t="s">
        <v>44</v>
      </c>
      <c r="G82" s="28" t="s">
        <v>259</v>
      </c>
      <c r="I82" s="28" t="s">
        <v>103</v>
      </c>
    </row>
    <row r="83" spans="1:10" x14ac:dyDescent="0.25">
      <c r="A83" s="28" t="s">
        <v>291</v>
      </c>
      <c r="B83" s="28" t="s">
        <v>288</v>
      </c>
      <c r="C83" s="28" t="s">
        <v>292</v>
      </c>
      <c r="D83" s="28" t="s">
        <v>126</v>
      </c>
      <c r="E83" s="29">
        <v>-349</v>
      </c>
      <c r="F83" s="28" t="s">
        <v>46</v>
      </c>
      <c r="G83" s="28" t="s">
        <v>259</v>
      </c>
      <c r="I83" s="28" t="s">
        <v>103</v>
      </c>
    </row>
    <row r="84" spans="1:10" x14ac:dyDescent="0.25">
      <c r="A84" s="28" t="s">
        <v>293</v>
      </c>
      <c r="B84" s="28" t="s">
        <v>288</v>
      </c>
      <c r="C84" s="28" t="s">
        <v>265</v>
      </c>
      <c r="D84" s="28" t="s">
        <v>126</v>
      </c>
      <c r="E84" s="29">
        <v>-800</v>
      </c>
      <c r="F84" s="28" t="s">
        <v>44</v>
      </c>
      <c r="G84" s="28" t="s">
        <v>259</v>
      </c>
      <c r="I84" s="28" t="s">
        <v>103</v>
      </c>
    </row>
    <row r="85" spans="1:10" x14ac:dyDescent="0.25">
      <c r="A85" s="28" t="s">
        <v>294</v>
      </c>
      <c r="B85" s="28" t="s">
        <v>288</v>
      </c>
      <c r="C85" s="28" t="s">
        <v>265</v>
      </c>
      <c r="D85" s="28" t="s">
        <v>126</v>
      </c>
      <c r="E85" s="29">
        <v>-800</v>
      </c>
      <c r="F85" s="28" t="s">
        <v>44</v>
      </c>
      <c r="G85" s="28" t="s">
        <v>259</v>
      </c>
      <c r="I85" s="28" t="s">
        <v>103</v>
      </c>
    </row>
    <row r="86" spans="1:10" x14ac:dyDescent="0.25">
      <c r="A86" s="28" t="s">
        <v>295</v>
      </c>
      <c r="B86" s="28" t="s">
        <v>288</v>
      </c>
      <c r="C86" s="28" t="s">
        <v>265</v>
      </c>
      <c r="D86" s="28" t="s">
        <v>126</v>
      </c>
      <c r="E86" s="29">
        <v>-800</v>
      </c>
      <c r="F86" s="28" t="s">
        <v>44</v>
      </c>
      <c r="G86" s="28" t="s">
        <v>259</v>
      </c>
      <c r="I86" s="28" t="s">
        <v>103</v>
      </c>
    </row>
    <row r="87" spans="1:10" x14ac:dyDescent="0.25">
      <c r="A87" s="28" t="s">
        <v>296</v>
      </c>
      <c r="B87" s="28" t="s">
        <v>288</v>
      </c>
      <c r="C87" s="28" t="s">
        <v>265</v>
      </c>
      <c r="D87" s="28" t="s">
        <v>126</v>
      </c>
      <c r="E87" s="29">
        <v>-800</v>
      </c>
      <c r="F87" s="28" t="s">
        <v>44</v>
      </c>
      <c r="G87" s="28" t="s">
        <v>259</v>
      </c>
      <c r="I87" s="28" t="s">
        <v>103</v>
      </c>
    </row>
    <row r="88" spans="1:10" x14ac:dyDescent="0.25">
      <c r="A88" s="28" t="s">
        <v>297</v>
      </c>
      <c r="B88" s="28" t="s">
        <v>288</v>
      </c>
      <c r="C88" s="28" t="s">
        <v>298</v>
      </c>
      <c r="D88" s="28" t="s">
        <v>126</v>
      </c>
      <c r="E88" s="29">
        <v>-850</v>
      </c>
      <c r="F88" s="30" t="s">
        <v>198</v>
      </c>
      <c r="G88" s="28" t="s">
        <v>156</v>
      </c>
      <c r="I88" s="28" t="s">
        <v>103</v>
      </c>
    </row>
    <row r="89" spans="1:10" x14ac:dyDescent="0.25">
      <c r="A89" s="28" t="s">
        <v>299</v>
      </c>
      <c r="B89" s="28" t="s">
        <v>288</v>
      </c>
      <c r="C89" s="28" t="s">
        <v>144</v>
      </c>
      <c r="D89" s="28" t="s">
        <v>145</v>
      </c>
      <c r="E89" s="29">
        <v>4483</v>
      </c>
      <c r="F89" s="28" t="s">
        <v>22</v>
      </c>
      <c r="G89" s="28" t="s">
        <v>112</v>
      </c>
      <c r="I89" s="28" t="s">
        <v>103</v>
      </c>
    </row>
    <row r="90" spans="1:10" x14ac:dyDescent="0.25">
      <c r="A90" s="28" t="s">
        <v>300</v>
      </c>
      <c r="B90" s="28" t="s">
        <v>301</v>
      </c>
      <c r="C90" s="28" t="s">
        <v>250</v>
      </c>
      <c r="D90" s="28" t="s">
        <v>101</v>
      </c>
      <c r="E90" s="29">
        <v>-550</v>
      </c>
      <c r="F90" s="28" t="s">
        <v>46</v>
      </c>
      <c r="G90" s="28" t="s">
        <v>112</v>
      </c>
      <c r="H90" s="28" t="s">
        <v>117</v>
      </c>
      <c r="I90" s="28" t="s">
        <v>103</v>
      </c>
      <c r="J90" s="28" t="s">
        <v>251</v>
      </c>
    </row>
    <row r="91" spans="1:10" x14ac:dyDescent="0.25">
      <c r="A91" s="28" t="s">
        <v>302</v>
      </c>
      <c r="B91" s="28" t="s">
        <v>301</v>
      </c>
      <c r="C91" s="28" t="s">
        <v>250</v>
      </c>
      <c r="D91" s="28" t="s">
        <v>101</v>
      </c>
      <c r="E91" s="29">
        <v>-1100</v>
      </c>
      <c r="F91" s="28" t="s">
        <v>46</v>
      </c>
      <c r="G91" s="28" t="s">
        <v>112</v>
      </c>
      <c r="H91" s="28" t="s">
        <v>117</v>
      </c>
      <c r="I91" s="28" t="s">
        <v>103</v>
      </c>
      <c r="J91" s="28" t="s">
        <v>251</v>
      </c>
    </row>
    <row r="92" spans="1:10" x14ac:dyDescent="0.25">
      <c r="A92" s="28" t="s">
        <v>303</v>
      </c>
      <c r="B92" s="28" t="s">
        <v>301</v>
      </c>
      <c r="C92" s="28" t="s">
        <v>144</v>
      </c>
      <c r="D92" s="28" t="s">
        <v>145</v>
      </c>
      <c r="E92" s="29">
        <v>800</v>
      </c>
      <c r="F92" s="28" t="s">
        <v>194</v>
      </c>
      <c r="G92" s="28" t="s">
        <v>156</v>
      </c>
      <c r="I92" s="28" t="s">
        <v>103</v>
      </c>
    </row>
    <row r="93" spans="1:10" x14ac:dyDescent="0.25">
      <c r="A93" s="28" t="s">
        <v>304</v>
      </c>
      <c r="B93" s="28" t="s">
        <v>305</v>
      </c>
      <c r="C93" s="28" t="s">
        <v>306</v>
      </c>
      <c r="D93" s="28" t="s">
        <v>122</v>
      </c>
      <c r="E93" s="29">
        <v>-11332</v>
      </c>
      <c r="F93" s="28" t="s">
        <v>45</v>
      </c>
      <c r="G93" s="28" t="s">
        <v>107</v>
      </c>
      <c r="I93" s="28" t="s">
        <v>307</v>
      </c>
    </row>
    <row r="94" spans="1:10" x14ac:dyDescent="0.25">
      <c r="A94" s="28" t="s">
        <v>308</v>
      </c>
      <c r="B94" s="28" t="s">
        <v>305</v>
      </c>
      <c r="C94" s="28" t="s">
        <v>144</v>
      </c>
      <c r="D94" s="28" t="s">
        <v>145</v>
      </c>
      <c r="E94" s="29">
        <v>5550</v>
      </c>
      <c r="F94" s="28" t="s">
        <v>22</v>
      </c>
      <c r="G94" s="28" t="s">
        <v>112</v>
      </c>
      <c r="I94" s="28" t="s">
        <v>103</v>
      </c>
    </row>
    <row r="95" spans="1:10" x14ac:dyDescent="0.25">
      <c r="A95" s="28" t="s">
        <v>309</v>
      </c>
      <c r="B95" s="28" t="s">
        <v>310</v>
      </c>
      <c r="C95" s="28" t="s">
        <v>265</v>
      </c>
      <c r="D95" s="28" t="s">
        <v>126</v>
      </c>
      <c r="E95" s="29">
        <v>-800</v>
      </c>
      <c r="F95" s="28" t="s">
        <v>44</v>
      </c>
      <c r="G95" s="28" t="s">
        <v>259</v>
      </c>
      <c r="I95" s="28" t="s">
        <v>103</v>
      </c>
    </row>
    <row r="96" spans="1:10" x14ac:dyDescent="0.25">
      <c r="A96" s="28" t="s">
        <v>311</v>
      </c>
      <c r="B96" s="28" t="s">
        <v>310</v>
      </c>
      <c r="C96" s="28" t="s">
        <v>211</v>
      </c>
      <c r="D96" s="28" t="s">
        <v>126</v>
      </c>
      <c r="E96" s="29">
        <v>-840</v>
      </c>
      <c r="F96" s="28" t="s">
        <v>136</v>
      </c>
      <c r="G96" s="28" t="s">
        <v>102</v>
      </c>
      <c r="I96" s="28" t="s">
        <v>103</v>
      </c>
    </row>
    <row r="97" spans="1:10" x14ac:dyDescent="0.25">
      <c r="A97" s="28" t="s">
        <v>312</v>
      </c>
      <c r="B97" s="28" t="s">
        <v>310</v>
      </c>
      <c r="C97" s="28" t="s">
        <v>313</v>
      </c>
      <c r="D97" s="28" t="s">
        <v>101</v>
      </c>
      <c r="E97" s="29">
        <v>-32300</v>
      </c>
      <c r="F97" s="28" t="s">
        <v>46</v>
      </c>
      <c r="G97" s="28" t="s">
        <v>259</v>
      </c>
      <c r="H97" s="30" t="s">
        <v>314</v>
      </c>
      <c r="I97" s="28" t="s">
        <v>103</v>
      </c>
    </row>
    <row r="98" spans="1:10" x14ac:dyDescent="0.25">
      <c r="A98" s="28" t="s">
        <v>315</v>
      </c>
      <c r="B98" s="28" t="s">
        <v>310</v>
      </c>
      <c r="C98" s="28" t="s">
        <v>316</v>
      </c>
      <c r="D98" s="28" t="s">
        <v>101</v>
      </c>
      <c r="E98" s="29">
        <v>-4200</v>
      </c>
      <c r="F98" s="28" t="s">
        <v>38</v>
      </c>
      <c r="G98" s="28" t="s">
        <v>112</v>
      </c>
      <c r="I98" s="28" t="s">
        <v>103</v>
      </c>
    </row>
    <row r="99" spans="1:10" x14ac:dyDescent="0.25">
      <c r="A99" s="28" t="s">
        <v>317</v>
      </c>
      <c r="B99" s="28" t="s">
        <v>310</v>
      </c>
      <c r="C99" s="28" t="s">
        <v>144</v>
      </c>
      <c r="D99" s="28" t="s">
        <v>145</v>
      </c>
      <c r="E99" s="29">
        <v>200</v>
      </c>
      <c r="F99" s="28" t="s">
        <v>318</v>
      </c>
      <c r="G99" s="28" t="s">
        <v>319</v>
      </c>
      <c r="I99" s="28" t="s">
        <v>103</v>
      </c>
    </row>
    <row r="100" spans="1:10" x14ac:dyDescent="0.25">
      <c r="A100" s="28" t="s">
        <v>320</v>
      </c>
      <c r="B100" s="28" t="s">
        <v>321</v>
      </c>
      <c r="C100" s="28" t="s">
        <v>322</v>
      </c>
      <c r="D100" s="28" t="s">
        <v>101</v>
      </c>
      <c r="E100" s="29">
        <v>-599</v>
      </c>
      <c r="F100" s="28" t="s">
        <v>46</v>
      </c>
      <c r="G100" s="28" t="s">
        <v>102</v>
      </c>
      <c r="I100" s="28" t="s">
        <v>103</v>
      </c>
    </row>
    <row r="101" spans="1:10" x14ac:dyDescent="0.25">
      <c r="A101" s="28" t="s">
        <v>323</v>
      </c>
      <c r="B101" s="28" t="s">
        <v>324</v>
      </c>
      <c r="C101" s="28" t="s">
        <v>256</v>
      </c>
      <c r="D101" s="28" t="s">
        <v>101</v>
      </c>
      <c r="E101" s="29">
        <v>-4354.57</v>
      </c>
      <c r="F101" s="28" t="s">
        <v>41</v>
      </c>
      <c r="G101" s="28" t="s">
        <v>107</v>
      </c>
      <c r="I101" s="28" t="s">
        <v>103</v>
      </c>
    </row>
    <row r="102" spans="1:10" x14ac:dyDescent="0.25">
      <c r="A102" s="28" t="s">
        <v>325</v>
      </c>
      <c r="B102" s="28" t="s">
        <v>324</v>
      </c>
      <c r="C102" s="28" t="s">
        <v>144</v>
      </c>
      <c r="D102" s="28" t="s">
        <v>145</v>
      </c>
      <c r="E102" s="29">
        <v>4000</v>
      </c>
      <c r="F102" s="28" t="s">
        <v>22</v>
      </c>
      <c r="G102" s="28" t="s">
        <v>112</v>
      </c>
      <c r="I102" s="28" t="s">
        <v>103</v>
      </c>
    </row>
    <row r="103" spans="1:10" x14ac:dyDescent="0.25">
      <c r="A103" s="28" t="s">
        <v>326</v>
      </c>
      <c r="B103" s="28" t="s">
        <v>327</v>
      </c>
      <c r="C103" s="31" t="s">
        <v>328</v>
      </c>
      <c r="D103" s="28" t="s">
        <v>101</v>
      </c>
      <c r="E103" s="29">
        <v>-6847</v>
      </c>
      <c r="F103" s="28" t="s">
        <v>46</v>
      </c>
      <c r="G103" s="28" t="s">
        <v>319</v>
      </c>
      <c r="I103" s="28" t="s">
        <v>103</v>
      </c>
    </row>
    <row r="104" spans="1:10" x14ac:dyDescent="0.25">
      <c r="A104" s="28" t="s">
        <v>329</v>
      </c>
      <c r="B104" s="28" t="s">
        <v>330</v>
      </c>
      <c r="C104" s="28" t="s">
        <v>144</v>
      </c>
      <c r="D104" s="28" t="s">
        <v>145</v>
      </c>
      <c r="E104" s="29">
        <v>7550</v>
      </c>
      <c r="F104" s="28" t="s">
        <v>22</v>
      </c>
      <c r="G104" s="28" t="s">
        <v>112</v>
      </c>
      <c r="I104" s="28" t="s">
        <v>103</v>
      </c>
    </row>
    <row r="105" spans="1:10" x14ac:dyDescent="0.25">
      <c r="A105" s="28" t="s">
        <v>331</v>
      </c>
      <c r="B105" s="28" t="s">
        <v>332</v>
      </c>
      <c r="C105" s="28" t="s">
        <v>333</v>
      </c>
      <c r="D105" s="28" t="s">
        <v>126</v>
      </c>
      <c r="E105" s="29">
        <v>-650</v>
      </c>
      <c r="F105" s="28" t="s">
        <v>334</v>
      </c>
      <c r="G105" s="28" t="s">
        <v>259</v>
      </c>
      <c r="I105" s="28" t="s">
        <v>103</v>
      </c>
    </row>
    <row r="106" spans="1:10" x14ac:dyDescent="0.25">
      <c r="A106" s="28" t="s">
        <v>335</v>
      </c>
      <c r="B106" s="28" t="s">
        <v>332</v>
      </c>
      <c r="C106" s="28" t="s">
        <v>336</v>
      </c>
      <c r="D106" s="28" t="s">
        <v>126</v>
      </c>
      <c r="E106" s="29">
        <v>-850</v>
      </c>
      <c r="F106" s="28" t="s">
        <v>136</v>
      </c>
      <c r="G106" s="28" t="s">
        <v>246</v>
      </c>
      <c r="I106" s="28" t="s">
        <v>103</v>
      </c>
    </row>
    <row r="107" spans="1:10" x14ac:dyDescent="0.25">
      <c r="A107" s="28" t="s">
        <v>337</v>
      </c>
      <c r="B107" s="28" t="s">
        <v>332</v>
      </c>
      <c r="C107" s="28" t="s">
        <v>256</v>
      </c>
      <c r="D107" s="28" t="s">
        <v>101</v>
      </c>
      <c r="E107" s="29">
        <v>-306</v>
      </c>
      <c r="F107" s="28" t="s">
        <v>41</v>
      </c>
      <c r="G107" s="28" t="s">
        <v>107</v>
      </c>
      <c r="I107" s="28" t="s">
        <v>103</v>
      </c>
    </row>
    <row r="108" spans="1:10" x14ac:dyDescent="0.25">
      <c r="A108" s="28" t="s">
        <v>338</v>
      </c>
      <c r="B108" s="28" t="s">
        <v>332</v>
      </c>
      <c r="C108" s="28" t="s">
        <v>339</v>
      </c>
      <c r="D108" s="28" t="s">
        <v>101</v>
      </c>
      <c r="E108" s="29">
        <v>-300</v>
      </c>
      <c r="F108" s="28" t="s">
        <v>43</v>
      </c>
      <c r="G108" s="28" t="s">
        <v>102</v>
      </c>
      <c r="I108" s="28" t="s">
        <v>103</v>
      </c>
    </row>
    <row r="109" spans="1:10" x14ac:dyDescent="0.25">
      <c r="A109" s="28" t="s">
        <v>340</v>
      </c>
      <c r="B109" s="28" t="s">
        <v>332</v>
      </c>
      <c r="C109" s="28" t="s">
        <v>341</v>
      </c>
      <c r="D109" s="28" t="s">
        <v>101</v>
      </c>
      <c r="E109" s="29">
        <v>-550</v>
      </c>
      <c r="F109" s="28" t="s">
        <v>46</v>
      </c>
      <c r="G109" s="28" t="s">
        <v>112</v>
      </c>
      <c r="H109" s="28" t="s">
        <v>190</v>
      </c>
      <c r="I109" s="28" t="s">
        <v>103</v>
      </c>
      <c r="J109" s="28" t="s">
        <v>342</v>
      </c>
    </row>
    <row r="110" spans="1:10" x14ac:dyDescent="0.25">
      <c r="A110" s="28" t="s">
        <v>343</v>
      </c>
      <c r="B110" s="28" t="s">
        <v>344</v>
      </c>
      <c r="C110" s="28" t="s">
        <v>345</v>
      </c>
      <c r="D110" s="28" t="s">
        <v>101</v>
      </c>
      <c r="E110" s="29">
        <v>-4611</v>
      </c>
      <c r="F110" s="28" t="s">
        <v>46</v>
      </c>
      <c r="G110" s="28" t="s">
        <v>112</v>
      </c>
      <c r="H110" s="28" t="s">
        <v>132</v>
      </c>
      <c r="I110" s="28" t="s">
        <v>103</v>
      </c>
    </row>
    <row r="111" spans="1:10" x14ac:dyDescent="0.25">
      <c r="A111" s="28" t="s">
        <v>346</v>
      </c>
      <c r="B111" s="28" t="s">
        <v>347</v>
      </c>
      <c r="C111" s="28" t="s">
        <v>100</v>
      </c>
      <c r="D111" s="28" t="s">
        <v>101</v>
      </c>
      <c r="E111" s="29">
        <v>-350</v>
      </c>
      <c r="F111" s="28" t="s">
        <v>46</v>
      </c>
      <c r="G111" s="28" t="s">
        <v>102</v>
      </c>
      <c r="I111" s="28" t="s">
        <v>103</v>
      </c>
    </row>
    <row r="112" spans="1:10" x14ac:dyDescent="0.25">
      <c r="A112" s="28" t="s">
        <v>348</v>
      </c>
      <c r="B112" s="28" t="s">
        <v>347</v>
      </c>
      <c r="C112" s="28" t="s">
        <v>349</v>
      </c>
      <c r="D112" s="28" t="s">
        <v>101</v>
      </c>
      <c r="E112" s="29">
        <v>-250</v>
      </c>
      <c r="F112" s="28" t="s">
        <v>46</v>
      </c>
      <c r="G112" s="28" t="s">
        <v>112</v>
      </c>
      <c r="H112" s="28" t="s">
        <v>132</v>
      </c>
      <c r="I112" s="28" t="s">
        <v>103</v>
      </c>
    </row>
    <row r="113" spans="1:9" x14ac:dyDescent="0.25">
      <c r="A113" s="28" t="s">
        <v>350</v>
      </c>
      <c r="B113" s="28" t="s">
        <v>347</v>
      </c>
      <c r="C113" s="31" t="s">
        <v>351</v>
      </c>
      <c r="D113" s="28" t="s">
        <v>101</v>
      </c>
      <c r="E113" s="29">
        <v>-2174</v>
      </c>
      <c r="F113" s="28" t="s">
        <v>46</v>
      </c>
      <c r="G113" s="28" t="s">
        <v>219</v>
      </c>
      <c r="I113" s="28" t="s">
        <v>103</v>
      </c>
    </row>
    <row r="114" spans="1:9" x14ac:dyDescent="0.25">
      <c r="A114" s="28" t="s">
        <v>352</v>
      </c>
      <c r="B114" s="28" t="s">
        <v>347</v>
      </c>
      <c r="C114" s="28" t="s">
        <v>353</v>
      </c>
      <c r="D114" s="28" t="s">
        <v>101</v>
      </c>
      <c r="E114" s="29">
        <v>-450</v>
      </c>
      <c r="F114" s="28" t="s">
        <v>46</v>
      </c>
      <c r="G114" s="28" t="s">
        <v>107</v>
      </c>
      <c r="I114" s="28" t="s">
        <v>103</v>
      </c>
    </row>
    <row r="115" spans="1:9" x14ac:dyDescent="0.25">
      <c r="A115" s="28" t="s">
        <v>354</v>
      </c>
      <c r="B115" s="28" t="s">
        <v>347</v>
      </c>
      <c r="C115" s="28" t="s">
        <v>355</v>
      </c>
      <c r="D115" s="28" t="s">
        <v>101</v>
      </c>
      <c r="E115" s="29">
        <v>-4000</v>
      </c>
      <c r="F115" s="28" t="s">
        <v>46</v>
      </c>
      <c r="G115" s="28" t="s">
        <v>107</v>
      </c>
      <c r="I115" s="28" t="s">
        <v>103</v>
      </c>
    </row>
    <row r="116" spans="1:9" x14ac:dyDescent="0.25">
      <c r="A116" s="28" t="s">
        <v>356</v>
      </c>
      <c r="B116" s="28" t="s">
        <v>347</v>
      </c>
      <c r="C116" s="28" t="s">
        <v>357</v>
      </c>
      <c r="D116" s="28" t="s">
        <v>101</v>
      </c>
      <c r="E116" s="29">
        <v>-1350</v>
      </c>
      <c r="F116" s="28" t="s">
        <v>46</v>
      </c>
      <c r="G116" s="28" t="s">
        <v>112</v>
      </c>
      <c r="H116" s="28" t="s">
        <v>358</v>
      </c>
      <c r="I116" s="28" t="s">
        <v>103</v>
      </c>
    </row>
    <row r="117" spans="1:9" x14ac:dyDescent="0.25">
      <c r="A117" s="28" t="s">
        <v>359</v>
      </c>
      <c r="B117" s="28" t="s">
        <v>360</v>
      </c>
      <c r="C117" s="28" t="s">
        <v>361</v>
      </c>
      <c r="D117" s="28" t="s">
        <v>126</v>
      </c>
      <c r="E117" s="29">
        <v>-500</v>
      </c>
      <c r="F117" s="28" t="s">
        <v>136</v>
      </c>
      <c r="G117" s="28" t="s">
        <v>112</v>
      </c>
      <c r="I117" s="28" t="s">
        <v>103</v>
      </c>
    </row>
    <row r="118" spans="1:9" x14ac:dyDescent="0.25">
      <c r="A118" s="28" t="s">
        <v>362</v>
      </c>
      <c r="B118" s="28" t="s">
        <v>360</v>
      </c>
      <c r="C118" s="31" t="s">
        <v>363</v>
      </c>
      <c r="D118" s="28" t="s">
        <v>126</v>
      </c>
      <c r="E118" s="29">
        <v>-500</v>
      </c>
      <c r="F118" s="28" t="s">
        <v>334</v>
      </c>
      <c r="G118" s="28" t="s">
        <v>259</v>
      </c>
      <c r="I118" s="28" t="s">
        <v>103</v>
      </c>
    </row>
    <row r="119" spans="1:9" x14ac:dyDescent="0.25">
      <c r="A119" s="28" t="s">
        <v>364</v>
      </c>
      <c r="B119" s="28" t="s">
        <v>360</v>
      </c>
      <c r="C119" s="31" t="s">
        <v>365</v>
      </c>
      <c r="D119" s="28" t="s">
        <v>101</v>
      </c>
      <c r="E119" s="29">
        <v>-335</v>
      </c>
      <c r="F119" s="28" t="s">
        <v>46</v>
      </c>
      <c r="G119" s="28" t="s">
        <v>219</v>
      </c>
      <c r="I119" s="28" t="s">
        <v>103</v>
      </c>
    </row>
    <row r="120" spans="1:9" x14ac:dyDescent="0.25">
      <c r="A120" s="28" t="s">
        <v>366</v>
      </c>
      <c r="B120" s="28" t="s">
        <v>367</v>
      </c>
      <c r="C120" s="28" t="s">
        <v>144</v>
      </c>
      <c r="D120" s="28" t="s">
        <v>145</v>
      </c>
      <c r="E120" s="29">
        <v>850</v>
      </c>
      <c r="F120" s="28" t="s">
        <v>38</v>
      </c>
      <c r="G120" s="28" t="s">
        <v>112</v>
      </c>
      <c r="I120" s="28" t="s">
        <v>103</v>
      </c>
    </row>
    <row r="121" spans="1:9" x14ac:dyDescent="0.25">
      <c r="A121" s="28" t="s">
        <v>368</v>
      </c>
      <c r="B121" s="28" t="s">
        <v>369</v>
      </c>
      <c r="C121" s="31" t="s">
        <v>370</v>
      </c>
      <c r="D121" s="28" t="s">
        <v>126</v>
      </c>
      <c r="E121" s="29">
        <v>-300</v>
      </c>
      <c r="F121" s="28" t="s">
        <v>334</v>
      </c>
      <c r="G121" s="28" t="s">
        <v>259</v>
      </c>
      <c r="I121" s="28" t="s">
        <v>103</v>
      </c>
    </row>
    <row r="122" spans="1:9" x14ac:dyDescent="0.25">
      <c r="A122" s="28" t="s">
        <v>371</v>
      </c>
      <c r="B122" s="28" t="s">
        <v>369</v>
      </c>
      <c r="C122" s="28" t="s">
        <v>230</v>
      </c>
      <c r="D122" s="28" t="s">
        <v>101</v>
      </c>
      <c r="E122" s="29">
        <v>-366.77</v>
      </c>
      <c r="F122" s="30" t="s">
        <v>198</v>
      </c>
      <c r="G122" s="28" t="s">
        <v>107</v>
      </c>
      <c r="H122" s="28" t="s">
        <v>231</v>
      </c>
      <c r="I122" s="28" t="s">
        <v>103</v>
      </c>
    </row>
    <row r="123" spans="1:9" x14ac:dyDescent="0.25">
      <c r="A123" s="28" t="s">
        <v>372</v>
      </c>
      <c r="B123" s="28" t="s">
        <v>369</v>
      </c>
      <c r="C123" s="28" t="s">
        <v>373</v>
      </c>
      <c r="D123" s="28" t="s">
        <v>101</v>
      </c>
      <c r="E123" s="29">
        <v>-551.42999999999995</v>
      </c>
      <c r="F123" s="28" t="s">
        <v>41</v>
      </c>
      <c r="G123" s="28" t="s">
        <v>107</v>
      </c>
      <c r="I123" s="28" t="s">
        <v>103</v>
      </c>
    </row>
    <row r="124" spans="1:9" x14ac:dyDescent="0.25">
      <c r="A124" s="28" t="s">
        <v>374</v>
      </c>
      <c r="B124" s="28" t="s">
        <v>369</v>
      </c>
      <c r="C124" s="28" t="s">
        <v>375</v>
      </c>
      <c r="D124" s="28" t="s">
        <v>101</v>
      </c>
      <c r="E124" s="29">
        <v>-56</v>
      </c>
      <c r="F124" s="28" t="s">
        <v>41</v>
      </c>
      <c r="G124" s="28" t="s">
        <v>102</v>
      </c>
      <c r="I124" s="28" t="s">
        <v>103</v>
      </c>
    </row>
    <row r="125" spans="1:9" x14ac:dyDescent="0.25">
      <c r="A125" s="28" t="s">
        <v>376</v>
      </c>
      <c r="B125" s="28" t="s">
        <v>377</v>
      </c>
      <c r="C125" s="28" t="s">
        <v>144</v>
      </c>
      <c r="D125" s="28" t="s">
        <v>145</v>
      </c>
      <c r="E125" s="29">
        <v>850</v>
      </c>
      <c r="F125" s="28" t="s">
        <v>194</v>
      </c>
      <c r="G125" s="28" t="s">
        <v>378</v>
      </c>
      <c r="I125" s="28" t="s">
        <v>103</v>
      </c>
    </row>
    <row r="126" spans="1:9" x14ac:dyDescent="0.25">
      <c r="A126" s="28" t="s">
        <v>379</v>
      </c>
      <c r="B126" s="28" t="s">
        <v>380</v>
      </c>
      <c r="C126" s="28" t="s">
        <v>381</v>
      </c>
      <c r="D126" s="28" t="s">
        <v>126</v>
      </c>
      <c r="E126" s="29">
        <v>-810</v>
      </c>
      <c r="F126" s="28" t="s">
        <v>39</v>
      </c>
      <c r="G126" s="28" t="s">
        <v>102</v>
      </c>
      <c r="I126" s="28" t="s">
        <v>103</v>
      </c>
    </row>
    <row r="127" spans="1:9" x14ac:dyDescent="0.25">
      <c r="A127" s="28" t="s">
        <v>382</v>
      </c>
      <c r="B127" s="28" t="s">
        <v>380</v>
      </c>
      <c r="C127" s="28" t="s">
        <v>375</v>
      </c>
      <c r="D127" s="28" t="s">
        <v>101</v>
      </c>
      <c r="E127" s="29">
        <v>-136</v>
      </c>
      <c r="F127" s="28" t="s">
        <v>41</v>
      </c>
      <c r="G127" s="28" t="s">
        <v>102</v>
      </c>
      <c r="I127" s="28" t="s">
        <v>103</v>
      </c>
    </row>
    <row r="128" spans="1:9" x14ac:dyDescent="0.25">
      <c r="A128" s="28" t="s">
        <v>383</v>
      </c>
      <c r="B128" s="28" t="s">
        <v>380</v>
      </c>
      <c r="C128" s="28" t="s">
        <v>384</v>
      </c>
      <c r="D128" s="28" t="s">
        <v>101</v>
      </c>
      <c r="E128" s="29">
        <v>-1600</v>
      </c>
      <c r="F128" s="28" t="s">
        <v>194</v>
      </c>
      <c r="G128" s="28" t="s">
        <v>156</v>
      </c>
      <c r="I128" s="28" t="s">
        <v>103</v>
      </c>
    </row>
    <row r="129" spans="1:10" x14ac:dyDescent="0.25">
      <c r="A129" s="28" t="s">
        <v>385</v>
      </c>
      <c r="B129" s="28" t="s">
        <v>386</v>
      </c>
      <c r="C129" s="28" t="s">
        <v>144</v>
      </c>
      <c r="D129" s="28" t="s">
        <v>145</v>
      </c>
      <c r="E129" s="29">
        <v>300</v>
      </c>
      <c r="F129" s="28" t="s">
        <v>22</v>
      </c>
      <c r="G129" s="28" t="s">
        <v>112</v>
      </c>
      <c r="I129" s="28" t="s">
        <v>103</v>
      </c>
    </row>
    <row r="130" spans="1:10" x14ac:dyDescent="0.25">
      <c r="A130" s="28" t="s">
        <v>387</v>
      </c>
      <c r="B130" s="28" t="s">
        <v>388</v>
      </c>
      <c r="C130" s="28" t="s">
        <v>322</v>
      </c>
      <c r="D130" s="28" t="s">
        <v>101</v>
      </c>
      <c r="E130" s="29">
        <v>-540</v>
      </c>
      <c r="F130" s="28" t="s">
        <v>46</v>
      </c>
      <c r="G130" s="28" t="s">
        <v>102</v>
      </c>
      <c r="I130" s="28" t="s">
        <v>103</v>
      </c>
    </row>
    <row r="131" spans="1:10" x14ac:dyDescent="0.25">
      <c r="A131" s="28" t="s">
        <v>389</v>
      </c>
      <c r="B131" s="28" t="s">
        <v>390</v>
      </c>
      <c r="C131" s="28" t="s">
        <v>341</v>
      </c>
      <c r="D131" s="28" t="s">
        <v>126</v>
      </c>
      <c r="E131" s="29">
        <v>-500</v>
      </c>
      <c r="F131" s="28" t="s">
        <v>46</v>
      </c>
      <c r="G131" s="28" t="s">
        <v>112</v>
      </c>
      <c r="H131" s="28" t="s">
        <v>117</v>
      </c>
      <c r="I131" s="28" t="s">
        <v>103</v>
      </c>
      <c r="J131" s="28" t="s">
        <v>342</v>
      </c>
    </row>
    <row r="132" spans="1:10" x14ac:dyDescent="0.25">
      <c r="A132" s="28" t="s">
        <v>391</v>
      </c>
      <c r="B132" s="28" t="s">
        <v>392</v>
      </c>
      <c r="C132" s="28" t="s">
        <v>144</v>
      </c>
      <c r="D132" s="28" t="s">
        <v>145</v>
      </c>
      <c r="E132" s="29">
        <v>42852</v>
      </c>
      <c r="F132" s="28" t="s">
        <v>20</v>
      </c>
      <c r="G132" s="28" t="s">
        <v>219</v>
      </c>
      <c r="I132" s="28" t="s">
        <v>103</v>
      </c>
    </row>
    <row r="133" spans="1:10" x14ac:dyDescent="0.25">
      <c r="A133" s="28" t="s">
        <v>393</v>
      </c>
      <c r="B133" s="28" t="s">
        <v>394</v>
      </c>
      <c r="C133" s="28" t="s">
        <v>230</v>
      </c>
      <c r="D133" s="28" t="s">
        <v>101</v>
      </c>
      <c r="E133" s="29">
        <v>-1413</v>
      </c>
      <c r="F133" s="30" t="s">
        <v>198</v>
      </c>
      <c r="G133" s="28" t="s">
        <v>107</v>
      </c>
      <c r="H133" s="28" t="s">
        <v>231</v>
      </c>
      <c r="I133" s="28" t="s">
        <v>103</v>
      </c>
    </row>
    <row r="134" spans="1:10" x14ac:dyDescent="0.25">
      <c r="A134" s="28" t="s">
        <v>395</v>
      </c>
      <c r="B134" s="28" t="s">
        <v>396</v>
      </c>
      <c r="C134" s="28" t="s">
        <v>397</v>
      </c>
      <c r="D134" s="28" t="s">
        <v>101</v>
      </c>
      <c r="E134" s="29">
        <v>-1400</v>
      </c>
      <c r="F134" s="28" t="s">
        <v>46</v>
      </c>
      <c r="G134" s="28" t="s">
        <v>102</v>
      </c>
      <c r="I134" s="28" t="s">
        <v>103</v>
      </c>
    </row>
    <row r="135" spans="1:10" x14ac:dyDescent="0.25">
      <c r="A135" s="28" t="s">
        <v>398</v>
      </c>
      <c r="B135" s="28" t="s">
        <v>399</v>
      </c>
      <c r="C135" s="28" t="s">
        <v>400</v>
      </c>
      <c r="D135" s="28" t="s">
        <v>101</v>
      </c>
      <c r="E135" s="29">
        <v>-3571</v>
      </c>
      <c r="F135" s="28" t="s">
        <v>41</v>
      </c>
      <c r="G135" s="28" t="s">
        <v>107</v>
      </c>
      <c r="I135" s="28" t="s">
        <v>103</v>
      </c>
    </row>
    <row r="136" spans="1:10" x14ac:dyDescent="0.25">
      <c r="A136" s="28" t="s">
        <v>401</v>
      </c>
      <c r="B136" s="28" t="s">
        <v>399</v>
      </c>
      <c r="C136" s="28" t="s">
        <v>144</v>
      </c>
      <c r="D136" s="28" t="s">
        <v>145</v>
      </c>
      <c r="E136" s="29">
        <v>300</v>
      </c>
      <c r="F136" s="28" t="s">
        <v>22</v>
      </c>
      <c r="G136" s="28" t="s">
        <v>112</v>
      </c>
      <c r="I136" s="28" t="s">
        <v>103</v>
      </c>
    </row>
    <row r="137" spans="1:10" x14ac:dyDescent="0.25">
      <c r="A137" s="28" t="s">
        <v>402</v>
      </c>
      <c r="B137" s="28" t="s">
        <v>403</v>
      </c>
      <c r="C137" s="28" t="s">
        <v>230</v>
      </c>
      <c r="D137" s="28" t="s">
        <v>101</v>
      </c>
      <c r="E137" s="29">
        <v>-456</v>
      </c>
      <c r="F137" s="30" t="s">
        <v>198</v>
      </c>
      <c r="G137" s="28" t="s">
        <v>107</v>
      </c>
      <c r="H137" s="28" t="s">
        <v>231</v>
      </c>
      <c r="I137" s="28" t="s">
        <v>103</v>
      </c>
    </row>
    <row r="138" spans="1:10" x14ac:dyDescent="0.25">
      <c r="A138" s="28" t="s">
        <v>404</v>
      </c>
      <c r="B138" s="28" t="s">
        <v>403</v>
      </c>
      <c r="C138" s="28" t="s">
        <v>144</v>
      </c>
      <c r="D138" s="28" t="s">
        <v>145</v>
      </c>
      <c r="E138" s="29">
        <v>5100</v>
      </c>
      <c r="F138" s="28" t="s">
        <v>22</v>
      </c>
      <c r="G138" s="28" t="s">
        <v>112</v>
      </c>
      <c r="I138" s="28" t="s">
        <v>103</v>
      </c>
    </row>
    <row r="139" spans="1:10" x14ac:dyDescent="0.25">
      <c r="A139" s="28" t="s">
        <v>405</v>
      </c>
      <c r="B139" s="28" t="s">
        <v>406</v>
      </c>
      <c r="C139" s="28" t="s">
        <v>322</v>
      </c>
      <c r="D139" s="28" t="s">
        <v>101</v>
      </c>
      <c r="E139" s="29">
        <v>-165</v>
      </c>
      <c r="F139" s="28" t="s">
        <v>46</v>
      </c>
      <c r="G139" s="28" t="s">
        <v>102</v>
      </c>
      <c r="I139" s="28" t="s">
        <v>103</v>
      </c>
    </row>
    <row r="140" spans="1:10" x14ac:dyDescent="0.25">
      <c r="A140" s="28" t="s">
        <v>407</v>
      </c>
      <c r="B140" s="28" t="s">
        <v>406</v>
      </c>
      <c r="C140" s="28" t="s">
        <v>322</v>
      </c>
      <c r="D140" s="28" t="s">
        <v>101</v>
      </c>
      <c r="E140" s="29">
        <v>-128</v>
      </c>
      <c r="F140" s="28" t="s">
        <v>46</v>
      </c>
      <c r="G140" s="28" t="s">
        <v>102</v>
      </c>
      <c r="I140" s="28" t="s">
        <v>103</v>
      </c>
    </row>
    <row r="141" spans="1:10" x14ac:dyDescent="0.25">
      <c r="A141" s="28" t="s">
        <v>408</v>
      </c>
      <c r="B141" s="28" t="s">
        <v>409</v>
      </c>
      <c r="C141" s="28" t="s">
        <v>144</v>
      </c>
      <c r="D141" s="28" t="s">
        <v>145</v>
      </c>
      <c r="E141" s="29">
        <v>187</v>
      </c>
      <c r="F141" s="28" t="s">
        <v>410</v>
      </c>
      <c r="G141" s="28" t="s">
        <v>107</v>
      </c>
      <c r="H141" s="28" t="s">
        <v>411</v>
      </c>
      <c r="I141" s="28" t="s">
        <v>103</v>
      </c>
    </row>
    <row r="142" spans="1:10" x14ac:dyDescent="0.25">
      <c r="A142" s="28" t="s">
        <v>412</v>
      </c>
      <c r="B142" s="28" t="s">
        <v>413</v>
      </c>
      <c r="C142" s="28" t="s">
        <v>414</v>
      </c>
      <c r="D142" s="28" t="s">
        <v>101</v>
      </c>
      <c r="E142" s="29">
        <v>-429</v>
      </c>
      <c r="F142" s="28" t="s">
        <v>41</v>
      </c>
      <c r="G142" s="28" t="s">
        <v>107</v>
      </c>
      <c r="I142" s="28" t="s">
        <v>103</v>
      </c>
    </row>
    <row r="143" spans="1:10" x14ac:dyDescent="0.25">
      <c r="A143" s="28" t="s">
        <v>415</v>
      </c>
      <c r="B143" s="28" t="s">
        <v>413</v>
      </c>
      <c r="C143" s="28" t="s">
        <v>136</v>
      </c>
      <c r="D143" s="28" t="s">
        <v>126</v>
      </c>
      <c r="E143" s="29">
        <v>-400</v>
      </c>
      <c r="F143" s="28" t="s">
        <v>136</v>
      </c>
      <c r="G143" s="28" t="s">
        <v>112</v>
      </c>
      <c r="I143" s="28" t="s">
        <v>103</v>
      </c>
    </row>
    <row r="144" spans="1:10" x14ac:dyDescent="0.25">
      <c r="A144" s="28" t="s">
        <v>416</v>
      </c>
      <c r="B144" s="28" t="s">
        <v>413</v>
      </c>
      <c r="C144" s="28" t="s">
        <v>417</v>
      </c>
      <c r="D144" s="28" t="s">
        <v>101</v>
      </c>
      <c r="E144" s="29">
        <v>-3300</v>
      </c>
      <c r="F144" s="28" t="s">
        <v>46</v>
      </c>
      <c r="G144" s="28" t="s">
        <v>156</v>
      </c>
      <c r="I144" s="28" t="s">
        <v>103</v>
      </c>
    </row>
    <row r="145" spans="1:10" x14ac:dyDescent="0.25">
      <c r="A145" s="28" t="s">
        <v>418</v>
      </c>
      <c r="B145" s="28" t="s">
        <v>419</v>
      </c>
      <c r="C145" s="28" t="s">
        <v>144</v>
      </c>
      <c r="D145" s="28" t="s">
        <v>145</v>
      </c>
      <c r="E145" s="29">
        <v>16699.400000000001</v>
      </c>
      <c r="F145" s="28" t="s">
        <v>20</v>
      </c>
      <c r="G145" s="28" t="s">
        <v>219</v>
      </c>
      <c r="I145" s="28" t="s">
        <v>103</v>
      </c>
    </row>
    <row r="146" spans="1:10" x14ac:dyDescent="0.25">
      <c r="A146" s="28" t="s">
        <v>420</v>
      </c>
      <c r="B146" s="28" t="s">
        <v>421</v>
      </c>
      <c r="C146" s="28" t="s">
        <v>313</v>
      </c>
      <c r="D146" s="28" t="s">
        <v>101</v>
      </c>
      <c r="E146" s="29">
        <v>-35850</v>
      </c>
      <c r="F146" s="28" t="s">
        <v>46</v>
      </c>
      <c r="G146" s="28" t="s">
        <v>259</v>
      </c>
      <c r="H146" s="30" t="s">
        <v>422</v>
      </c>
      <c r="I146" s="28" t="s">
        <v>103</v>
      </c>
    </row>
    <row r="147" spans="1:10" x14ac:dyDescent="0.25">
      <c r="A147" s="28" t="s">
        <v>423</v>
      </c>
      <c r="B147" s="28" t="s">
        <v>421</v>
      </c>
      <c r="C147" s="31" t="s">
        <v>424</v>
      </c>
      <c r="D147" s="28" t="s">
        <v>122</v>
      </c>
      <c r="E147" s="29">
        <v>-2250</v>
      </c>
      <c r="F147" s="28" t="s">
        <v>46</v>
      </c>
      <c r="G147" s="28" t="s">
        <v>219</v>
      </c>
      <c r="I147" s="28" t="s">
        <v>103</v>
      </c>
    </row>
    <row r="148" spans="1:10" x14ac:dyDescent="0.25">
      <c r="A148" s="28" t="s">
        <v>425</v>
      </c>
      <c r="B148" s="28" t="s">
        <v>421</v>
      </c>
      <c r="C148" s="28" t="s">
        <v>45</v>
      </c>
      <c r="D148" s="28" t="s">
        <v>122</v>
      </c>
      <c r="E148" s="29">
        <v>-29829</v>
      </c>
      <c r="F148" s="28" t="s">
        <v>45</v>
      </c>
      <c r="G148" s="28" t="s">
        <v>107</v>
      </c>
      <c r="I148" s="28" t="s">
        <v>103</v>
      </c>
    </row>
    <row r="149" spans="1:10" x14ac:dyDescent="0.25">
      <c r="A149" s="28" t="s">
        <v>426</v>
      </c>
      <c r="B149" s="28" t="s">
        <v>421</v>
      </c>
      <c r="C149" s="28" t="s">
        <v>427</v>
      </c>
      <c r="D149" s="28" t="s">
        <v>101</v>
      </c>
      <c r="E149" s="29">
        <v>-14048</v>
      </c>
      <c r="F149" s="28" t="s">
        <v>46</v>
      </c>
      <c r="G149" s="28" t="s">
        <v>102</v>
      </c>
      <c r="I149" s="28" t="s">
        <v>103</v>
      </c>
    </row>
    <row r="150" spans="1:10" x14ac:dyDescent="0.25">
      <c r="A150" s="28" t="s">
        <v>428</v>
      </c>
      <c r="B150" s="28" t="s">
        <v>421</v>
      </c>
      <c r="C150" s="28" t="s">
        <v>316</v>
      </c>
      <c r="D150" s="28" t="s">
        <v>101</v>
      </c>
      <c r="E150" s="29">
        <v>-100</v>
      </c>
      <c r="F150" s="28" t="s">
        <v>38</v>
      </c>
      <c r="G150" s="28" t="s">
        <v>112</v>
      </c>
      <c r="I150" s="28" t="s">
        <v>103</v>
      </c>
    </row>
    <row r="151" spans="1:10" x14ac:dyDescent="0.25">
      <c r="A151" s="28" t="s">
        <v>429</v>
      </c>
      <c r="B151" s="28" t="s">
        <v>421</v>
      </c>
      <c r="C151" s="28" t="s">
        <v>430</v>
      </c>
      <c r="D151" s="28" t="s">
        <v>101</v>
      </c>
      <c r="E151" s="29">
        <v>-759</v>
      </c>
      <c r="F151" s="28" t="s">
        <v>46</v>
      </c>
      <c r="G151" s="28" t="s">
        <v>102</v>
      </c>
      <c r="I151" s="28" t="s">
        <v>103</v>
      </c>
    </row>
    <row r="152" spans="1:10" x14ac:dyDescent="0.25">
      <c r="A152" s="28" t="s">
        <v>431</v>
      </c>
      <c r="B152" s="28" t="s">
        <v>421</v>
      </c>
      <c r="D152" s="28" t="s">
        <v>284</v>
      </c>
      <c r="E152" s="29" t="s">
        <v>432</v>
      </c>
      <c r="F152" s="28" t="s">
        <v>433</v>
      </c>
      <c r="G152" s="28" t="s">
        <v>107</v>
      </c>
      <c r="I152" s="28" t="s">
        <v>103</v>
      </c>
    </row>
    <row r="153" spans="1:10" x14ac:dyDescent="0.25">
      <c r="A153" s="28" t="s">
        <v>434</v>
      </c>
      <c r="B153" s="28" t="s">
        <v>421</v>
      </c>
      <c r="C153" s="28" t="s">
        <v>435</v>
      </c>
      <c r="D153" s="28" t="s">
        <v>284</v>
      </c>
      <c r="E153" s="29">
        <v>2411</v>
      </c>
      <c r="F153" s="28" t="s">
        <v>433</v>
      </c>
      <c r="G153" s="28" t="s">
        <v>107</v>
      </c>
      <c r="I153" s="28" t="s">
        <v>103</v>
      </c>
    </row>
    <row r="154" spans="1:10" x14ac:dyDescent="0.25">
      <c r="A154" s="28" t="s">
        <v>436</v>
      </c>
      <c r="B154" s="28" t="s">
        <v>421</v>
      </c>
      <c r="C154" s="28" t="s">
        <v>437</v>
      </c>
      <c r="D154" s="28" t="s">
        <v>122</v>
      </c>
      <c r="E154" s="29">
        <v>-1200</v>
      </c>
      <c r="F154" s="28" t="s">
        <v>36</v>
      </c>
      <c r="G154" s="28" t="s">
        <v>112</v>
      </c>
      <c r="I154" s="28" t="s">
        <v>103</v>
      </c>
      <c r="J154" s="28" t="s">
        <v>438</v>
      </c>
    </row>
    <row r="155" spans="1:10" x14ac:dyDescent="0.25">
      <c r="A155" s="28" t="s">
        <v>439</v>
      </c>
      <c r="B155" s="28" t="s">
        <v>421</v>
      </c>
      <c r="C155" s="28" t="s">
        <v>144</v>
      </c>
      <c r="D155" s="28" t="s">
        <v>145</v>
      </c>
      <c r="E155" s="29">
        <v>700</v>
      </c>
      <c r="F155" s="28" t="s">
        <v>410</v>
      </c>
      <c r="G155" s="28" t="s">
        <v>219</v>
      </c>
      <c r="I155" s="28" t="s">
        <v>103</v>
      </c>
    </row>
    <row r="156" spans="1:10" x14ac:dyDescent="0.25">
      <c r="A156" s="28" t="s">
        <v>440</v>
      </c>
      <c r="B156" s="28" t="s">
        <v>441</v>
      </c>
      <c r="C156" s="28" t="s">
        <v>442</v>
      </c>
      <c r="D156" s="28" t="s">
        <v>101</v>
      </c>
      <c r="E156" s="29">
        <v>-2200</v>
      </c>
      <c r="F156" s="28" t="s">
        <v>36</v>
      </c>
      <c r="G156" s="28" t="s">
        <v>112</v>
      </c>
      <c r="I156" s="28" t="s">
        <v>103</v>
      </c>
      <c r="J156" s="28" t="s">
        <v>118</v>
      </c>
    </row>
    <row r="157" spans="1:10" x14ac:dyDescent="0.25">
      <c r="A157" s="28" t="s">
        <v>443</v>
      </c>
      <c r="B157" s="28" t="s">
        <v>444</v>
      </c>
      <c r="C157" s="28" t="s">
        <v>322</v>
      </c>
      <c r="D157" s="28" t="s">
        <v>101</v>
      </c>
      <c r="E157" s="29">
        <v>-186</v>
      </c>
      <c r="F157" s="28" t="s">
        <v>46</v>
      </c>
      <c r="G157" s="28" t="s">
        <v>102</v>
      </c>
      <c r="I157" s="28" t="s">
        <v>103</v>
      </c>
    </row>
    <row r="158" spans="1:10" x14ac:dyDescent="0.25">
      <c r="A158" s="28" t="s">
        <v>445</v>
      </c>
      <c r="B158" s="28" t="s">
        <v>444</v>
      </c>
      <c r="C158" s="28" t="s">
        <v>144</v>
      </c>
      <c r="D158" s="28" t="s">
        <v>145</v>
      </c>
      <c r="E158" s="29">
        <v>1500</v>
      </c>
      <c r="F158" s="28" t="s">
        <v>446</v>
      </c>
      <c r="G158" s="28" t="s">
        <v>102</v>
      </c>
      <c r="I158" s="28" t="s">
        <v>103</v>
      </c>
    </row>
    <row r="159" spans="1:10" x14ac:dyDescent="0.25">
      <c r="A159" s="28" t="s">
        <v>447</v>
      </c>
      <c r="B159" s="28" t="s">
        <v>448</v>
      </c>
      <c r="C159" s="28" t="s">
        <v>449</v>
      </c>
      <c r="D159" s="28" t="s">
        <v>101</v>
      </c>
      <c r="E159" s="29">
        <v>-1200</v>
      </c>
      <c r="F159" s="28" t="s">
        <v>46</v>
      </c>
      <c r="G159" s="28" t="s">
        <v>102</v>
      </c>
      <c r="I159" s="28" t="s">
        <v>103</v>
      </c>
    </row>
    <row r="160" spans="1:10" x14ac:dyDescent="0.25">
      <c r="A160" s="28" t="s">
        <v>450</v>
      </c>
      <c r="B160" s="28" t="s">
        <v>451</v>
      </c>
      <c r="C160" s="28" t="s">
        <v>452</v>
      </c>
      <c r="D160" s="28" t="s">
        <v>101</v>
      </c>
      <c r="E160" s="29">
        <v>-48</v>
      </c>
      <c r="F160" s="28" t="s">
        <v>41</v>
      </c>
      <c r="G160" s="28" t="s">
        <v>102</v>
      </c>
      <c r="I160" s="28" t="s">
        <v>103</v>
      </c>
    </row>
    <row r="161" spans="1:10" x14ac:dyDescent="0.25">
      <c r="A161" s="28" t="s">
        <v>453</v>
      </c>
      <c r="B161" s="28" t="s">
        <v>451</v>
      </c>
      <c r="C161" s="28" t="s">
        <v>454</v>
      </c>
      <c r="D161" s="28" t="s">
        <v>101</v>
      </c>
      <c r="E161" s="29">
        <v>-1000</v>
      </c>
      <c r="F161" s="28" t="s">
        <v>154</v>
      </c>
      <c r="G161" s="28" t="s">
        <v>102</v>
      </c>
      <c r="H161" s="28" t="s">
        <v>455</v>
      </c>
      <c r="I161" s="28" t="s">
        <v>103</v>
      </c>
    </row>
    <row r="162" spans="1:10" x14ac:dyDescent="0.25">
      <c r="A162" s="28" t="s">
        <v>456</v>
      </c>
      <c r="B162" s="28" t="s">
        <v>457</v>
      </c>
      <c r="C162" s="28" t="s">
        <v>458</v>
      </c>
      <c r="D162" s="28" t="s">
        <v>101</v>
      </c>
      <c r="E162" s="29">
        <v>-900</v>
      </c>
      <c r="F162" s="28" t="s">
        <v>46</v>
      </c>
      <c r="G162" s="28" t="s">
        <v>102</v>
      </c>
      <c r="I162" s="28" t="s">
        <v>103</v>
      </c>
    </row>
    <row r="163" spans="1:10" x14ac:dyDescent="0.25">
      <c r="A163" s="28" t="s">
        <v>459</v>
      </c>
      <c r="B163" s="28" t="s">
        <v>460</v>
      </c>
      <c r="C163" s="28" t="s">
        <v>461</v>
      </c>
      <c r="D163" s="28" t="s">
        <v>101</v>
      </c>
      <c r="E163" s="29">
        <v>-6000</v>
      </c>
      <c r="F163" s="28" t="s">
        <v>154</v>
      </c>
      <c r="G163" s="28" t="s">
        <v>102</v>
      </c>
      <c r="H163" s="28" t="s">
        <v>462</v>
      </c>
      <c r="I163" s="28" t="s">
        <v>103</v>
      </c>
    </row>
    <row r="164" spans="1:10" x14ac:dyDescent="0.25">
      <c r="A164" s="28" t="s">
        <v>463</v>
      </c>
      <c r="B164" s="28" t="s">
        <v>464</v>
      </c>
      <c r="C164" s="28" t="s">
        <v>144</v>
      </c>
      <c r="D164" s="28" t="s">
        <v>145</v>
      </c>
      <c r="E164" s="29">
        <v>1500</v>
      </c>
      <c r="F164" s="28" t="s">
        <v>446</v>
      </c>
      <c r="G164" s="28" t="s">
        <v>102</v>
      </c>
      <c r="I164" s="28" t="s">
        <v>103</v>
      </c>
    </row>
    <row r="165" spans="1:10" x14ac:dyDescent="0.25">
      <c r="A165" s="28" t="s">
        <v>465</v>
      </c>
      <c r="B165" s="28" t="s">
        <v>466</v>
      </c>
      <c r="C165" s="28" t="s">
        <v>167</v>
      </c>
      <c r="D165" s="28" t="s">
        <v>101</v>
      </c>
      <c r="E165" s="29">
        <v>-729</v>
      </c>
      <c r="F165" s="28" t="s">
        <v>46</v>
      </c>
      <c r="G165" s="28" t="s">
        <v>102</v>
      </c>
      <c r="I165" s="28" t="s">
        <v>103</v>
      </c>
    </row>
    <row r="166" spans="1:10" x14ac:dyDescent="0.25">
      <c r="A166" s="28" t="s">
        <v>467</v>
      </c>
      <c r="B166" s="28" t="s">
        <v>466</v>
      </c>
      <c r="C166" s="28" t="s">
        <v>144</v>
      </c>
      <c r="D166" s="28" t="s">
        <v>145</v>
      </c>
      <c r="E166" s="29">
        <v>840</v>
      </c>
      <c r="F166" s="28" t="s">
        <v>446</v>
      </c>
      <c r="G166" s="28" t="s">
        <v>102</v>
      </c>
      <c r="I166" s="28" t="s">
        <v>103</v>
      </c>
    </row>
    <row r="167" spans="1:10" x14ac:dyDescent="0.25">
      <c r="A167" s="28" t="s">
        <v>468</v>
      </c>
      <c r="B167" s="28" t="s">
        <v>469</v>
      </c>
      <c r="C167" s="28" t="s">
        <v>458</v>
      </c>
      <c r="D167" s="28" t="s">
        <v>101</v>
      </c>
      <c r="E167" s="29">
        <v>-900</v>
      </c>
      <c r="F167" s="28" t="s">
        <v>46</v>
      </c>
      <c r="G167" s="28" t="s">
        <v>102</v>
      </c>
      <c r="I167" s="28" t="s">
        <v>103</v>
      </c>
    </row>
    <row r="168" spans="1:10" x14ac:dyDescent="0.25">
      <c r="A168" s="28" t="s">
        <v>470</v>
      </c>
      <c r="B168" s="28" t="s">
        <v>469</v>
      </c>
      <c r="C168" s="28" t="s">
        <v>471</v>
      </c>
      <c r="D168" s="28" t="s">
        <v>101</v>
      </c>
      <c r="E168" s="29">
        <v>-1500</v>
      </c>
      <c r="F168" s="28" t="s">
        <v>154</v>
      </c>
      <c r="G168" s="28" t="s">
        <v>102</v>
      </c>
      <c r="H168" s="28" t="s">
        <v>472</v>
      </c>
      <c r="I168" s="28" t="s">
        <v>103</v>
      </c>
    </row>
    <row r="169" spans="1:10" x14ac:dyDescent="0.25">
      <c r="A169" s="28" t="s">
        <v>473</v>
      </c>
      <c r="B169" s="28" t="s">
        <v>469</v>
      </c>
      <c r="C169" s="28" t="s">
        <v>474</v>
      </c>
      <c r="D169" s="28" t="s">
        <v>101</v>
      </c>
      <c r="E169" s="29">
        <v>-1440</v>
      </c>
      <c r="F169" s="28" t="s">
        <v>36</v>
      </c>
      <c r="G169" s="28" t="s">
        <v>112</v>
      </c>
      <c r="I169" s="28" t="s">
        <v>103</v>
      </c>
      <c r="J169" s="28" t="s">
        <v>118</v>
      </c>
    </row>
    <row r="170" spans="1:10" x14ac:dyDescent="0.25">
      <c r="A170" s="28" t="s">
        <v>475</v>
      </c>
      <c r="B170" s="28" t="s">
        <v>476</v>
      </c>
      <c r="C170" s="28" t="s">
        <v>209</v>
      </c>
      <c r="D170" s="28" t="s">
        <v>101</v>
      </c>
      <c r="E170" s="29">
        <v>-2501</v>
      </c>
      <c r="F170" s="28" t="s">
        <v>46</v>
      </c>
      <c r="G170" s="28" t="s">
        <v>102</v>
      </c>
      <c r="I170" s="28" t="s">
        <v>103</v>
      </c>
    </row>
    <row r="171" spans="1:10" x14ac:dyDescent="0.25">
      <c r="A171" s="28" t="s">
        <v>477</v>
      </c>
      <c r="B171" s="28" t="s">
        <v>478</v>
      </c>
      <c r="C171" s="28" t="s">
        <v>430</v>
      </c>
      <c r="D171" s="28" t="s">
        <v>101</v>
      </c>
      <c r="E171" s="29">
        <v>-105</v>
      </c>
      <c r="F171" s="28" t="s">
        <v>41</v>
      </c>
      <c r="G171" s="28" t="s">
        <v>102</v>
      </c>
      <c r="I171" s="28" t="s">
        <v>103</v>
      </c>
    </row>
    <row r="172" spans="1:10" x14ac:dyDescent="0.25">
      <c r="A172" s="28">
        <v>171</v>
      </c>
      <c r="C172" s="28" t="s">
        <v>479</v>
      </c>
      <c r="D172" s="28" t="s">
        <v>307</v>
      </c>
      <c r="E172" s="29">
        <v>-1110</v>
      </c>
      <c r="F172" s="28" t="s">
        <v>32</v>
      </c>
      <c r="G172" s="28" t="s">
        <v>107</v>
      </c>
      <c r="I172" s="28" t="s">
        <v>307</v>
      </c>
    </row>
    <row r="173" spans="1:10" x14ac:dyDescent="0.25">
      <c r="A173" s="28">
        <v>172</v>
      </c>
      <c r="C173" s="28" t="s">
        <v>480</v>
      </c>
      <c r="D173" s="28" t="s">
        <v>307</v>
      </c>
      <c r="E173" s="29">
        <v>92550</v>
      </c>
      <c r="F173" s="28" t="s">
        <v>334</v>
      </c>
      <c r="G173" s="28" t="s">
        <v>259</v>
      </c>
      <c r="I173" s="28" t="s">
        <v>307</v>
      </c>
    </row>
    <row r="174" spans="1:10" x14ac:dyDescent="0.25">
      <c r="A174" s="28">
        <v>173</v>
      </c>
      <c r="C174" s="28" t="s">
        <v>481</v>
      </c>
      <c r="D174" s="28" t="s">
        <v>307</v>
      </c>
      <c r="E174" s="29">
        <v>900</v>
      </c>
      <c r="F174" s="28" t="s">
        <v>410</v>
      </c>
      <c r="G174" s="28" t="s">
        <v>107</v>
      </c>
      <c r="I174" s="28" t="s">
        <v>307</v>
      </c>
    </row>
    <row r="175" spans="1:10" x14ac:dyDescent="0.25">
      <c r="A175" s="28">
        <v>174</v>
      </c>
      <c r="C175" s="28" t="s">
        <v>482</v>
      </c>
      <c r="D175" s="28" t="s">
        <v>10</v>
      </c>
      <c r="E175" s="29">
        <v>-12040</v>
      </c>
      <c r="F175" s="28" t="s">
        <v>433</v>
      </c>
      <c r="G175" s="28" t="s">
        <v>107</v>
      </c>
      <c r="I175" s="28" t="s">
        <v>10</v>
      </c>
    </row>
    <row r="176" spans="1:10" x14ac:dyDescent="0.25">
      <c r="A176" s="28">
        <v>175</v>
      </c>
      <c r="C176" s="28" t="s">
        <v>285</v>
      </c>
      <c r="D176" s="28" t="s">
        <v>307</v>
      </c>
      <c r="E176" s="29">
        <v>-95000</v>
      </c>
      <c r="F176" s="28" t="s">
        <v>285</v>
      </c>
      <c r="G176" s="28" t="s">
        <v>107</v>
      </c>
      <c r="I176" s="28" t="s">
        <v>307</v>
      </c>
    </row>
    <row r="177" spans="1:9" x14ac:dyDescent="0.25">
      <c r="A177" s="28">
        <v>176</v>
      </c>
      <c r="C177" s="28" t="s">
        <v>27</v>
      </c>
      <c r="D177" s="28" t="s">
        <v>483</v>
      </c>
      <c r="E177" s="29">
        <v>1824.88</v>
      </c>
      <c r="F177" s="28" t="s">
        <v>484</v>
      </c>
      <c r="G177" s="28" t="s">
        <v>107</v>
      </c>
      <c r="I177" s="28" t="s">
        <v>273</v>
      </c>
    </row>
    <row r="178" spans="1:9" x14ac:dyDescent="0.25">
      <c r="A178" s="28">
        <v>177</v>
      </c>
      <c r="C178" s="28" t="s">
        <v>33</v>
      </c>
      <c r="D178" s="28" t="s">
        <v>483</v>
      </c>
      <c r="E178" s="29">
        <v>-547</v>
      </c>
      <c r="F178" s="28" t="s">
        <v>33</v>
      </c>
      <c r="G178" s="28" t="s">
        <v>107</v>
      </c>
      <c r="I178" s="28" t="s">
        <v>273</v>
      </c>
    </row>
  </sheetData>
  <autoFilter ref="A1:J178" xr:uid="{00000000-0009-0000-0000-00003D000000}"/>
  <pageMargins left="0.75" right="0.75" top="1" bottom="1" header="0.5" footer="0.5"/>
  <pageSetup orientation="portrait" horizontalDpi="300" verticalDpi="300" r:id="rId1"/>
  <headerFooter alignWithMargins="0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pageSetUpPr fitToPage="1"/>
  </sheetPr>
  <dimension ref="B1:J31"/>
  <sheetViews>
    <sheetView topLeftCell="B1" workbookViewId="0">
      <selection activeCell="E13" sqref="E13"/>
    </sheetView>
  </sheetViews>
  <sheetFormatPr defaultColWidth="9.109375" defaultRowHeight="14.4" x14ac:dyDescent="0.3"/>
  <cols>
    <col min="1" max="1" width="9.109375" style="50"/>
    <col min="2" max="3" width="11.44140625" style="50" bestFit="1" customWidth="1"/>
    <col min="4" max="4" width="11.6640625" style="50" bestFit="1" customWidth="1"/>
    <col min="5" max="5" width="18.44140625" style="50" bestFit="1" customWidth="1"/>
    <col min="6" max="6" width="8.88671875" style="51" customWidth="1"/>
    <col min="7" max="7" width="10.109375" style="50" bestFit="1" customWidth="1"/>
    <col min="8" max="10" width="9.109375" style="53"/>
    <col min="11" max="16384" width="9.109375" style="50"/>
  </cols>
  <sheetData>
    <row r="1" spans="2:10" x14ac:dyDescent="0.3">
      <c r="B1" s="47" t="s">
        <v>596</v>
      </c>
      <c r="C1" s="47" t="s">
        <v>597</v>
      </c>
      <c r="D1" s="47" t="s">
        <v>598</v>
      </c>
      <c r="E1" s="47" t="s">
        <v>599</v>
      </c>
      <c r="F1" s="48" t="s">
        <v>600</v>
      </c>
      <c r="G1" s="47" t="s">
        <v>601</v>
      </c>
      <c r="H1" s="49" t="s">
        <v>602</v>
      </c>
      <c r="I1" s="49" t="s">
        <v>603</v>
      </c>
      <c r="J1" s="49" t="s">
        <v>48</v>
      </c>
    </row>
    <row r="2" spans="2:10" x14ac:dyDescent="0.3">
      <c r="B2" s="50" t="s">
        <v>604</v>
      </c>
      <c r="C2" s="50" t="s">
        <v>605</v>
      </c>
      <c r="D2" s="50" t="s">
        <v>606</v>
      </c>
      <c r="H2" s="52">
        <v>170</v>
      </c>
      <c r="I2" s="52"/>
      <c r="J2" s="53">
        <f t="shared" ref="J2:J31" si="0">SUM(H2:I2)</f>
        <v>170</v>
      </c>
    </row>
    <row r="3" spans="2:10" x14ac:dyDescent="0.3">
      <c r="B3" s="50" t="s">
        <v>607</v>
      </c>
      <c r="C3" s="50" t="s">
        <v>608</v>
      </c>
      <c r="D3" s="50" t="s">
        <v>609</v>
      </c>
      <c r="E3" s="50" t="s">
        <v>610</v>
      </c>
      <c r="F3" s="51" t="s">
        <v>611</v>
      </c>
      <c r="G3" s="50" t="s">
        <v>612</v>
      </c>
      <c r="H3" s="53">
        <v>1050</v>
      </c>
      <c r="I3" s="53">
        <v>132</v>
      </c>
      <c r="J3" s="53">
        <f t="shared" si="0"/>
        <v>1182</v>
      </c>
    </row>
    <row r="4" spans="2:10" x14ac:dyDescent="0.3">
      <c r="B4" s="50" t="s">
        <v>613</v>
      </c>
      <c r="C4" s="50" t="s">
        <v>613</v>
      </c>
      <c r="D4" s="50" t="s">
        <v>614</v>
      </c>
      <c r="E4" s="50" t="s">
        <v>615</v>
      </c>
      <c r="F4" s="51" t="s">
        <v>616</v>
      </c>
      <c r="G4" s="50" t="s">
        <v>617</v>
      </c>
      <c r="H4" s="53">
        <v>1800</v>
      </c>
      <c r="I4" s="53">
        <v>630</v>
      </c>
      <c r="J4" s="53">
        <f t="shared" si="0"/>
        <v>2430</v>
      </c>
    </row>
    <row r="5" spans="2:10" x14ac:dyDescent="0.3">
      <c r="B5" s="50" t="s">
        <v>618</v>
      </c>
      <c r="C5" s="50" t="s">
        <v>619</v>
      </c>
      <c r="D5" s="50" t="s">
        <v>620</v>
      </c>
      <c r="E5" s="50" t="s">
        <v>621</v>
      </c>
      <c r="F5" s="51" t="s">
        <v>622</v>
      </c>
      <c r="G5" s="50" t="s">
        <v>617</v>
      </c>
      <c r="H5" s="53">
        <v>600</v>
      </c>
      <c r="I5" s="53">
        <v>200</v>
      </c>
      <c r="J5" s="53">
        <f t="shared" si="0"/>
        <v>800</v>
      </c>
    </row>
    <row r="6" spans="2:10" x14ac:dyDescent="0.3">
      <c r="B6" s="50" t="s">
        <v>623</v>
      </c>
      <c r="C6" s="50" t="s">
        <v>624</v>
      </c>
      <c r="D6" s="50" t="s">
        <v>625</v>
      </c>
      <c r="H6" s="52">
        <v>135</v>
      </c>
      <c r="I6" s="52"/>
      <c r="J6" s="53">
        <f t="shared" si="0"/>
        <v>135</v>
      </c>
    </row>
    <row r="7" spans="2:10" x14ac:dyDescent="0.3">
      <c r="B7" s="50" t="s">
        <v>626</v>
      </c>
      <c r="C7" s="50" t="s">
        <v>627</v>
      </c>
      <c r="H7" s="52">
        <v>220</v>
      </c>
      <c r="I7" s="52"/>
      <c r="J7" s="53">
        <f t="shared" si="0"/>
        <v>220</v>
      </c>
    </row>
    <row r="8" spans="2:10" x14ac:dyDescent="0.3">
      <c r="B8" s="50" t="s">
        <v>628</v>
      </c>
      <c r="C8" s="50" t="s">
        <v>629</v>
      </c>
      <c r="D8" s="50" t="s">
        <v>630</v>
      </c>
      <c r="E8" s="50" t="s">
        <v>631</v>
      </c>
      <c r="F8" s="51">
        <v>64540</v>
      </c>
      <c r="G8" s="50" t="s">
        <v>612</v>
      </c>
      <c r="H8" s="52">
        <f>255+225+480+225+450+255+225+225+255+225+480+225+225+480</f>
        <v>4230</v>
      </c>
      <c r="I8" s="52">
        <f>140+135+145+140+140+140+145+140+140+145+145+140+140</f>
        <v>1835</v>
      </c>
      <c r="J8" s="53">
        <f t="shared" si="0"/>
        <v>6065</v>
      </c>
    </row>
    <row r="9" spans="2:10" x14ac:dyDescent="0.3">
      <c r="B9" s="50" t="s">
        <v>632</v>
      </c>
      <c r="C9" s="50" t="s">
        <v>633</v>
      </c>
      <c r="D9" s="50" t="s">
        <v>634</v>
      </c>
      <c r="H9" s="52">
        <v>135</v>
      </c>
      <c r="I9" s="52"/>
      <c r="J9" s="53">
        <f t="shared" si="0"/>
        <v>135</v>
      </c>
    </row>
    <row r="10" spans="2:10" x14ac:dyDescent="0.3">
      <c r="B10" s="50" t="s">
        <v>635</v>
      </c>
      <c r="C10" s="50" t="s">
        <v>636</v>
      </c>
      <c r="D10" s="50" t="s">
        <v>637</v>
      </c>
      <c r="H10" s="52">
        <v>240</v>
      </c>
      <c r="I10" s="52">
        <v>120</v>
      </c>
      <c r="J10" s="53">
        <f t="shared" si="0"/>
        <v>360</v>
      </c>
    </row>
    <row r="11" spans="2:10" x14ac:dyDescent="0.3">
      <c r="B11" s="50" t="s">
        <v>638</v>
      </c>
      <c r="C11" s="50" t="s">
        <v>639</v>
      </c>
      <c r="D11" s="50" t="s">
        <v>640</v>
      </c>
      <c r="H11" s="52">
        <v>135</v>
      </c>
      <c r="I11" s="52"/>
      <c r="J11" s="53">
        <f t="shared" si="0"/>
        <v>135</v>
      </c>
    </row>
    <row r="12" spans="2:10" x14ac:dyDescent="0.3">
      <c r="B12" s="50" t="s">
        <v>641</v>
      </c>
      <c r="C12" s="50" t="s">
        <v>642</v>
      </c>
      <c r="D12" s="50" t="s">
        <v>643</v>
      </c>
      <c r="H12" s="52">
        <f>80+80+80+80</f>
        <v>320</v>
      </c>
      <c r="I12" s="52"/>
      <c r="J12" s="53">
        <f t="shared" si="0"/>
        <v>320</v>
      </c>
    </row>
    <row r="13" spans="2:10" x14ac:dyDescent="0.3">
      <c r="B13" s="50" t="s">
        <v>644</v>
      </c>
      <c r="C13" s="50" t="s">
        <v>645</v>
      </c>
      <c r="D13" s="50" t="s">
        <v>646</v>
      </c>
      <c r="E13" s="50" t="s">
        <v>647</v>
      </c>
      <c r="F13" s="51">
        <v>64540</v>
      </c>
      <c r="G13" s="50" t="s">
        <v>612</v>
      </c>
      <c r="H13" s="52">
        <v>225</v>
      </c>
      <c r="I13" s="52">
        <v>150</v>
      </c>
      <c r="J13" s="53">
        <f t="shared" si="0"/>
        <v>375</v>
      </c>
    </row>
    <row r="14" spans="2:10" x14ac:dyDescent="0.3">
      <c r="B14" s="50" t="s">
        <v>648</v>
      </c>
      <c r="C14" s="50" t="s">
        <v>649</v>
      </c>
      <c r="D14" s="50" t="s">
        <v>650</v>
      </c>
      <c r="H14" s="52">
        <v>135</v>
      </c>
      <c r="I14" s="52"/>
      <c r="J14" s="53">
        <f t="shared" si="0"/>
        <v>135</v>
      </c>
    </row>
    <row r="15" spans="2:10" x14ac:dyDescent="0.3">
      <c r="B15" s="50" t="s">
        <v>651</v>
      </c>
      <c r="C15" s="50" t="s">
        <v>652</v>
      </c>
      <c r="D15" s="50" t="s">
        <v>653</v>
      </c>
      <c r="H15" s="52">
        <f>210+160+210+320+160+150</f>
        <v>1210</v>
      </c>
      <c r="I15" s="52"/>
      <c r="J15" s="53">
        <f t="shared" si="0"/>
        <v>1210</v>
      </c>
    </row>
    <row r="16" spans="2:10" x14ac:dyDescent="0.3">
      <c r="B16" s="50" t="s">
        <v>654</v>
      </c>
      <c r="C16" s="50" t="s">
        <v>655</v>
      </c>
      <c r="D16" s="50" t="s">
        <v>656</v>
      </c>
      <c r="E16" s="50" t="s">
        <v>657</v>
      </c>
      <c r="F16" s="51">
        <v>64752</v>
      </c>
      <c r="G16" s="50" t="s">
        <v>658</v>
      </c>
      <c r="H16" s="52">
        <v>240</v>
      </c>
      <c r="I16" s="52">
        <v>60</v>
      </c>
      <c r="J16" s="53">
        <f t="shared" si="0"/>
        <v>300</v>
      </c>
    </row>
    <row r="17" spans="2:10" x14ac:dyDescent="0.3">
      <c r="B17" s="50" t="s">
        <v>659</v>
      </c>
      <c r="C17" s="50" t="s">
        <v>660</v>
      </c>
      <c r="H17" s="52">
        <v>115</v>
      </c>
      <c r="I17" s="52"/>
      <c r="J17" s="53">
        <f t="shared" si="0"/>
        <v>115</v>
      </c>
    </row>
    <row r="18" spans="2:10" x14ac:dyDescent="0.3">
      <c r="B18" s="50" t="s">
        <v>661</v>
      </c>
      <c r="C18" s="50" t="s">
        <v>662</v>
      </c>
      <c r="D18" s="50" t="s">
        <v>663</v>
      </c>
      <c r="E18" s="50" t="s">
        <v>664</v>
      </c>
      <c r="F18" s="51" t="s">
        <v>665</v>
      </c>
      <c r="G18" s="50" t="s">
        <v>617</v>
      </c>
      <c r="H18" s="53">
        <v>1200</v>
      </c>
      <c r="I18" s="53">
        <v>440</v>
      </c>
      <c r="J18" s="53">
        <f t="shared" si="0"/>
        <v>1640</v>
      </c>
    </row>
    <row r="19" spans="2:10" x14ac:dyDescent="0.3">
      <c r="B19" s="50" t="s">
        <v>666</v>
      </c>
      <c r="C19" s="50" t="s">
        <v>667</v>
      </c>
      <c r="D19" s="50" t="s">
        <v>668</v>
      </c>
      <c r="E19" s="50" t="s">
        <v>669</v>
      </c>
      <c r="F19" s="51" t="s">
        <v>670</v>
      </c>
      <c r="G19" s="50" t="s">
        <v>617</v>
      </c>
      <c r="H19" s="53">
        <v>1200</v>
      </c>
      <c r="I19" s="53">
        <v>480</v>
      </c>
      <c r="J19" s="53">
        <f t="shared" si="0"/>
        <v>1680</v>
      </c>
    </row>
    <row r="20" spans="2:10" x14ac:dyDescent="0.3">
      <c r="B20" s="50" t="s">
        <v>671</v>
      </c>
      <c r="C20" s="50" t="s">
        <v>672</v>
      </c>
      <c r="D20" s="50" t="s">
        <v>673</v>
      </c>
      <c r="E20" s="50" t="s">
        <v>674</v>
      </c>
      <c r="F20" s="51">
        <v>64752</v>
      </c>
      <c r="G20" s="50" t="s">
        <v>658</v>
      </c>
      <c r="H20" s="52">
        <f>240+225</f>
        <v>465</v>
      </c>
      <c r="I20" s="52">
        <f>60+60</f>
        <v>120</v>
      </c>
      <c r="J20" s="53">
        <f t="shared" si="0"/>
        <v>585</v>
      </c>
    </row>
    <row r="21" spans="2:10" x14ac:dyDescent="0.3">
      <c r="B21" s="50" t="s">
        <v>675</v>
      </c>
      <c r="C21" s="50" t="s">
        <v>676</v>
      </c>
      <c r="D21" s="50" t="s">
        <v>677</v>
      </c>
      <c r="H21" s="52">
        <f>80+80+80+80+80</f>
        <v>400</v>
      </c>
      <c r="I21" s="52"/>
      <c r="J21" s="53">
        <f t="shared" si="0"/>
        <v>400</v>
      </c>
    </row>
    <row r="22" spans="2:10" x14ac:dyDescent="0.3">
      <c r="B22" s="50" t="s">
        <v>678</v>
      </c>
      <c r="C22" s="50" t="s">
        <v>679</v>
      </c>
      <c r="D22" s="50" t="s">
        <v>680</v>
      </c>
      <c r="H22" s="52">
        <v>255</v>
      </c>
      <c r="I22" s="52">
        <v>305</v>
      </c>
      <c r="J22" s="53">
        <f t="shared" si="0"/>
        <v>560</v>
      </c>
    </row>
    <row r="23" spans="2:10" x14ac:dyDescent="0.3">
      <c r="B23" s="50" t="s">
        <v>681</v>
      </c>
      <c r="C23" s="50" t="s">
        <v>682</v>
      </c>
      <c r="D23" s="50" t="s">
        <v>683</v>
      </c>
      <c r="E23" s="50" t="s">
        <v>684</v>
      </c>
      <c r="F23" s="51" t="s">
        <v>685</v>
      </c>
      <c r="G23" s="50" t="s">
        <v>612</v>
      </c>
      <c r="H23" s="53">
        <v>600</v>
      </c>
      <c r="I23" s="53">
        <v>120</v>
      </c>
      <c r="J23" s="53">
        <f t="shared" si="0"/>
        <v>720</v>
      </c>
    </row>
    <row r="24" spans="2:10" x14ac:dyDescent="0.3">
      <c r="B24" s="50" t="s">
        <v>681</v>
      </c>
      <c r="C24" s="50" t="s">
        <v>686</v>
      </c>
      <c r="D24" s="50" t="s">
        <v>687</v>
      </c>
      <c r="E24" s="50" t="s">
        <v>688</v>
      </c>
      <c r="F24" s="51" t="s">
        <v>689</v>
      </c>
      <c r="G24" s="50" t="s">
        <v>612</v>
      </c>
      <c r="H24" s="53">
        <v>490</v>
      </c>
      <c r="I24" s="53">
        <v>10</v>
      </c>
      <c r="J24" s="53">
        <f t="shared" si="0"/>
        <v>500</v>
      </c>
    </row>
    <row r="25" spans="2:10" x14ac:dyDescent="0.3">
      <c r="B25" s="50" t="s">
        <v>681</v>
      </c>
      <c r="C25" s="50" t="s">
        <v>690</v>
      </c>
      <c r="D25" s="50" t="s">
        <v>691</v>
      </c>
      <c r="E25" s="50" t="s">
        <v>692</v>
      </c>
      <c r="F25" s="51">
        <v>64542</v>
      </c>
      <c r="G25" s="50" t="s">
        <v>612</v>
      </c>
      <c r="H25" s="52">
        <f>225+255</f>
        <v>480</v>
      </c>
      <c r="I25" s="52">
        <f>156+138</f>
        <v>294</v>
      </c>
      <c r="J25" s="53">
        <f t="shared" si="0"/>
        <v>774</v>
      </c>
    </row>
    <row r="26" spans="2:10" x14ac:dyDescent="0.3">
      <c r="B26" s="50" t="s">
        <v>693</v>
      </c>
      <c r="C26" s="50" t="s">
        <v>694</v>
      </c>
      <c r="D26" s="50" t="s">
        <v>695</v>
      </c>
      <c r="H26" s="52">
        <f>80+80+80</f>
        <v>240</v>
      </c>
      <c r="I26" s="52"/>
      <c r="J26" s="53">
        <f t="shared" si="0"/>
        <v>240</v>
      </c>
    </row>
    <row r="27" spans="2:10" x14ac:dyDescent="0.3">
      <c r="B27" s="50" t="s">
        <v>696</v>
      </c>
      <c r="C27" s="50" t="s">
        <v>697</v>
      </c>
      <c r="D27" s="50" t="s">
        <v>698</v>
      </c>
      <c r="H27" s="52">
        <f>160+80+80</f>
        <v>320</v>
      </c>
      <c r="I27" s="52"/>
      <c r="J27" s="53">
        <f t="shared" si="0"/>
        <v>320</v>
      </c>
    </row>
    <row r="28" spans="2:10" x14ac:dyDescent="0.3">
      <c r="B28" s="50" t="s">
        <v>699</v>
      </c>
      <c r="C28" s="50" t="s">
        <v>700</v>
      </c>
      <c r="D28" s="50" t="s">
        <v>701</v>
      </c>
      <c r="H28" s="52">
        <v>255</v>
      </c>
      <c r="I28" s="52"/>
      <c r="J28" s="53">
        <f t="shared" si="0"/>
        <v>255</v>
      </c>
    </row>
    <row r="29" spans="2:10" x14ac:dyDescent="0.3">
      <c r="B29" s="50" t="s">
        <v>702</v>
      </c>
      <c r="C29" s="50" t="s">
        <v>633</v>
      </c>
      <c r="D29" s="50" t="s">
        <v>703</v>
      </c>
      <c r="E29" s="50" t="s">
        <v>704</v>
      </c>
      <c r="F29" s="51" t="s">
        <v>705</v>
      </c>
      <c r="G29" s="50" t="s">
        <v>617</v>
      </c>
      <c r="H29" s="53">
        <v>1200</v>
      </c>
      <c r="I29" s="53">
        <v>480</v>
      </c>
      <c r="J29" s="53">
        <f t="shared" si="0"/>
        <v>1680</v>
      </c>
    </row>
    <row r="30" spans="2:10" x14ac:dyDescent="0.3">
      <c r="B30" s="50" t="s">
        <v>706</v>
      </c>
      <c r="C30" s="50" t="s">
        <v>682</v>
      </c>
      <c r="D30" s="50" t="s">
        <v>707</v>
      </c>
      <c r="E30" s="50" t="s">
        <v>708</v>
      </c>
      <c r="F30" s="51" t="s">
        <v>709</v>
      </c>
      <c r="G30" s="50" t="s">
        <v>617</v>
      </c>
      <c r="H30" s="53">
        <v>600</v>
      </c>
      <c r="I30" s="53">
        <v>258</v>
      </c>
      <c r="J30" s="53">
        <f t="shared" si="0"/>
        <v>858</v>
      </c>
    </row>
    <row r="31" spans="2:10" x14ac:dyDescent="0.3">
      <c r="B31" s="50" t="s">
        <v>710</v>
      </c>
      <c r="C31" s="50" t="s">
        <v>711</v>
      </c>
      <c r="D31" s="50" t="s">
        <v>712</v>
      </c>
      <c r="E31" s="50" t="s">
        <v>713</v>
      </c>
      <c r="F31" s="51" t="s">
        <v>714</v>
      </c>
      <c r="G31" s="50" t="s">
        <v>617</v>
      </c>
      <c r="H31" s="53">
        <v>1200</v>
      </c>
      <c r="I31" s="53">
        <v>500</v>
      </c>
      <c r="J31" s="53">
        <f t="shared" si="0"/>
        <v>1700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EC13B-BE7D-496A-BAF0-CE5B1589B06E}">
  <sheetPr>
    <tabColor theme="5" tint="-0.249977111117893"/>
    <pageSetUpPr fitToPage="1"/>
  </sheetPr>
  <dimension ref="A1:W57"/>
  <sheetViews>
    <sheetView zoomScale="110" zoomScaleNormal="110" workbookViewId="0">
      <pane xSplit="1" ySplit="3" topLeftCell="O7" activePane="bottomRight" state="frozen"/>
      <selection pane="topRight" activeCell="B1" sqref="B1"/>
      <selection pane="bottomLeft" activeCell="A4" sqref="A4"/>
      <selection pane="bottomRight" activeCell="U14" sqref="U14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2" width="16.44140625" style="1" hidden="1" customWidth="1"/>
    <col min="13" max="13" width="18" style="1" hidden="1" customWidth="1"/>
    <col min="14" max="14" width="16.44140625" style="1" hidden="1" customWidth="1"/>
    <col min="15" max="18" width="16.44140625" style="1" customWidth="1"/>
    <col min="19" max="20" width="18.5546875" style="1" customWidth="1"/>
    <col min="21" max="21" width="27" style="217" customWidth="1"/>
    <col min="22" max="22" width="15.88671875" style="155" customWidth="1"/>
    <col min="23" max="16384" width="9.109375" style="1"/>
  </cols>
  <sheetData>
    <row r="1" spans="1:22" ht="31.8" thickBot="1" x14ac:dyDescent="0.65">
      <c r="A1" s="211" t="s">
        <v>486</v>
      </c>
      <c r="C1" s="224"/>
      <c r="D1" s="224"/>
      <c r="I1" s="4"/>
      <c r="J1" s="4"/>
      <c r="K1" s="289"/>
      <c r="L1" s="289"/>
      <c r="M1" s="289"/>
      <c r="O1" s="290" t="s">
        <v>2786</v>
      </c>
      <c r="P1" s="290"/>
    </row>
    <row r="2" spans="1:22" ht="16.2" thickBot="1" x14ac:dyDescent="0.35"/>
    <row r="3" spans="1:22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37">
        <v>2023</v>
      </c>
      <c r="R3" s="227">
        <v>2024</v>
      </c>
      <c r="S3" s="253" t="s">
        <v>809</v>
      </c>
      <c r="T3" s="240" t="s">
        <v>2701</v>
      </c>
      <c r="U3" s="270"/>
      <c r="V3" s="156"/>
    </row>
    <row r="4" spans="1:22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42"/>
      <c r="R4" s="110">
        <v>45657</v>
      </c>
      <c r="S4" s="110">
        <v>45657</v>
      </c>
      <c r="T4" s="209"/>
      <c r="U4" s="270"/>
      <c r="V4" s="156"/>
    </row>
    <row r="5" spans="1:22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56"/>
      <c r="R5" s="237"/>
      <c r="S5" s="111"/>
      <c r="T5" s="8"/>
    </row>
    <row r="6" spans="1:22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10">
        <v>225734</v>
      </c>
      <c r="Q6" s="10">
        <v>252983</v>
      </c>
      <c r="R6" s="9">
        <v>209138</v>
      </c>
      <c r="S6" s="249">
        <v>209138</v>
      </c>
      <c r="T6" s="190">
        <v>255000</v>
      </c>
      <c r="U6" s="217" t="s">
        <v>2763</v>
      </c>
    </row>
    <row r="7" spans="1:22" ht="31.8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10">
        <v>187000</v>
      </c>
      <c r="Q7" s="10">
        <v>181250</v>
      </c>
      <c r="R7" s="9">
        <v>211575</v>
      </c>
      <c r="S7" s="249">
        <v>211575</v>
      </c>
      <c r="T7" s="190">
        <v>185000</v>
      </c>
      <c r="U7" s="236" t="s">
        <v>2791</v>
      </c>
    </row>
    <row r="8" spans="1:22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10">
        <v>83434</v>
      </c>
      <c r="Q8" s="10">
        <v>177917</v>
      </c>
      <c r="R8" s="9">
        <v>112047</v>
      </c>
      <c r="S8" s="249">
        <v>112047</v>
      </c>
      <c r="T8" s="190">
        <v>130000</v>
      </c>
      <c r="U8" s="236"/>
    </row>
    <row r="9" spans="1:22" ht="21.6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10">
        <v>33422</v>
      </c>
      <c r="Q9" s="10">
        <v>14330</v>
      </c>
      <c r="R9" s="9">
        <v>27500</v>
      </c>
      <c r="S9" s="249">
        <v>27500</v>
      </c>
      <c r="T9" s="190">
        <v>15000</v>
      </c>
      <c r="U9" s="236" t="s">
        <v>2789</v>
      </c>
    </row>
    <row r="10" spans="1:22" ht="31.8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10">
        <v>109900</v>
      </c>
      <c r="Q10" s="10">
        <v>137850</v>
      </c>
      <c r="R10" s="9">
        <v>125900</v>
      </c>
      <c r="S10" s="249">
        <v>125900</v>
      </c>
      <c r="T10" s="190">
        <v>125000</v>
      </c>
      <c r="U10" s="236" t="s">
        <v>2769</v>
      </c>
    </row>
    <row r="11" spans="1:22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10">
        <v>145695</v>
      </c>
      <c r="Q11" s="10">
        <v>163300</v>
      </c>
      <c r="R11" s="9">
        <v>203280</v>
      </c>
      <c r="S11" s="249">
        <v>203280</v>
      </c>
      <c r="T11" s="190">
        <v>175500</v>
      </c>
    </row>
    <row r="12" spans="1:22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10"/>
      <c r="Q12" s="10"/>
      <c r="R12" s="9"/>
      <c r="S12" s="249">
        <v>0</v>
      </c>
      <c r="T12" s="190">
        <v>0</v>
      </c>
    </row>
    <row r="13" spans="1:22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10"/>
      <c r="Q13" s="10"/>
      <c r="R13" s="9">
        <v>6206</v>
      </c>
      <c r="S13" s="249">
        <v>6206</v>
      </c>
      <c r="T13" s="190">
        <v>0</v>
      </c>
    </row>
    <row r="14" spans="1:22" ht="21.6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10">
        <v>46439</v>
      </c>
      <c r="Q14" s="10">
        <v>11035</v>
      </c>
      <c r="R14" s="9">
        <v>17071</v>
      </c>
      <c r="S14" s="249">
        <v>17071</v>
      </c>
      <c r="T14" s="190">
        <v>30000.01</v>
      </c>
      <c r="U14" s="236" t="s">
        <v>2771</v>
      </c>
    </row>
    <row r="15" spans="1:22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 t="shared" ref="L15:T15" si="2">SUM(L6:L14)</f>
        <v>602111</v>
      </c>
      <c r="M15" s="12">
        <f t="shared" si="2"/>
        <v>627974</v>
      </c>
      <c r="N15" s="12">
        <f t="shared" si="2"/>
        <v>667900</v>
      </c>
      <c r="O15" s="12">
        <f t="shared" si="2"/>
        <v>701882</v>
      </c>
      <c r="P15" s="12">
        <f t="shared" si="2"/>
        <v>831624</v>
      </c>
      <c r="Q15" s="12">
        <f t="shared" si="2"/>
        <v>938665</v>
      </c>
      <c r="R15" s="11">
        <f t="shared" si="2"/>
        <v>912717</v>
      </c>
      <c r="S15" s="250">
        <f t="shared" si="2"/>
        <v>912717</v>
      </c>
      <c r="T15" s="191">
        <f t="shared" si="2"/>
        <v>915500.01</v>
      </c>
    </row>
    <row r="16" spans="1:22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R16" s="111"/>
      <c r="S16" s="249"/>
      <c r="T16" s="190"/>
    </row>
    <row r="17" spans="1:23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R17" s="112"/>
      <c r="S17" s="249"/>
      <c r="T17" s="190"/>
      <c r="U17" s="271"/>
      <c r="V17" s="159"/>
    </row>
    <row r="18" spans="1:23" ht="46.2" customHeight="1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10">
        <v>-181432</v>
      </c>
      <c r="Q18" s="10">
        <v>-220492</v>
      </c>
      <c r="R18" s="9">
        <v>-95687</v>
      </c>
      <c r="S18" s="249">
        <v>-95687</v>
      </c>
      <c r="T18" s="190">
        <v>-190000</v>
      </c>
      <c r="U18" s="236" t="s">
        <v>2793</v>
      </c>
      <c r="V18" s="276" t="s">
        <v>2792</v>
      </c>
    </row>
    <row r="19" spans="1:23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10">
        <v>-133504</v>
      </c>
      <c r="Q19" s="10">
        <v>-140769</v>
      </c>
      <c r="R19" s="9">
        <v>-121835</v>
      </c>
      <c r="S19" s="249">
        <v>-121835</v>
      </c>
      <c r="T19" s="190">
        <v>-135000</v>
      </c>
      <c r="V19" s="197"/>
      <c r="W19" s="55"/>
    </row>
    <row r="20" spans="1:23" ht="21.6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10">
        <v>-519</v>
      </c>
      <c r="Q20" s="10">
        <v>-58306</v>
      </c>
      <c r="R20" s="9">
        <v>-29423</v>
      </c>
      <c r="S20" s="249">
        <v>-29423</v>
      </c>
      <c r="T20" s="190">
        <v>-20000</v>
      </c>
      <c r="U20" s="217" t="s">
        <v>2794</v>
      </c>
      <c r="V20" s="197"/>
    </row>
    <row r="21" spans="1:23" ht="21.6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10">
        <v>-29952</v>
      </c>
      <c r="Q21" s="10">
        <v>-42358</v>
      </c>
      <c r="R21" s="9">
        <v>-52555</v>
      </c>
      <c r="S21" s="249">
        <v>-52555</v>
      </c>
      <c r="T21" s="190">
        <v>-30000</v>
      </c>
      <c r="U21" s="217" t="s">
        <v>2795</v>
      </c>
      <c r="V21" s="197"/>
    </row>
    <row r="22" spans="1:23" ht="33.6" customHeight="1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10">
        <v>-92029</v>
      </c>
      <c r="Q22" s="10">
        <v>-99926</v>
      </c>
      <c r="R22" s="9">
        <v>-108845</v>
      </c>
      <c r="S22" s="249">
        <v>-108845</v>
      </c>
      <c r="T22" s="190">
        <v>-95000</v>
      </c>
      <c r="U22" s="217" t="s">
        <v>2776</v>
      </c>
      <c r="V22" s="197"/>
    </row>
    <row r="23" spans="1:23" ht="28.2" customHeight="1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10">
        <v>-79144</v>
      </c>
      <c r="Q23" s="10">
        <v>-104788</v>
      </c>
      <c r="R23" s="9">
        <v>-88174</v>
      </c>
      <c r="S23" s="249">
        <v>-88174</v>
      </c>
      <c r="T23" s="190">
        <v>-105000</v>
      </c>
      <c r="U23" s="236" t="s">
        <v>2775</v>
      </c>
      <c r="V23" s="197"/>
    </row>
    <row r="24" spans="1:23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10">
        <v>-1231</v>
      </c>
      <c r="Q24" s="10">
        <v>-13700</v>
      </c>
      <c r="R24" s="9">
        <v>-14628</v>
      </c>
      <c r="S24" s="249">
        <v>-14628</v>
      </c>
      <c r="T24" s="190">
        <v>-10000</v>
      </c>
      <c r="V24" s="197"/>
    </row>
    <row r="25" spans="1:23" ht="26.4" customHeight="1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10">
        <v>-22800</v>
      </c>
      <c r="Q25" s="10">
        <v>-34900</v>
      </c>
      <c r="R25" s="9">
        <v>-31665</v>
      </c>
      <c r="S25" s="249">
        <v>-31665</v>
      </c>
      <c r="T25" s="190">
        <v>-35000</v>
      </c>
      <c r="U25" s="217" t="s">
        <v>2774</v>
      </c>
      <c r="V25" s="197"/>
    </row>
    <row r="26" spans="1:23" ht="22.8" customHeight="1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10">
        <v>-30440</v>
      </c>
      <c r="Q26" s="10">
        <v>-32200</v>
      </c>
      <c r="R26" s="9">
        <v>-24300</v>
      </c>
      <c r="S26" s="249">
        <v>-24300</v>
      </c>
      <c r="T26" s="190">
        <v>-30000</v>
      </c>
      <c r="U26" s="217" t="s">
        <v>2787</v>
      </c>
      <c r="V26" s="197"/>
    </row>
    <row r="27" spans="1:23" ht="21.6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10">
        <v>-5340</v>
      </c>
      <c r="Q27" s="10">
        <v>-4080</v>
      </c>
      <c r="R27" s="9">
        <v>-23540</v>
      </c>
      <c r="S27" s="249">
        <v>-23540</v>
      </c>
      <c r="T27" s="190">
        <v>-5000</v>
      </c>
      <c r="U27" s="217" t="s">
        <v>2788</v>
      </c>
      <c r="V27" s="197"/>
    </row>
    <row r="28" spans="1:23" ht="34.799999999999997" customHeight="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10">
        <f>-55750</f>
        <v>-55750</v>
      </c>
      <c r="Q28" s="10">
        <v>-66350</v>
      </c>
      <c r="R28" s="9">
        <v>-80025</v>
      </c>
      <c r="S28" s="249">
        <v>-80025</v>
      </c>
      <c r="T28" s="190">
        <v>-75000</v>
      </c>
      <c r="U28" s="217" t="s">
        <v>2773</v>
      </c>
      <c r="V28" s="197"/>
    </row>
    <row r="29" spans="1:23" ht="27" customHeight="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10">
        <f>-19000-4000</f>
        <v>-23000</v>
      </c>
      <c r="Q29" s="10">
        <v>-19850</v>
      </c>
      <c r="R29" s="9">
        <v>-27630</v>
      </c>
      <c r="S29" s="249">
        <v>-27630</v>
      </c>
      <c r="T29" s="190">
        <v>-20000</v>
      </c>
      <c r="U29" s="217" t="s">
        <v>2796</v>
      </c>
    </row>
    <row r="30" spans="1:23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10">
        <v>-500</v>
      </c>
      <c r="Q30" s="10">
        <v>-500</v>
      </c>
      <c r="R30" s="9">
        <v>-500</v>
      </c>
      <c r="S30" s="249">
        <v>-500</v>
      </c>
      <c r="T30" s="190">
        <v>-500</v>
      </c>
    </row>
    <row r="31" spans="1:23" ht="21.6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10">
        <v>-166907</v>
      </c>
      <c r="Q31" s="10">
        <v>-161843</v>
      </c>
      <c r="R31" s="9">
        <v>-202575</v>
      </c>
      <c r="S31" s="249">
        <v>-202575</v>
      </c>
      <c r="T31" s="190">
        <v>-160000</v>
      </c>
      <c r="U31" s="217" t="s">
        <v>2759</v>
      </c>
      <c r="V31" s="197"/>
    </row>
    <row r="32" spans="1:23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10"/>
      <c r="Q32" s="10"/>
      <c r="R32" s="9"/>
      <c r="S32" s="249">
        <v>0</v>
      </c>
      <c r="T32" s="190">
        <v>0</v>
      </c>
      <c r="V32" s="197"/>
    </row>
    <row r="33" spans="1:23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10">
        <v>-5059</v>
      </c>
      <c r="Q33" s="10">
        <f>-750-1134-300-1094-78-365-350-711-1000-295-148</f>
        <v>-6225</v>
      </c>
      <c r="R33" s="9">
        <f>-750-65-1368-1000-308-1600-90-74-1368-187-130-75-500-800-100-132-500</f>
        <v>-9047</v>
      </c>
      <c r="S33" s="249">
        <v>-9047</v>
      </c>
      <c r="T33" s="190">
        <v>-5000</v>
      </c>
      <c r="U33" s="217" t="s">
        <v>2772</v>
      </c>
      <c r="V33" s="197"/>
    </row>
    <row r="34" spans="1:23" x14ac:dyDescent="0.3">
      <c r="A34" s="7" t="s">
        <v>2555</v>
      </c>
      <c r="B34" s="39">
        <f t="shared" ref="B34:R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2">
        <f t="shared" si="3"/>
        <v>-827607</v>
      </c>
      <c r="Q34" s="12">
        <f t="shared" ref="Q34" si="5">SUM(Q18:Q33)</f>
        <v>-1006287</v>
      </c>
      <c r="R34" s="11">
        <f t="shared" si="3"/>
        <v>-910429</v>
      </c>
      <c r="S34" s="250">
        <f>SUM(S18:S33)</f>
        <v>-910429</v>
      </c>
      <c r="T34" s="191">
        <f>SUM(T18:T33)</f>
        <v>-915500</v>
      </c>
      <c r="U34" s="272"/>
      <c r="V34" s="206"/>
    </row>
    <row r="35" spans="1:23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46"/>
      <c r="Q35" s="46"/>
      <c r="R35" s="113"/>
      <c r="S35" s="250"/>
      <c r="T35" s="191"/>
      <c r="V35" s="207"/>
    </row>
    <row r="36" spans="1:23" s="13" customFormat="1" ht="38.25" hidden="1" customHeight="1" x14ac:dyDescent="0.3">
      <c r="A36" s="7" t="s">
        <v>48</v>
      </c>
      <c r="B36" s="39">
        <f t="shared" ref="B36:R36" si="6">+B34+B15</f>
        <v>-24674</v>
      </c>
      <c r="C36" s="39">
        <f t="shared" si="6"/>
        <v>86791</v>
      </c>
      <c r="D36" s="39">
        <f t="shared" si="6"/>
        <v>32713</v>
      </c>
      <c r="E36" s="39">
        <f t="shared" si="6"/>
        <v>-5009.1400000000431</v>
      </c>
      <c r="F36" s="39">
        <f t="shared" si="6"/>
        <v>-25959.489999999991</v>
      </c>
      <c r="G36" s="39">
        <f t="shared" si="6"/>
        <v>-167525</v>
      </c>
      <c r="H36" s="39">
        <f t="shared" si="6"/>
        <v>13685</v>
      </c>
      <c r="I36" s="12">
        <f t="shared" si="6"/>
        <v>10177</v>
      </c>
      <c r="J36" s="12">
        <f t="shared" si="6"/>
        <v>36557</v>
      </c>
      <c r="K36" s="12">
        <f t="shared" si="6"/>
        <v>-84874</v>
      </c>
      <c r="L36" s="12">
        <f t="shared" si="6"/>
        <v>8025</v>
      </c>
      <c r="M36" s="12">
        <f t="shared" si="6"/>
        <v>-10322</v>
      </c>
      <c r="N36" s="12">
        <f t="shared" si="6"/>
        <v>122284</v>
      </c>
      <c r="O36" s="12">
        <f t="shared" si="6"/>
        <v>104927</v>
      </c>
      <c r="P36" s="12">
        <f t="shared" si="6"/>
        <v>4017</v>
      </c>
      <c r="Q36" s="12">
        <f t="shared" si="6"/>
        <v>-67622</v>
      </c>
      <c r="R36" s="11">
        <f t="shared" si="6"/>
        <v>2288</v>
      </c>
      <c r="S36" s="250">
        <f>S15+S34</f>
        <v>2288</v>
      </c>
      <c r="T36" s="191">
        <f>T15+T34</f>
        <v>1.0000000009313226E-2</v>
      </c>
      <c r="U36" s="217"/>
      <c r="V36" s="207"/>
    </row>
    <row r="37" spans="1:23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2"/>
      <c r="Q37" s="12"/>
      <c r="R37" s="11"/>
      <c r="S37" s="250"/>
      <c r="T37" s="191"/>
      <c r="U37" s="217"/>
      <c r="V37" s="207"/>
    </row>
    <row r="38" spans="1:23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1">
        <v>0</v>
      </c>
      <c r="S38" s="250">
        <v>0</v>
      </c>
      <c r="T38" s="191">
        <v>0</v>
      </c>
      <c r="U38" s="217"/>
      <c r="V38" s="206"/>
    </row>
    <row r="39" spans="1:23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2"/>
      <c r="R39" s="14"/>
      <c r="S39" s="251"/>
      <c r="T39" s="210"/>
      <c r="U39" s="272"/>
      <c r="V39" s="206"/>
    </row>
    <row r="40" spans="1:23" s="13" customFormat="1" ht="16.2" thickBot="1" x14ac:dyDescent="0.35">
      <c r="A40" s="7" t="s">
        <v>2557</v>
      </c>
      <c r="B40" s="39">
        <f t="shared" ref="B40:S40" si="7">+B38+B36</f>
        <v>-34674</v>
      </c>
      <c r="C40" s="39">
        <f t="shared" si="7"/>
        <v>76791</v>
      </c>
      <c r="D40" s="39">
        <f t="shared" si="7"/>
        <v>22713</v>
      </c>
      <c r="E40" s="39">
        <f t="shared" si="7"/>
        <v>-15009.140000000043</v>
      </c>
      <c r="F40" s="39">
        <f t="shared" si="7"/>
        <v>-35959.489999999991</v>
      </c>
      <c r="G40" s="39">
        <f t="shared" si="7"/>
        <v>-181974</v>
      </c>
      <c r="H40" s="39">
        <f t="shared" si="7"/>
        <v>13685</v>
      </c>
      <c r="I40" s="12">
        <f t="shared" si="7"/>
        <v>10177</v>
      </c>
      <c r="J40" s="12">
        <f>+J38+J36</f>
        <v>36557</v>
      </c>
      <c r="K40" s="12">
        <f t="shared" si="7"/>
        <v>-84874</v>
      </c>
      <c r="L40" s="12">
        <f t="shared" si="7"/>
        <v>8025</v>
      </c>
      <c r="M40" s="12">
        <f t="shared" si="7"/>
        <v>-10322</v>
      </c>
      <c r="N40" s="12">
        <f t="shared" si="7"/>
        <v>122284</v>
      </c>
      <c r="O40" s="12">
        <f t="shared" si="7"/>
        <v>104927</v>
      </c>
      <c r="P40" s="12">
        <f t="shared" si="7"/>
        <v>4017</v>
      </c>
      <c r="Q40" s="12">
        <f t="shared" si="7"/>
        <v>-67622</v>
      </c>
      <c r="R40" s="154">
        <f t="shared" si="7"/>
        <v>2288</v>
      </c>
      <c r="S40" s="252">
        <f t="shared" si="7"/>
        <v>2288</v>
      </c>
      <c r="T40" s="192">
        <f>+T38+T36</f>
        <v>1.0000000009313226E-2</v>
      </c>
      <c r="U40" s="217"/>
      <c r="V40" s="208"/>
    </row>
    <row r="41" spans="1:23" s="13" customFormat="1" x14ac:dyDescent="0.3">
      <c r="A41" s="4"/>
      <c r="B41" s="4"/>
      <c r="C41" s="4"/>
      <c r="D41" s="4"/>
      <c r="E41" s="4"/>
      <c r="F41" s="4"/>
      <c r="G41" s="4"/>
      <c r="H41" s="4"/>
      <c r="S41" s="58"/>
      <c r="T41" s="58"/>
      <c r="U41" s="217"/>
      <c r="V41" s="155"/>
    </row>
    <row r="42" spans="1:23" s="13" customFormat="1" x14ac:dyDescent="0.3">
      <c r="A42" s="4"/>
      <c r="B42" s="4"/>
      <c r="C42" s="4"/>
      <c r="D42" s="4"/>
      <c r="E42" s="4"/>
      <c r="F42" s="4"/>
      <c r="G42" s="4"/>
      <c r="H42" s="4"/>
      <c r="Q42" s="222" t="s">
        <v>2784</v>
      </c>
      <c r="R42" s="207">
        <v>-12500</v>
      </c>
      <c r="S42" s="278" t="s">
        <v>2785</v>
      </c>
      <c r="T42" s="222" t="s">
        <v>2797</v>
      </c>
      <c r="U42" s="207">
        <v>2000</v>
      </c>
      <c r="V42" s="157" t="s">
        <v>2658</v>
      </c>
    </row>
    <row r="43" spans="1:23" x14ac:dyDescent="0.3">
      <c r="O43" s="13"/>
      <c r="Q43" s="222" t="s">
        <v>2808</v>
      </c>
      <c r="R43" s="207">
        <v>-2500</v>
      </c>
      <c r="S43" s="278" t="s">
        <v>2785</v>
      </c>
      <c r="T43" s="222" t="s">
        <v>2798</v>
      </c>
      <c r="U43" s="207">
        <v>18000</v>
      </c>
    </row>
    <row r="44" spans="1:23" x14ac:dyDescent="0.3">
      <c r="Q44" s="222" t="s">
        <v>602</v>
      </c>
      <c r="R44" s="207">
        <v>22000</v>
      </c>
      <c r="S44" s="278" t="s">
        <v>2781</v>
      </c>
      <c r="T44" s="222" t="s">
        <v>2800</v>
      </c>
      <c r="U44" s="207">
        <v>-31000</v>
      </c>
    </row>
    <row r="45" spans="1:23" x14ac:dyDescent="0.3">
      <c r="Q45" s="222" t="s">
        <v>2782</v>
      </c>
      <c r="R45" s="207">
        <v>7000</v>
      </c>
      <c r="S45" s="278" t="s">
        <v>2781</v>
      </c>
      <c r="T45" s="222" t="s">
        <v>2799</v>
      </c>
      <c r="U45" s="207">
        <v>-24000</v>
      </c>
    </row>
    <row r="46" spans="1:23" ht="16.2" thickBot="1" x14ac:dyDescent="0.35">
      <c r="Q46" s="99"/>
      <c r="R46" s="279">
        <f>SUM(R42:R45)</f>
        <v>14000</v>
      </c>
      <c r="T46" s="222"/>
      <c r="U46" s="279">
        <f>SUM(U42:U45)</f>
        <v>-35000</v>
      </c>
    </row>
    <row r="47" spans="1:23" ht="16.2" thickTop="1" x14ac:dyDescent="0.3">
      <c r="Q47" s="269"/>
      <c r="R47" s="269"/>
      <c r="S47" s="222"/>
    </row>
    <row r="48" spans="1:23" s="4" customFormat="1" x14ac:dyDescent="0.3">
      <c r="P48" s="1"/>
      <c r="S48" s="99"/>
      <c r="T48" s="222" t="s">
        <v>2801</v>
      </c>
      <c r="U48" s="207">
        <f>42*2950</f>
        <v>123900</v>
      </c>
      <c r="V48" s="155"/>
      <c r="W48" s="1"/>
    </row>
    <row r="49" spans="17:23" s="4" customFormat="1" x14ac:dyDescent="0.3">
      <c r="S49" s="99"/>
      <c r="T49" s="222" t="s">
        <v>2802</v>
      </c>
      <c r="U49" s="207">
        <f>-42*(115*13.5)</f>
        <v>-65205</v>
      </c>
      <c r="V49" s="155"/>
      <c r="W49" s="1"/>
    </row>
    <row r="50" spans="17:23" s="4" customFormat="1" x14ac:dyDescent="0.3">
      <c r="S50" s="99"/>
      <c r="T50" s="222" t="s">
        <v>2803</v>
      </c>
      <c r="U50" s="207">
        <f>-3*3000</f>
        <v>-9000</v>
      </c>
      <c r="V50" s="155"/>
      <c r="W50" s="1"/>
    </row>
    <row r="51" spans="17:23" s="4" customFormat="1" x14ac:dyDescent="0.3">
      <c r="Q51" s="1"/>
      <c r="R51" s="1"/>
      <c r="S51" s="99"/>
      <c r="T51" s="222" t="s">
        <v>2804</v>
      </c>
      <c r="U51" s="207">
        <f>-3*((1200+200)*5)</f>
        <v>-21000</v>
      </c>
      <c r="V51" s="155"/>
      <c r="W51" s="1"/>
    </row>
    <row r="52" spans="17:23" x14ac:dyDescent="0.3">
      <c r="S52" s="223"/>
      <c r="T52" s="222" t="s">
        <v>2805</v>
      </c>
      <c r="U52" s="207">
        <f>-(42+6)*(5*80)</f>
        <v>-19200</v>
      </c>
    </row>
    <row r="53" spans="17:23" x14ac:dyDescent="0.3">
      <c r="S53" s="223"/>
      <c r="T53" s="222" t="s">
        <v>2810</v>
      </c>
      <c r="U53" s="207">
        <v>-15000</v>
      </c>
    </row>
    <row r="54" spans="17:23" x14ac:dyDescent="0.3">
      <c r="T54" s="222" t="s">
        <v>2807</v>
      </c>
      <c r="U54" s="207">
        <v>48000</v>
      </c>
    </row>
    <row r="55" spans="17:23" x14ac:dyDescent="0.3">
      <c r="T55" s="222" t="s">
        <v>2806</v>
      </c>
      <c r="U55" s="207">
        <f>2000-1500</f>
        <v>500</v>
      </c>
    </row>
    <row r="56" spans="17:23" ht="16.2" thickBot="1" x14ac:dyDescent="0.35">
      <c r="U56" s="279">
        <f>SUM(U48:U55)</f>
        <v>42995</v>
      </c>
    </row>
    <row r="57" spans="17:23" ht="16.2" thickTop="1" x14ac:dyDescent="0.3"/>
  </sheetData>
  <mergeCells count="2">
    <mergeCell ref="K1:M1"/>
    <mergeCell ref="O1:P1"/>
  </mergeCells>
  <pageMargins left="0.7" right="0.7" top="0.75" bottom="0.75" header="0.3" footer="0.3"/>
  <pageSetup paperSize="9" scale="5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675B7-570A-464E-87CC-6140AE123316}">
  <sheetPr>
    <tabColor theme="5" tint="-0.249977111117893"/>
    <pageSetUpPr fitToPage="1"/>
  </sheetPr>
  <dimension ref="A1:W53"/>
  <sheetViews>
    <sheetView zoomScale="110" zoomScaleNormal="110" workbookViewId="0">
      <pane xSplit="1" ySplit="3" topLeftCell="N22" activePane="bottomRight" state="frozen"/>
      <selection pane="topRight" activeCell="B1" sqref="B1"/>
      <selection pane="bottomLeft" activeCell="A4" sqref="A4"/>
      <selection pane="bottomRight" activeCell="R4" sqref="R4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2" width="16.44140625" style="1" hidden="1" customWidth="1"/>
    <col min="13" max="13" width="18" style="1" hidden="1" customWidth="1"/>
    <col min="14" max="14" width="16.44140625" style="1" hidden="1" customWidth="1"/>
    <col min="15" max="18" width="16.44140625" style="1" customWidth="1"/>
    <col min="19" max="20" width="18.5546875" style="1" customWidth="1"/>
    <col min="21" max="21" width="27" style="217" customWidth="1"/>
    <col min="22" max="22" width="15.88671875" style="155" customWidth="1"/>
    <col min="23" max="16384" width="9.109375" style="1"/>
  </cols>
  <sheetData>
    <row r="1" spans="1:22" ht="31.8" thickBot="1" x14ac:dyDescent="0.65">
      <c r="A1" s="211" t="s">
        <v>486</v>
      </c>
      <c r="C1" s="224"/>
      <c r="D1" s="224"/>
      <c r="I1" s="4"/>
      <c r="J1" s="4"/>
      <c r="K1" s="289"/>
      <c r="L1" s="289"/>
      <c r="M1" s="289"/>
      <c r="O1" s="290" t="s">
        <v>2786</v>
      </c>
      <c r="P1" s="290"/>
    </row>
    <row r="2" spans="1:22" ht="16.2" thickBot="1" x14ac:dyDescent="0.35"/>
    <row r="3" spans="1:22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37">
        <v>2023</v>
      </c>
      <c r="R3" s="227">
        <v>2024</v>
      </c>
      <c r="S3" s="253" t="s">
        <v>809</v>
      </c>
      <c r="T3" s="240" t="s">
        <v>2701</v>
      </c>
      <c r="U3" s="270"/>
      <c r="V3" s="156"/>
    </row>
    <row r="4" spans="1:22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42"/>
      <c r="R4" s="110">
        <v>45630</v>
      </c>
      <c r="S4" s="110">
        <v>45657</v>
      </c>
      <c r="T4" s="209"/>
      <c r="U4" s="270"/>
      <c r="V4" s="156"/>
    </row>
    <row r="5" spans="1:22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56"/>
      <c r="R5" s="237"/>
      <c r="S5" s="111"/>
      <c r="T5" s="8"/>
    </row>
    <row r="6" spans="1:22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10">
        <v>225734</v>
      </c>
      <c r="Q6" s="10">
        <v>252983</v>
      </c>
      <c r="R6" s="9">
        <v>209138</v>
      </c>
      <c r="S6" s="249">
        <v>209138</v>
      </c>
      <c r="T6" s="190">
        <v>255000</v>
      </c>
      <c r="U6" s="217" t="s">
        <v>2763</v>
      </c>
    </row>
    <row r="7" spans="1:22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10">
        <v>187000</v>
      </c>
      <c r="Q7" s="10">
        <v>181250</v>
      </c>
      <c r="R7" s="9">
        <v>211575</v>
      </c>
      <c r="S7" s="249">
        <v>211575</v>
      </c>
      <c r="T7" s="190">
        <v>185000</v>
      </c>
      <c r="U7" s="236" t="s">
        <v>2756</v>
      </c>
    </row>
    <row r="8" spans="1:22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10">
        <v>83434</v>
      </c>
      <c r="Q8" s="10">
        <v>177917</v>
      </c>
      <c r="R8" s="9">
        <v>111691</v>
      </c>
      <c r="S8" s="249">
        <v>111691</v>
      </c>
      <c r="T8" s="190">
        <v>130000</v>
      </c>
      <c r="U8" s="236"/>
    </row>
    <row r="9" spans="1:22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10">
        <v>33422</v>
      </c>
      <c r="Q9" s="10">
        <v>14330</v>
      </c>
      <c r="R9" s="9">
        <v>15000</v>
      </c>
      <c r="S9" s="249">
        <v>25000</v>
      </c>
      <c r="T9" s="190">
        <v>15000</v>
      </c>
      <c r="U9" s="258" t="s">
        <v>2779</v>
      </c>
    </row>
    <row r="10" spans="1:22" ht="57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10">
        <v>109900</v>
      </c>
      <c r="Q10" s="10">
        <v>137850</v>
      </c>
      <c r="R10" s="9">
        <v>125900</v>
      </c>
      <c r="S10" s="249">
        <v>125900</v>
      </c>
      <c r="T10" s="190">
        <v>125000</v>
      </c>
      <c r="U10" s="236" t="s">
        <v>2769</v>
      </c>
    </row>
    <row r="11" spans="1:22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10">
        <v>145695</v>
      </c>
      <c r="Q11" s="10">
        <v>163300</v>
      </c>
      <c r="R11" s="9">
        <v>203280</v>
      </c>
      <c r="S11" s="249">
        <v>203280</v>
      </c>
      <c r="T11" s="190">
        <v>175500</v>
      </c>
    </row>
    <row r="12" spans="1:22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10"/>
      <c r="Q12" s="10"/>
      <c r="R12" s="9"/>
      <c r="S12" s="249">
        <v>0</v>
      </c>
      <c r="T12" s="190">
        <v>0</v>
      </c>
    </row>
    <row r="13" spans="1:22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10"/>
      <c r="Q13" s="10"/>
      <c r="R13" s="9"/>
      <c r="S13" s="249">
        <v>0</v>
      </c>
      <c r="T13" s="190">
        <v>0</v>
      </c>
    </row>
    <row r="14" spans="1:22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10">
        <v>46439</v>
      </c>
      <c r="Q14" s="10">
        <v>11035</v>
      </c>
      <c r="R14" s="9">
        <v>17071</v>
      </c>
      <c r="S14" s="249">
        <v>17071</v>
      </c>
      <c r="T14" s="190">
        <v>30000.01</v>
      </c>
      <c r="U14" s="236" t="s">
        <v>2771</v>
      </c>
    </row>
    <row r="15" spans="1:22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 t="shared" ref="L15:T15" si="2">SUM(L6:L14)</f>
        <v>602111</v>
      </c>
      <c r="M15" s="12">
        <f t="shared" si="2"/>
        <v>627974</v>
      </c>
      <c r="N15" s="12">
        <f t="shared" si="2"/>
        <v>667900</v>
      </c>
      <c r="O15" s="12">
        <f t="shared" si="2"/>
        <v>701882</v>
      </c>
      <c r="P15" s="12">
        <f t="shared" si="2"/>
        <v>831624</v>
      </c>
      <c r="Q15" s="12">
        <f t="shared" si="2"/>
        <v>938665</v>
      </c>
      <c r="R15" s="11">
        <f t="shared" si="2"/>
        <v>893655</v>
      </c>
      <c r="S15" s="250">
        <f t="shared" si="2"/>
        <v>903655</v>
      </c>
      <c r="T15" s="191">
        <f t="shared" si="2"/>
        <v>915500.01</v>
      </c>
    </row>
    <row r="16" spans="1:22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R16" s="111"/>
      <c r="S16" s="249"/>
      <c r="T16" s="190"/>
    </row>
    <row r="17" spans="1:23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R17" s="112"/>
      <c r="S17" s="249"/>
      <c r="T17" s="190"/>
      <c r="U17" s="271"/>
      <c r="V17" s="159"/>
    </row>
    <row r="18" spans="1:23" ht="46.2" customHeight="1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10">
        <v>-181432</v>
      </c>
      <c r="Q18" s="10">
        <v>-220492</v>
      </c>
      <c r="R18" s="9">
        <v>-91603</v>
      </c>
      <c r="S18" s="249">
        <v>-94000</v>
      </c>
      <c r="T18" s="190">
        <v>-190000</v>
      </c>
      <c r="U18" s="236" t="s">
        <v>2778</v>
      </c>
      <c r="V18" s="276" t="s">
        <v>2752</v>
      </c>
    </row>
    <row r="19" spans="1:23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10">
        <v>-133504</v>
      </c>
      <c r="Q19" s="10">
        <v>-140769</v>
      </c>
      <c r="R19" s="9">
        <v>-121835</v>
      </c>
      <c r="S19" s="249">
        <v>-121835</v>
      </c>
      <c r="T19" s="190">
        <v>-135000</v>
      </c>
      <c r="V19" s="197"/>
      <c r="W19" s="55"/>
    </row>
    <row r="20" spans="1:23" ht="21.6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10">
        <v>-519</v>
      </c>
      <c r="Q20" s="10">
        <v>-58306</v>
      </c>
      <c r="R20" s="9">
        <v>-16256</v>
      </c>
      <c r="S20" s="249">
        <v>-25000</v>
      </c>
      <c r="T20" s="190">
        <v>-20000</v>
      </c>
      <c r="U20" s="217" t="s">
        <v>2777</v>
      </c>
      <c r="V20" s="197"/>
    </row>
    <row r="21" spans="1:23" ht="21.6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10">
        <v>-29952</v>
      </c>
      <c r="Q21" s="10">
        <v>-42358</v>
      </c>
      <c r="R21" s="9">
        <v>-45155</v>
      </c>
      <c r="S21" s="249">
        <v>-45155</v>
      </c>
      <c r="T21" s="190">
        <v>-30000</v>
      </c>
      <c r="U21" s="217" t="s">
        <v>2736</v>
      </c>
      <c r="V21" s="197"/>
    </row>
    <row r="22" spans="1:23" ht="33.6" customHeight="1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10">
        <v>-92029</v>
      </c>
      <c r="Q22" s="10">
        <v>-99926</v>
      </c>
      <c r="R22" s="9">
        <v>-108845</v>
      </c>
      <c r="S22" s="249">
        <v>-108845</v>
      </c>
      <c r="T22" s="190">
        <v>-95000</v>
      </c>
      <c r="U22" s="217" t="s">
        <v>2776</v>
      </c>
      <c r="V22" s="197"/>
    </row>
    <row r="23" spans="1:23" ht="28.2" customHeight="1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10">
        <v>-79144</v>
      </c>
      <c r="Q23" s="10">
        <v>-104788</v>
      </c>
      <c r="R23" s="9">
        <v>-88174</v>
      </c>
      <c r="S23" s="249">
        <v>-90000</v>
      </c>
      <c r="T23" s="190">
        <v>-105000</v>
      </c>
      <c r="U23" s="236" t="s">
        <v>2775</v>
      </c>
      <c r="V23" s="197"/>
    </row>
    <row r="24" spans="1:23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10">
        <v>-1231</v>
      </c>
      <c r="Q24" s="10">
        <v>-13700</v>
      </c>
      <c r="R24" s="9">
        <v>-14628</v>
      </c>
      <c r="S24" s="249">
        <v>-14628</v>
      </c>
      <c r="T24" s="190">
        <v>-10000</v>
      </c>
      <c r="V24" s="197"/>
    </row>
    <row r="25" spans="1:23" ht="26.4" customHeight="1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10">
        <v>-22800</v>
      </c>
      <c r="Q25" s="10">
        <v>-34900</v>
      </c>
      <c r="R25" s="9">
        <v>-31665</v>
      </c>
      <c r="S25" s="249">
        <v>-31665</v>
      </c>
      <c r="T25" s="190">
        <v>-35000</v>
      </c>
      <c r="U25" s="217" t="s">
        <v>2774</v>
      </c>
      <c r="V25" s="197"/>
    </row>
    <row r="26" spans="1:23" ht="22.8" customHeight="1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10">
        <v>-30440</v>
      </c>
      <c r="Q26" s="10">
        <v>-32200</v>
      </c>
      <c r="R26" s="9">
        <v>-23300</v>
      </c>
      <c r="S26" s="249">
        <v>-26000</v>
      </c>
      <c r="T26" s="190">
        <v>-30000</v>
      </c>
      <c r="U26" s="217" t="s">
        <v>2764</v>
      </c>
      <c r="V26" s="197"/>
    </row>
    <row r="27" spans="1:23" ht="21.6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10">
        <v>-5340</v>
      </c>
      <c r="Q27" s="10">
        <v>-4080</v>
      </c>
      <c r="R27" s="9">
        <v>-22040</v>
      </c>
      <c r="S27" s="249">
        <v>-22040</v>
      </c>
      <c r="T27" s="190">
        <v>-5000</v>
      </c>
      <c r="U27" s="217" t="s">
        <v>2780</v>
      </c>
      <c r="V27" s="197"/>
    </row>
    <row r="28" spans="1:23" ht="34.799999999999997" customHeight="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10">
        <f>-55750</f>
        <v>-55750</v>
      </c>
      <c r="Q28" s="10">
        <v>-66350</v>
      </c>
      <c r="R28" s="9">
        <v>-80025</v>
      </c>
      <c r="S28" s="249">
        <v>-81000</v>
      </c>
      <c r="T28" s="190">
        <v>-75000</v>
      </c>
      <c r="U28" s="217" t="s">
        <v>2773</v>
      </c>
      <c r="V28" s="197"/>
    </row>
    <row r="29" spans="1:23" ht="27" customHeight="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10">
        <f>-19000-4000</f>
        <v>-23000</v>
      </c>
      <c r="Q29" s="10">
        <v>-19850</v>
      </c>
      <c r="R29" s="9">
        <v>-23150</v>
      </c>
      <c r="S29" s="249">
        <v>-27500</v>
      </c>
      <c r="T29" s="190">
        <v>-20000</v>
      </c>
      <c r="U29" s="217" t="s">
        <v>2766</v>
      </c>
    </row>
    <row r="30" spans="1:23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10">
        <v>-500</v>
      </c>
      <c r="Q30" s="10">
        <v>-500</v>
      </c>
      <c r="R30" s="9">
        <v>-500</v>
      </c>
      <c r="S30" s="249">
        <v>-500</v>
      </c>
      <c r="T30" s="190">
        <v>-500</v>
      </c>
    </row>
    <row r="31" spans="1:23" ht="21.6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10">
        <v>-166907</v>
      </c>
      <c r="Q31" s="10">
        <v>-161843</v>
      </c>
      <c r="R31" s="9">
        <v>-202575</v>
      </c>
      <c r="S31" s="249">
        <v>-202575</v>
      </c>
      <c r="T31" s="190">
        <v>-160000</v>
      </c>
      <c r="U31" s="217" t="s">
        <v>2759</v>
      </c>
      <c r="V31" s="197"/>
    </row>
    <row r="32" spans="1:23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10"/>
      <c r="Q32" s="10"/>
      <c r="R32" s="9"/>
      <c r="S32" s="249">
        <v>0</v>
      </c>
      <c r="T32" s="190">
        <v>0</v>
      </c>
      <c r="V32" s="197"/>
    </row>
    <row r="33" spans="1:23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10">
        <v>-5059</v>
      </c>
      <c r="Q33" s="10">
        <f>-750-1134-300-1094-78-365-350-711-1000-295-148</f>
        <v>-6225</v>
      </c>
      <c r="R33" s="9">
        <f>-750-65-1368-1000-308-1600-90-74-1368-187-130-75-500-800-100</f>
        <v>-8415</v>
      </c>
      <c r="S33" s="249">
        <v>-8500</v>
      </c>
      <c r="T33" s="190">
        <v>-5000</v>
      </c>
      <c r="U33" s="217" t="s">
        <v>2772</v>
      </c>
      <c r="V33" s="197"/>
    </row>
    <row r="34" spans="1:23" x14ac:dyDescent="0.3">
      <c r="A34" s="7" t="s">
        <v>2555</v>
      </c>
      <c r="B34" s="39">
        <f t="shared" ref="B34:R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2">
        <f t="shared" si="3"/>
        <v>-827607</v>
      </c>
      <c r="Q34" s="12">
        <f t="shared" ref="Q34" si="5">SUM(Q18:Q33)</f>
        <v>-1006287</v>
      </c>
      <c r="R34" s="11">
        <f t="shared" si="3"/>
        <v>-878166</v>
      </c>
      <c r="S34" s="250">
        <f>SUM(S18:S33)</f>
        <v>-899243</v>
      </c>
      <c r="T34" s="191">
        <f>SUM(T18:T33)</f>
        <v>-915500</v>
      </c>
      <c r="U34" s="272"/>
      <c r="V34" s="206"/>
    </row>
    <row r="35" spans="1:23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46"/>
      <c r="Q35" s="46"/>
      <c r="R35" s="113"/>
      <c r="S35" s="250"/>
      <c r="T35" s="191"/>
      <c r="V35" s="207"/>
    </row>
    <row r="36" spans="1:23" s="13" customFormat="1" ht="38.25" hidden="1" customHeight="1" x14ac:dyDescent="0.3">
      <c r="A36" s="7" t="s">
        <v>48</v>
      </c>
      <c r="B36" s="39">
        <f t="shared" ref="B36:R36" si="6">+B34+B15</f>
        <v>-24674</v>
      </c>
      <c r="C36" s="39">
        <f t="shared" si="6"/>
        <v>86791</v>
      </c>
      <c r="D36" s="39">
        <f t="shared" si="6"/>
        <v>32713</v>
      </c>
      <c r="E36" s="39">
        <f t="shared" si="6"/>
        <v>-5009.1400000000431</v>
      </c>
      <c r="F36" s="39">
        <f t="shared" si="6"/>
        <v>-25959.489999999991</v>
      </c>
      <c r="G36" s="39">
        <f t="shared" si="6"/>
        <v>-167525</v>
      </c>
      <c r="H36" s="39">
        <f t="shared" si="6"/>
        <v>13685</v>
      </c>
      <c r="I36" s="12">
        <f t="shared" si="6"/>
        <v>10177</v>
      </c>
      <c r="J36" s="12">
        <f t="shared" si="6"/>
        <v>36557</v>
      </c>
      <c r="K36" s="12">
        <f t="shared" si="6"/>
        <v>-84874</v>
      </c>
      <c r="L36" s="12">
        <f t="shared" si="6"/>
        <v>8025</v>
      </c>
      <c r="M36" s="12">
        <f t="shared" si="6"/>
        <v>-10322</v>
      </c>
      <c r="N36" s="12">
        <f t="shared" si="6"/>
        <v>122284</v>
      </c>
      <c r="O36" s="12">
        <f t="shared" si="6"/>
        <v>104927</v>
      </c>
      <c r="P36" s="12">
        <f t="shared" si="6"/>
        <v>4017</v>
      </c>
      <c r="Q36" s="12">
        <f t="shared" si="6"/>
        <v>-67622</v>
      </c>
      <c r="R36" s="11">
        <f t="shared" si="6"/>
        <v>15489</v>
      </c>
      <c r="S36" s="250">
        <f>S15+S34</f>
        <v>4412</v>
      </c>
      <c r="T36" s="191">
        <f>T15+T34</f>
        <v>1.0000000009313226E-2</v>
      </c>
      <c r="U36" s="217"/>
      <c r="V36" s="207"/>
    </row>
    <row r="37" spans="1:23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2"/>
      <c r="Q37" s="12"/>
      <c r="R37" s="11"/>
      <c r="S37" s="250"/>
      <c r="T37" s="191"/>
      <c r="U37" s="217"/>
      <c r="V37" s="207"/>
    </row>
    <row r="38" spans="1:23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1">
        <v>0</v>
      </c>
      <c r="S38" s="250">
        <v>0</v>
      </c>
      <c r="T38" s="191">
        <v>0</v>
      </c>
      <c r="U38" s="217"/>
      <c r="V38" s="206"/>
    </row>
    <row r="39" spans="1:23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2"/>
      <c r="R39" s="14"/>
      <c r="S39" s="251"/>
      <c r="T39" s="210"/>
      <c r="U39" s="272"/>
      <c r="V39" s="206"/>
    </row>
    <row r="40" spans="1:23" s="13" customFormat="1" ht="16.2" thickBot="1" x14ac:dyDescent="0.35">
      <c r="A40" s="7" t="s">
        <v>2557</v>
      </c>
      <c r="B40" s="39">
        <f t="shared" ref="B40:S40" si="7">+B38+B36</f>
        <v>-34674</v>
      </c>
      <c r="C40" s="39">
        <f t="shared" si="7"/>
        <v>76791</v>
      </c>
      <c r="D40" s="39">
        <f t="shared" si="7"/>
        <v>22713</v>
      </c>
      <c r="E40" s="39">
        <f t="shared" si="7"/>
        <v>-15009.140000000043</v>
      </c>
      <c r="F40" s="39">
        <f t="shared" si="7"/>
        <v>-35959.489999999991</v>
      </c>
      <c r="G40" s="39">
        <f t="shared" si="7"/>
        <v>-181974</v>
      </c>
      <c r="H40" s="39">
        <f t="shared" si="7"/>
        <v>13685</v>
      </c>
      <c r="I40" s="12">
        <f t="shared" si="7"/>
        <v>10177</v>
      </c>
      <c r="J40" s="12">
        <f>+J38+J36</f>
        <v>36557</v>
      </c>
      <c r="K40" s="12">
        <f t="shared" si="7"/>
        <v>-84874</v>
      </c>
      <c r="L40" s="12">
        <f t="shared" si="7"/>
        <v>8025</v>
      </c>
      <c r="M40" s="12">
        <f t="shared" si="7"/>
        <v>-10322</v>
      </c>
      <c r="N40" s="12">
        <f t="shared" si="7"/>
        <v>122284</v>
      </c>
      <c r="O40" s="12">
        <f t="shared" si="7"/>
        <v>104927</v>
      </c>
      <c r="P40" s="12">
        <f t="shared" si="7"/>
        <v>4017</v>
      </c>
      <c r="Q40" s="12">
        <f t="shared" si="7"/>
        <v>-67622</v>
      </c>
      <c r="R40" s="154">
        <f t="shared" si="7"/>
        <v>15489</v>
      </c>
      <c r="S40" s="252">
        <f t="shared" si="7"/>
        <v>4412</v>
      </c>
      <c r="T40" s="192">
        <f>+T38+T36</f>
        <v>1.0000000009313226E-2</v>
      </c>
      <c r="U40" s="217"/>
      <c r="V40" s="208"/>
    </row>
    <row r="41" spans="1:23" s="13" customFormat="1" x14ac:dyDescent="0.3">
      <c r="A41" s="4"/>
      <c r="B41" s="4"/>
      <c r="C41" s="4"/>
      <c r="D41" s="4"/>
      <c r="E41" s="4"/>
      <c r="F41" s="4"/>
      <c r="G41" s="4"/>
      <c r="H41" s="4"/>
      <c r="S41" s="58"/>
      <c r="T41" s="58"/>
      <c r="U41" s="217"/>
      <c r="V41" s="155"/>
    </row>
    <row r="42" spans="1:23" s="13" customFormat="1" x14ac:dyDescent="0.3">
      <c r="A42" s="4"/>
      <c r="B42" s="4"/>
      <c r="C42" s="4"/>
      <c r="D42" s="4"/>
      <c r="E42" s="4"/>
      <c r="F42" s="4"/>
      <c r="G42" s="4"/>
      <c r="H42" s="4"/>
      <c r="Q42" s="222" t="s">
        <v>2784</v>
      </c>
      <c r="R42" s="207">
        <v>-10000</v>
      </c>
      <c r="S42" s="278" t="s">
        <v>2785</v>
      </c>
      <c r="T42" s="58"/>
      <c r="U42" s="217"/>
      <c r="V42" s="155"/>
    </row>
    <row r="43" spans="1:23" x14ac:dyDescent="0.3">
      <c r="O43" s="13"/>
      <c r="Q43" s="222" t="s">
        <v>602</v>
      </c>
      <c r="R43" s="207">
        <v>22000</v>
      </c>
      <c r="S43" s="278" t="s">
        <v>2781</v>
      </c>
      <c r="T43" s="278"/>
    </row>
    <row r="44" spans="1:23" x14ac:dyDescent="0.3">
      <c r="Q44" s="222" t="s">
        <v>2782</v>
      </c>
      <c r="R44" s="207">
        <v>7000</v>
      </c>
      <c r="S44" s="278" t="s">
        <v>2781</v>
      </c>
      <c r="T44" s="278"/>
    </row>
    <row r="45" spans="1:23" x14ac:dyDescent="0.3">
      <c r="Q45" s="222" t="s">
        <v>2783</v>
      </c>
      <c r="R45" s="207">
        <v>7000</v>
      </c>
      <c r="S45" s="278" t="s">
        <v>2781</v>
      </c>
      <c r="T45" s="278"/>
    </row>
    <row r="46" spans="1:23" x14ac:dyDescent="0.3">
      <c r="Q46" s="99"/>
      <c r="R46" s="277">
        <f>SUM(R42:R45)</f>
        <v>26000</v>
      </c>
    </row>
    <row r="47" spans="1:23" x14ac:dyDescent="0.3">
      <c r="Q47" s="99"/>
      <c r="R47" s="99"/>
      <c r="S47" s="222"/>
    </row>
    <row r="48" spans="1:23" s="4" customFormat="1" x14ac:dyDescent="0.3">
      <c r="P48" s="1"/>
      <c r="Q48" s="269"/>
      <c r="R48" s="269"/>
      <c r="S48" s="222"/>
      <c r="U48" s="217"/>
      <c r="V48" s="155"/>
      <c r="W48" s="1"/>
    </row>
    <row r="49" spans="19:23" s="4" customFormat="1" x14ac:dyDescent="0.3">
      <c r="S49" s="99"/>
      <c r="U49" s="217"/>
      <c r="V49" s="155"/>
      <c r="W49" s="1"/>
    </row>
    <row r="50" spans="19:23" s="4" customFormat="1" x14ac:dyDescent="0.3">
      <c r="S50" s="99"/>
      <c r="U50" s="217"/>
      <c r="V50" s="155"/>
      <c r="W50" s="1"/>
    </row>
    <row r="51" spans="19:23" s="4" customFormat="1" x14ac:dyDescent="0.3">
      <c r="S51" s="99"/>
      <c r="U51" s="217"/>
      <c r="V51" s="155"/>
      <c r="W51" s="1"/>
    </row>
    <row r="52" spans="19:23" x14ac:dyDescent="0.3">
      <c r="S52" s="99"/>
    </row>
    <row r="53" spans="19:23" x14ac:dyDescent="0.3">
      <c r="S53" s="223"/>
    </row>
  </sheetData>
  <mergeCells count="2">
    <mergeCell ref="K1:M1"/>
    <mergeCell ref="O1:P1"/>
  </mergeCells>
  <pageMargins left="0.7" right="0.7" top="0.75" bottom="0.75" header="0.3" footer="0.3"/>
  <pageSetup paperSize="9" scale="5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27F28-D553-4DEB-AB8B-2B16FD19A65A}">
  <sheetPr>
    <tabColor theme="5" tint="-0.249977111117893"/>
    <pageSetUpPr fitToPage="1"/>
  </sheetPr>
  <dimension ref="A1:W52"/>
  <sheetViews>
    <sheetView zoomScale="110" zoomScaleNormal="110" workbookViewId="0">
      <pane xSplit="1" ySplit="3" topLeftCell="O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2" width="16.44140625" style="1" hidden="1" customWidth="1"/>
    <col min="13" max="13" width="18" style="1" hidden="1" customWidth="1"/>
    <col min="14" max="18" width="16.44140625" style="1" customWidth="1"/>
    <col min="19" max="20" width="18.5546875" style="1" customWidth="1"/>
    <col min="21" max="21" width="27" style="217" customWidth="1"/>
    <col min="22" max="22" width="15.88671875" style="155" customWidth="1"/>
    <col min="23" max="16384" width="9.109375" style="1"/>
  </cols>
  <sheetData>
    <row r="1" spans="1:22" ht="31.8" thickBot="1" x14ac:dyDescent="0.65">
      <c r="A1" s="211" t="s">
        <v>486</v>
      </c>
      <c r="C1" s="224"/>
      <c r="D1" s="224"/>
      <c r="I1" s="4"/>
      <c r="J1" s="4"/>
      <c r="K1" s="289"/>
      <c r="L1" s="289"/>
      <c r="M1" s="289"/>
      <c r="N1" s="293" t="s">
        <v>487</v>
      </c>
      <c r="O1" s="293"/>
      <c r="P1" s="293"/>
    </row>
    <row r="2" spans="1:22" ht="16.2" thickBot="1" x14ac:dyDescent="0.35"/>
    <row r="3" spans="1:22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37">
        <v>2023</v>
      </c>
      <c r="R3" s="227">
        <v>2024</v>
      </c>
      <c r="S3" s="253" t="s">
        <v>809</v>
      </c>
      <c r="T3" s="240" t="s">
        <v>2701</v>
      </c>
      <c r="U3" s="270"/>
      <c r="V3" s="156"/>
    </row>
    <row r="4" spans="1:22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42"/>
      <c r="R4" s="110">
        <v>45588</v>
      </c>
      <c r="S4" s="110">
        <v>45657</v>
      </c>
      <c r="T4" s="209"/>
      <c r="U4" s="270"/>
      <c r="V4" s="156"/>
    </row>
    <row r="5" spans="1:22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56"/>
      <c r="R5" s="237"/>
      <c r="S5" s="111"/>
      <c r="T5" s="8"/>
    </row>
    <row r="6" spans="1:22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10">
        <v>225734</v>
      </c>
      <c r="Q6" s="10">
        <v>252983</v>
      </c>
      <c r="R6" s="9">
        <v>209138</v>
      </c>
      <c r="S6" s="249">
        <v>209138</v>
      </c>
      <c r="T6" s="190">
        <v>255000</v>
      </c>
      <c r="U6" s="217" t="s">
        <v>2763</v>
      </c>
    </row>
    <row r="7" spans="1:22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10">
        <v>187000</v>
      </c>
      <c r="Q7" s="10">
        <v>181250</v>
      </c>
      <c r="R7" s="9">
        <v>209075</v>
      </c>
      <c r="S7" s="249">
        <v>209075</v>
      </c>
      <c r="T7" s="190">
        <v>185000</v>
      </c>
      <c r="U7" s="236" t="s">
        <v>2756</v>
      </c>
    </row>
    <row r="8" spans="1:22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10">
        <v>83434</v>
      </c>
      <c r="Q8" s="10">
        <v>177917</v>
      </c>
      <c r="R8" s="9">
        <v>111691</v>
      </c>
      <c r="S8" s="249">
        <v>115000</v>
      </c>
      <c r="T8" s="190">
        <v>130000</v>
      </c>
      <c r="U8" s="236"/>
    </row>
    <row r="9" spans="1:22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10">
        <v>33422</v>
      </c>
      <c r="Q9" s="10">
        <v>14330</v>
      </c>
      <c r="R9" s="9">
        <v>15000</v>
      </c>
      <c r="S9" s="249">
        <v>15000</v>
      </c>
      <c r="T9" s="190">
        <v>15000</v>
      </c>
      <c r="U9" s="258" t="s">
        <v>2689</v>
      </c>
    </row>
    <row r="10" spans="1:22" ht="57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10">
        <v>109900</v>
      </c>
      <c r="Q10" s="10">
        <v>137850</v>
      </c>
      <c r="R10" s="9">
        <v>125900</v>
      </c>
      <c r="S10" s="249">
        <v>125900</v>
      </c>
      <c r="T10" s="190">
        <v>125000</v>
      </c>
      <c r="U10" s="236" t="s">
        <v>2769</v>
      </c>
    </row>
    <row r="11" spans="1:22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10">
        <v>145695</v>
      </c>
      <c r="Q11" s="10">
        <v>163300</v>
      </c>
      <c r="R11" s="9">
        <v>203280</v>
      </c>
      <c r="S11" s="249">
        <v>203280</v>
      </c>
      <c r="T11" s="190">
        <v>175500</v>
      </c>
    </row>
    <row r="12" spans="1:22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10"/>
      <c r="Q12" s="10"/>
      <c r="R12" s="9"/>
      <c r="S12" s="249">
        <v>0</v>
      </c>
      <c r="T12" s="190">
        <v>0</v>
      </c>
    </row>
    <row r="13" spans="1:22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10"/>
      <c r="Q13" s="10"/>
      <c r="R13" s="9"/>
      <c r="S13" s="249">
        <v>0</v>
      </c>
      <c r="T13" s="190">
        <v>0</v>
      </c>
    </row>
    <row r="14" spans="1:22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10">
        <v>46439</v>
      </c>
      <c r="Q14" s="10">
        <v>11035</v>
      </c>
      <c r="R14" s="9">
        <v>12628</v>
      </c>
      <c r="S14" s="249">
        <v>20000</v>
      </c>
      <c r="T14" s="190">
        <v>30000.01</v>
      </c>
      <c r="U14" s="236" t="s">
        <v>2706</v>
      </c>
    </row>
    <row r="15" spans="1:22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 t="shared" ref="L15:T15" si="2">SUM(L6:L14)</f>
        <v>602111</v>
      </c>
      <c r="M15" s="12">
        <f t="shared" si="2"/>
        <v>627974</v>
      </c>
      <c r="N15" s="12">
        <f t="shared" si="2"/>
        <v>667900</v>
      </c>
      <c r="O15" s="12">
        <f t="shared" si="2"/>
        <v>701882</v>
      </c>
      <c r="P15" s="12">
        <f t="shared" si="2"/>
        <v>831624</v>
      </c>
      <c r="Q15" s="12">
        <f t="shared" si="2"/>
        <v>938665</v>
      </c>
      <c r="R15" s="11">
        <f t="shared" si="2"/>
        <v>886712</v>
      </c>
      <c r="S15" s="250">
        <f t="shared" si="2"/>
        <v>897393</v>
      </c>
      <c r="T15" s="191">
        <f t="shared" si="2"/>
        <v>915500.01</v>
      </c>
    </row>
    <row r="16" spans="1:22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R16" s="111"/>
      <c r="S16" s="249"/>
      <c r="T16" s="190"/>
    </row>
    <row r="17" spans="1:23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R17" s="112"/>
      <c r="S17" s="249"/>
      <c r="T17" s="190"/>
      <c r="U17" s="271"/>
      <c r="V17" s="159"/>
    </row>
    <row r="18" spans="1:23" ht="46.2" customHeight="1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10">
        <v>-181432</v>
      </c>
      <c r="Q18" s="10">
        <v>-220492</v>
      </c>
      <c r="R18" s="9">
        <v>-86031</v>
      </c>
      <c r="S18" s="249">
        <v>-95000</v>
      </c>
      <c r="T18" s="190">
        <v>-190000</v>
      </c>
      <c r="U18" s="236" t="s">
        <v>2767</v>
      </c>
      <c r="V18" s="276" t="s">
        <v>2752</v>
      </c>
    </row>
    <row r="19" spans="1:23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10">
        <v>-133504</v>
      </c>
      <c r="Q19" s="10">
        <v>-140769</v>
      </c>
      <c r="R19" s="9">
        <v>-98666</v>
      </c>
      <c r="S19" s="249">
        <v>-125000</v>
      </c>
      <c r="T19" s="190">
        <v>-135000</v>
      </c>
      <c r="V19" s="197"/>
      <c r="W19" s="55"/>
    </row>
    <row r="20" spans="1:23" ht="21.6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10">
        <v>-519</v>
      </c>
      <c r="Q20" s="10">
        <v>-58306</v>
      </c>
      <c r="R20" s="9">
        <v>-16013</v>
      </c>
      <c r="S20" s="249">
        <v>-25000</v>
      </c>
      <c r="T20" s="190">
        <v>-20000</v>
      </c>
      <c r="U20" s="217" t="s">
        <v>2753</v>
      </c>
      <c r="V20" s="197"/>
    </row>
    <row r="21" spans="1:23" ht="21.6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10">
        <v>-29952</v>
      </c>
      <c r="Q21" s="10">
        <v>-42358</v>
      </c>
      <c r="R21" s="9">
        <v>-43155</v>
      </c>
      <c r="S21" s="249">
        <v>-45000</v>
      </c>
      <c r="T21" s="190">
        <v>-30000</v>
      </c>
      <c r="U21" s="217" t="s">
        <v>2736</v>
      </c>
      <c r="V21" s="197"/>
    </row>
    <row r="22" spans="1:23" ht="33.6" customHeight="1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10">
        <v>-92029</v>
      </c>
      <c r="Q22" s="10">
        <v>-99926</v>
      </c>
      <c r="R22" s="9">
        <v>-86977</v>
      </c>
      <c r="S22" s="249">
        <v>-100000</v>
      </c>
      <c r="T22" s="190">
        <v>-95000</v>
      </c>
      <c r="U22" s="217" t="s">
        <v>2770</v>
      </c>
      <c r="V22" s="197"/>
    </row>
    <row r="23" spans="1:23" ht="28.2" customHeight="1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10">
        <v>-79144</v>
      </c>
      <c r="Q23" s="10">
        <v>-104788</v>
      </c>
      <c r="R23" s="9">
        <v>-86329</v>
      </c>
      <c r="S23" s="249">
        <v>-90000</v>
      </c>
      <c r="T23" s="190">
        <v>-105000</v>
      </c>
      <c r="U23" s="236" t="s">
        <v>2768</v>
      </c>
      <c r="V23" s="197"/>
    </row>
    <row r="24" spans="1:23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10">
        <v>-1231</v>
      </c>
      <c r="Q24" s="10">
        <v>-13700</v>
      </c>
      <c r="R24" s="9">
        <v>-5378</v>
      </c>
      <c r="S24" s="249">
        <v>-10000</v>
      </c>
      <c r="T24" s="190">
        <v>-10000</v>
      </c>
      <c r="V24" s="197"/>
    </row>
    <row r="25" spans="1:23" ht="26.4" customHeight="1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10">
        <v>-22800</v>
      </c>
      <c r="Q25" s="10">
        <v>-34900</v>
      </c>
      <c r="R25" s="9">
        <v>-30915</v>
      </c>
      <c r="S25" s="249">
        <v>-35000</v>
      </c>
      <c r="T25" s="190">
        <v>-35000</v>
      </c>
      <c r="U25" s="217" t="s">
        <v>2762</v>
      </c>
      <c r="V25" s="197"/>
    </row>
    <row r="26" spans="1:23" ht="22.8" customHeight="1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10">
        <v>-30440</v>
      </c>
      <c r="Q26" s="10">
        <v>-32200</v>
      </c>
      <c r="R26" s="9">
        <v>-23300</v>
      </c>
      <c r="S26" s="249">
        <v>-25000</v>
      </c>
      <c r="T26" s="190">
        <v>-30000</v>
      </c>
      <c r="U26" s="217" t="s">
        <v>2764</v>
      </c>
      <c r="V26" s="197"/>
    </row>
    <row r="27" spans="1:23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10">
        <v>-5340</v>
      </c>
      <c r="Q27" s="10">
        <v>-4080</v>
      </c>
      <c r="R27" s="9">
        <v>-13800</v>
      </c>
      <c r="S27" s="249">
        <v>-13800</v>
      </c>
      <c r="T27" s="190">
        <v>-5000</v>
      </c>
      <c r="U27" s="217" t="s">
        <v>2749</v>
      </c>
      <c r="V27" s="197"/>
    </row>
    <row r="28" spans="1:23" ht="34.799999999999997" customHeight="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10">
        <f>-55750</f>
        <v>-55750</v>
      </c>
      <c r="Q28" s="10">
        <v>-66350</v>
      </c>
      <c r="R28" s="9">
        <v>-57075</v>
      </c>
      <c r="S28" s="249">
        <v>-60000</v>
      </c>
      <c r="T28" s="190">
        <v>-75000</v>
      </c>
      <c r="U28" s="217" t="s">
        <v>2765</v>
      </c>
      <c r="V28" s="197"/>
    </row>
    <row r="29" spans="1:23" ht="27" customHeight="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10">
        <f>-19000-4000</f>
        <v>-23000</v>
      </c>
      <c r="Q29" s="10">
        <v>-19850</v>
      </c>
      <c r="R29" s="9">
        <v>-23150</v>
      </c>
      <c r="S29" s="249">
        <v>-27000</v>
      </c>
      <c r="T29" s="190">
        <v>-20000</v>
      </c>
      <c r="U29" s="217" t="s">
        <v>2766</v>
      </c>
    </row>
    <row r="30" spans="1:23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10">
        <v>-500</v>
      </c>
      <c r="Q30" s="10">
        <v>-500</v>
      </c>
      <c r="R30" s="9">
        <v>-500</v>
      </c>
      <c r="S30" s="249">
        <v>-500</v>
      </c>
      <c r="T30" s="190">
        <v>-500</v>
      </c>
    </row>
    <row r="31" spans="1:23" ht="21.6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10">
        <v>-166907</v>
      </c>
      <c r="Q31" s="10">
        <v>-161843</v>
      </c>
      <c r="R31" s="9">
        <v>-202575</v>
      </c>
      <c r="S31" s="249">
        <v>-202575</v>
      </c>
      <c r="T31" s="190">
        <v>-160000</v>
      </c>
      <c r="U31" s="217" t="s">
        <v>2759</v>
      </c>
      <c r="V31" s="197"/>
    </row>
    <row r="32" spans="1:23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10"/>
      <c r="Q32" s="10"/>
      <c r="R32" s="9"/>
      <c r="S32" s="249">
        <v>0</v>
      </c>
      <c r="T32" s="190">
        <v>0</v>
      </c>
      <c r="V32" s="197"/>
    </row>
    <row r="33" spans="1:23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10">
        <v>-5059</v>
      </c>
      <c r="Q33" s="10">
        <f>-750-1134-300-1094-78-365-350-711-1000-295-148</f>
        <v>-6225</v>
      </c>
      <c r="R33" s="9">
        <f>-750-65-1368-1000-308-1600-90-74-1368-187-130-75</f>
        <v>-7015</v>
      </c>
      <c r="S33" s="249">
        <v>-7500</v>
      </c>
      <c r="T33" s="190">
        <v>-5000</v>
      </c>
      <c r="U33" s="217" t="s">
        <v>2705</v>
      </c>
      <c r="V33" s="197"/>
    </row>
    <row r="34" spans="1:23" x14ac:dyDescent="0.3">
      <c r="A34" s="7" t="s">
        <v>2555</v>
      </c>
      <c r="B34" s="39">
        <f t="shared" ref="B34:R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2">
        <f t="shared" si="3"/>
        <v>-827607</v>
      </c>
      <c r="Q34" s="12">
        <f t="shared" ref="Q34" si="5">SUM(Q18:Q33)</f>
        <v>-1006287</v>
      </c>
      <c r="R34" s="11">
        <f t="shared" si="3"/>
        <v>-780879</v>
      </c>
      <c r="S34" s="250">
        <f>SUM(S18:S33)</f>
        <v>-861375</v>
      </c>
      <c r="T34" s="191">
        <f>SUM(T18:T33)</f>
        <v>-915500</v>
      </c>
      <c r="U34" s="272"/>
      <c r="V34" s="206"/>
    </row>
    <row r="35" spans="1:23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46"/>
      <c r="Q35" s="46"/>
      <c r="R35" s="113"/>
      <c r="S35" s="250"/>
      <c r="T35" s="191"/>
      <c r="V35" s="207"/>
    </row>
    <row r="36" spans="1:23" s="13" customFormat="1" ht="38.25" hidden="1" customHeight="1" x14ac:dyDescent="0.3">
      <c r="A36" s="7" t="s">
        <v>48</v>
      </c>
      <c r="B36" s="39">
        <f t="shared" ref="B36:R36" si="6">+B34+B15</f>
        <v>-24674</v>
      </c>
      <c r="C36" s="39">
        <f t="shared" si="6"/>
        <v>86791</v>
      </c>
      <c r="D36" s="39">
        <f t="shared" si="6"/>
        <v>32713</v>
      </c>
      <c r="E36" s="39">
        <f t="shared" si="6"/>
        <v>-5009.1400000000431</v>
      </c>
      <c r="F36" s="39">
        <f t="shared" si="6"/>
        <v>-25959.489999999991</v>
      </c>
      <c r="G36" s="39">
        <f t="shared" si="6"/>
        <v>-167525</v>
      </c>
      <c r="H36" s="39">
        <f t="shared" si="6"/>
        <v>13685</v>
      </c>
      <c r="I36" s="12">
        <f t="shared" si="6"/>
        <v>10177</v>
      </c>
      <c r="J36" s="12">
        <f t="shared" si="6"/>
        <v>36557</v>
      </c>
      <c r="K36" s="12">
        <f t="shared" si="6"/>
        <v>-84874</v>
      </c>
      <c r="L36" s="12">
        <f t="shared" si="6"/>
        <v>8025</v>
      </c>
      <c r="M36" s="12">
        <f t="shared" si="6"/>
        <v>-10322</v>
      </c>
      <c r="N36" s="12">
        <f t="shared" si="6"/>
        <v>122284</v>
      </c>
      <c r="O36" s="12">
        <f t="shared" si="6"/>
        <v>104927</v>
      </c>
      <c r="P36" s="12">
        <f t="shared" si="6"/>
        <v>4017</v>
      </c>
      <c r="Q36" s="12">
        <f t="shared" si="6"/>
        <v>-67622</v>
      </c>
      <c r="R36" s="11">
        <f t="shared" si="6"/>
        <v>105833</v>
      </c>
      <c r="S36" s="250">
        <f>S15+S34</f>
        <v>36018</v>
      </c>
      <c r="T36" s="191">
        <f>T15+T34</f>
        <v>1.0000000009313226E-2</v>
      </c>
      <c r="U36" s="217"/>
      <c r="V36" s="207"/>
    </row>
    <row r="37" spans="1:23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2"/>
      <c r="Q37" s="12"/>
      <c r="R37" s="11"/>
      <c r="S37" s="250"/>
      <c r="T37" s="191"/>
      <c r="U37" s="217"/>
      <c r="V37" s="207"/>
    </row>
    <row r="38" spans="1:23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1">
        <v>0</v>
      </c>
      <c r="S38" s="250">
        <v>0</v>
      </c>
      <c r="T38" s="191">
        <v>0</v>
      </c>
      <c r="U38" s="217"/>
      <c r="V38" s="206"/>
    </row>
    <row r="39" spans="1:23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2"/>
      <c r="R39" s="14"/>
      <c r="S39" s="251"/>
      <c r="T39" s="210"/>
      <c r="U39" s="272"/>
      <c r="V39" s="206"/>
    </row>
    <row r="40" spans="1:23" s="13" customFormat="1" ht="16.2" thickBot="1" x14ac:dyDescent="0.35">
      <c r="A40" s="7" t="s">
        <v>2557</v>
      </c>
      <c r="B40" s="39">
        <f t="shared" ref="B40:S40" si="7">+B38+B36</f>
        <v>-34674</v>
      </c>
      <c r="C40" s="39">
        <f t="shared" si="7"/>
        <v>76791</v>
      </c>
      <c r="D40" s="39">
        <f t="shared" si="7"/>
        <v>22713</v>
      </c>
      <c r="E40" s="39">
        <f t="shared" si="7"/>
        <v>-15009.140000000043</v>
      </c>
      <c r="F40" s="39">
        <f t="shared" si="7"/>
        <v>-35959.489999999991</v>
      </c>
      <c r="G40" s="39">
        <f t="shared" si="7"/>
        <v>-181974</v>
      </c>
      <c r="H40" s="39">
        <f t="shared" si="7"/>
        <v>13685</v>
      </c>
      <c r="I40" s="12">
        <f t="shared" si="7"/>
        <v>10177</v>
      </c>
      <c r="J40" s="12">
        <f>+J38+J36</f>
        <v>36557</v>
      </c>
      <c r="K40" s="12">
        <f t="shared" si="7"/>
        <v>-84874</v>
      </c>
      <c r="L40" s="12">
        <f t="shared" si="7"/>
        <v>8025</v>
      </c>
      <c r="M40" s="12">
        <f t="shared" si="7"/>
        <v>-10322</v>
      </c>
      <c r="N40" s="12">
        <f t="shared" si="7"/>
        <v>122284</v>
      </c>
      <c r="O40" s="12">
        <f t="shared" si="7"/>
        <v>104927</v>
      </c>
      <c r="P40" s="12">
        <f t="shared" si="7"/>
        <v>4017</v>
      </c>
      <c r="Q40" s="12">
        <f t="shared" si="7"/>
        <v>-67622</v>
      </c>
      <c r="R40" s="154">
        <f t="shared" si="7"/>
        <v>105833</v>
      </c>
      <c r="S40" s="252">
        <f t="shared" si="7"/>
        <v>36018</v>
      </c>
      <c r="T40" s="192">
        <f>+T38+T36</f>
        <v>1.0000000009313226E-2</v>
      </c>
      <c r="U40" s="217"/>
      <c r="V40" s="208"/>
    </row>
    <row r="41" spans="1:23" s="13" customFormat="1" x14ac:dyDescent="0.3">
      <c r="A41" s="4"/>
      <c r="B41" s="4"/>
      <c r="C41" s="4"/>
      <c r="D41" s="4"/>
      <c r="E41" s="4"/>
      <c r="F41" s="4"/>
      <c r="G41" s="4"/>
      <c r="H41" s="4"/>
      <c r="S41" s="58"/>
      <c r="T41" s="58"/>
      <c r="U41" s="217"/>
      <c r="V41" s="155"/>
    </row>
    <row r="42" spans="1:23" x14ac:dyDescent="0.3">
      <c r="O42" s="13"/>
      <c r="Q42" s="99"/>
      <c r="R42" s="222"/>
      <c r="S42" s="207"/>
    </row>
    <row r="43" spans="1:23" x14ac:dyDescent="0.3">
      <c r="Q43" s="99"/>
      <c r="R43" s="222"/>
      <c r="S43" s="207"/>
      <c r="T43" s="222"/>
    </row>
    <row r="44" spans="1:23" x14ac:dyDescent="0.3">
      <c r="Q44" s="99"/>
      <c r="R44" s="99"/>
      <c r="S44" s="222"/>
    </row>
    <row r="45" spans="1:23" x14ac:dyDescent="0.3">
      <c r="Q45" s="99"/>
      <c r="R45" s="99"/>
      <c r="S45" s="207"/>
    </row>
    <row r="46" spans="1:23" x14ac:dyDescent="0.3">
      <c r="Q46" s="99"/>
      <c r="R46" s="99"/>
      <c r="S46" s="222"/>
    </row>
    <row r="47" spans="1:23" s="4" customFormat="1" x14ac:dyDescent="0.3">
      <c r="P47" s="1"/>
      <c r="Q47" s="269"/>
      <c r="R47" s="269"/>
      <c r="S47" s="222"/>
      <c r="U47" s="217"/>
      <c r="V47" s="155"/>
      <c r="W47" s="1"/>
    </row>
    <row r="48" spans="1:23" s="4" customFormat="1" x14ac:dyDescent="0.3">
      <c r="S48" s="99"/>
      <c r="U48" s="217"/>
      <c r="V48" s="155"/>
      <c r="W48" s="1"/>
    </row>
    <row r="49" spans="19:23" s="4" customFormat="1" x14ac:dyDescent="0.3">
      <c r="S49" s="99"/>
      <c r="U49" s="217"/>
      <c r="V49" s="155"/>
      <c r="W49" s="1"/>
    </row>
    <row r="50" spans="19:23" s="4" customFormat="1" x14ac:dyDescent="0.3">
      <c r="S50" s="99"/>
      <c r="U50" s="217"/>
      <c r="V50" s="155"/>
      <c r="W50" s="1"/>
    </row>
    <row r="51" spans="19:23" x14ac:dyDescent="0.3">
      <c r="S51" s="99"/>
    </row>
    <row r="52" spans="19:23" x14ac:dyDescent="0.3">
      <c r="S52" s="223"/>
    </row>
  </sheetData>
  <mergeCells count="2">
    <mergeCell ref="K1:M1"/>
    <mergeCell ref="N1:P1"/>
  </mergeCells>
  <pageMargins left="0.7" right="0.7" top="0.75" bottom="0.75" header="0.3" footer="0.3"/>
  <pageSetup paperSize="9" scale="5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7DBE0-367A-4003-9967-438E3057850D}">
  <sheetPr>
    <tabColor theme="5" tint="-0.249977111117893"/>
    <pageSetUpPr fitToPage="1"/>
  </sheetPr>
  <dimension ref="A1:W52"/>
  <sheetViews>
    <sheetView zoomScale="110" zoomScaleNormal="110" workbookViewId="0">
      <pane xSplit="1" ySplit="3" topLeftCell="N4" activePane="bottomRight" state="frozen"/>
      <selection pane="topRight" activeCell="B1" sqref="B1"/>
      <selection pane="bottomLeft" activeCell="A4" sqref="A4"/>
      <selection pane="bottomRight" activeCell="R4" sqref="R4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2" width="16.44140625" style="1" hidden="1" customWidth="1"/>
    <col min="13" max="13" width="18" style="1" hidden="1" customWidth="1"/>
    <col min="14" max="18" width="16.44140625" style="1" customWidth="1"/>
    <col min="19" max="20" width="18.5546875" style="1" customWidth="1"/>
    <col min="21" max="21" width="27" style="217" customWidth="1"/>
    <col min="22" max="22" width="15.88671875" style="155" customWidth="1"/>
    <col min="23" max="16384" width="9.109375" style="1"/>
  </cols>
  <sheetData>
    <row r="1" spans="1:22" ht="31.8" thickBot="1" x14ac:dyDescent="0.65">
      <c r="A1" s="211" t="s">
        <v>486</v>
      </c>
      <c r="C1" s="224"/>
      <c r="D1" s="224"/>
      <c r="I1" s="4"/>
      <c r="J1" s="4"/>
      <c r="K1" s="289"/>
      <c r="L1" s="289"/>
      <c r="M1" s="289"/>
      <c r="N1" s="293" t="s">
        <v>487</v>
      </c>
      <c r="O1" s="293"/>
      <c r="P1" s="293"/>
    </row>
    <row r="2" spans="1:22" ht="16.2" thickBot="1" x14ac:dyDescent="0.35"/>
    <row r="3" spans="1:22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37">
        <v>2023</v>
      </c>
      <c r="R3" s="227">
        <v>2024</v>
      </c>
      <c r="S3" s="253" t="s">
        <v>809</v>
      </c>
      <c r="T3" s="240" t="s">
        <v>2701</v>
      </c>
      <c r="U3" s="270"/>
      <c r="V3" s="156"/>
    </row>
    <row r="4" spans="1:22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42"/>
      <c r="R4" s="110">
        <v>45557</v>
      </c>
      <c r="S4" s="110">
        <v>45657</v>
      </c>
      <c r="T4" s="209"/>
      <c r="U4" s="270"/>
      <c r="V4" s="156"/>
    </row>
    <row r="5" spans="1:22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56"/>
      <c r="R5" s="237"/>
      <c r="S5" s="111"/>
      <c r="T5" s="8"/>
    </row>
    <row r="6" spans="1:22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10">
        <v>225734</v>
      </c>
      <c r="Q6" s="10">
        <v>252983</v>
      </c>
      <c r="R6" s="9">
        <v>161115</v>
      </c>
      <c r="S6" s="249">
        <v>200000</v>
      </c>
      <c r="T6" s="190">
        <v>255000</v>
      </c>
      <c r="U6" s="217" t="s">
        <v>2763</v>
      </c>
    </row>
    <row r="7" spans="1:22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10">
        <v>187000</v>
      </c>
      <c r="Q7" s="10">
        <v>181250</v>
      </c>
      <c r="R7" s="9">
        <v>209075</v>
      </c>
      <c r="S7" s="249">
        <v>209075</v>
      </c>
      <c r="T7" s="190">
        <v>185000</v>
      </c>
      <c r="U7" s="236" t="s">
        <v>2756</v>
      </c>
    </row>
    <row r="8" spans="1:22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10">
        <v>83434</v>
      </c>
      <c r="Q8" s="10">
        <v>177917</v>
      </c>
      <c r="R8" s="9">
        <v>77793</v>
      </c>
      <c r="S8" s="249">
        <v>100000</v>
      </c>
      <c r="T8" s="190">
        <v>130000</v>
      </c>
      <c r="U8" s="236"/>
    </row>
    <row r="9" spans="1:22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10">
        <v>33422</v>
      </c>
      <c r="Q9" s="10">
        <v>14330</v>
      </c>
      <c r="R9" s="9">
        <v>15000</v>
      </c>
      <c r="S9" s="249">
        <v>15000</v>
      </c>
      <c r="T9" s="190">
        <v>15000</v>
      </c>
      <c r="U9" s="258" t="s">
        <v>2689</v>
      </c>
    </row>
    <row r="10" spans="1:22" ht="57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10">
        <v>109900</v>
      </c>
      <c r="Q10" s="10">
        <v>137850</v>
      </c>
      <c r="R10" s="9">
        <v>113000</v>
      </c>
      <c r="S10" s="249">
        <v>113000</v>
      </c>
      <c r="T10" s="190">
        <v>125000</v>
      </c>
      <c r="U10" s="236" t="s">
        <v>2735</v>
      </c>
    </row>
    <row r="11" spans="1:22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10">
        <v>145695</v>
      </c>
      <c r="Q11" s="10">
        <v>163300</v>
      </c>
      <c r="R11" s="9">
        <v>202480</v>
      </c>
      <c r="S11" s="249">
        <v>202480</v>
      </c>
      <c r="T11" s="190">
        <v>175500</v>
      </c>
    </row>
    <row r="12" spans="1:22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10"/>
      <c r="Q12" s="10"/>
      <c r="R12" s="9"/>
      <c r="S12" s="249">
        <v>0</v>
      </c>
      <c r="T12" s="190">
        <v>0</v>
      </c>
    </row>
    <row r="13" spans="1:22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10"/>
      <c r="Q13" s="10"/>
      <c r="R13" s="9"/>
      <c r="S13" s="249">
        <v>0</v>
      </c>
      <c r="T13" s="190">
        <v>0</v>
      </c>
    </row>
    <row r="14" spans="1:22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10">
        <v>46439</v>
      </c>
      <c r="Q14" s="10">
        <v>11035</v>
      </c>
      <c r="R14" s="9">
        <v>12628</v>
      </c>
      <c r="S14" s="249">
        <v>30000.01</v>
      </c>
      <c r="T14" s="190">
        <v>30000.01</v>
      </c>
      <c r="U14" s="236" t="s">
        <v>2706</v>
      </c>
    </row>
    <row r="15" spans="1:22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 t="shared" ref="L15:T15" si="2">SUM(L6:L14)</f>
        <v>602111</v>
      </c>
      <c r="M15" s="12">
        <f t="shared" si="2"/>
        <v>627974</v>
      </c>
      <c r="N15" s="12">
        <f t="shared" si="2"/>
        <v>667900</v>
      </c>
      <c r="O15" s="12">
        <f t="shared" si="2"/>
        <v>701882</v>
      </c>
      <c r="P15" s="12">
        <f t="shared" si="2"/>
        <v>831624</v>
      </c>
      <c r="Q15" s="12">
        <f t="shared" si="2"/>
        <v>938665</v>
      </c>
      <c r="R15" s="11">
        <f t="shared" si="2"/>
        <v>791091</v>
      </c>
      <c r="S15" s="250">
        <f t="shared" si="2"/>
        <v>869555.01</v>
      </c>
      <c r="T15" s="191">
        <f t="shared" si="2"/>
        <v>915500.01</v>
      </c>
    </row>
    <row r="16" spans="1:22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R16" s="111"/>
      <c r="S16" s="249"/>
      <c r="T16" s="190"/>
    </row>
    <row r="17" spans="1:23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R17" s="112"/>
      <c r="S17" s="249"/>
      <c r="T17" s="190"/>
      <c r="U17" s="271"/>
      <c r="V17" s="159"/>
    </row>
    <row r="18" spans="1:23" ht="46.2" customHeight="1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10">
        <v>-181432</v>
      </c>
      <c r="Q18" s="10">
        <v>-220492</v>
      </c>
      <c r="R18" s="9">
        <v>-83523</v>
      </c>
      <c r="S18" s="249">
        <v>-95000</v>
      </c>
      <c r="T18" s="190">
        <v>-190000</v>
      </c>
      <c r="U18" s="236" t="s">
        <v>2751</v>
      </c>
      <c r="V18" s="276" t="s">
        <v>2752</v>
      </c>
    </row>
    <row r="19" spans="1:23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10">
        <v>-133504</v>
      </c>
      <c r="Q19" s="10">
        <v>-140769</v>
      </c>
      <c r="R19" s="9">
        <v>-98666</v>
      </c>
      <c r="S19" s="249">
        <v>-125000</v>
      </c>
      <c r="T19" s="190">
        <v>-135000</v>
      </c>
      <c r="V19" s="197"/>
      <c r="W19" s="55"/>
    </row>
    <row r="20" spans="1:23" ht="21.6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10">
        <v>-519</v>
      </c>
      <c r="Q20" s="10">
        <v>-58306</v>
      </c>
      <c r="R20" s="9">
        <v>-16013</v>
      </c>
      <c r="S20" s="249">
        <v>-25000</v>
      </c>
      <c r="T20" s="190">
        <v>-20000</v>
      </c>
      <c r="U20" s="217" t="s">
        <v>2753</v>
      </c>
      <c r="V20" s="197"/>
    </row>
    <row r="21" spans="1:23" ht="21.6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10">
        <v>-29952</v>
      </c>
      <c r="Q21" s="10">
        <v>-42358</v>
      </c>
      <c r="R21" s="9">
        <v>-43155</v>
      </c>
      <c r="S21" s="249">
        <v>-45000</v>
      </c>
      <c r="T21" s="190">
        <v>-30000</v>
      </c>
      <c r="U21" s="217" t="s">
        <v>2736</v>
      </c>
      <c r="V21" s="197"/>
    </row>
    <row r="22" spans="1:23" ht="33.6" customHeight="1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10">
        <v>-92029</v>
      </c>
      <c r="Q22" s="10">
        <v>-99926</v>
      </c>
      <c r="R22" s="9">
        <v>-78735</v>
      </c>
      <c r="S22" s="249">
        <v>-95000</v>
      </c>
      <c r="T22" s="190">
        <v>-95000</v>
      </c>
      <c r="U22" s="217" t="s">
        <v>2760</v>
      </c>
      <c r="V22" s="197"/>
    </row>
    <row r="23" spans="1:23" ht="28.2" customHeight="1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10">
        <v>-79144</v>
      </c>
      <c r="Q23" s="10">
        <v>-104788</v>
      </c>
      <c r="R23" s="9">
        <v>-77770</v>
      </c>
      <c r="S23" s="249">
        <v>-90000</v>
      </c>
      <c r="T23" s="190">
        <v>-105000</v>
      </c>
      <c r="U23" s="236" t="s">
        <v>2761</v>
      </c>
      <c r="V23" s="197"/>
    </row>
    <row r="24" spans="1:23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10">
        <v>-1231</v>
      </c>
      <c r="Q24" s="10">
        <v>-13700</v>
      </c>
      <c r="R24" s="9">
        <v>-5378</v>
      </c>
      <c r="S24" s="249">
        <v>-10000</v>
      </c>
      <c r="T24" s="190">
        <v>-10000</v>
      </c>
      <c r="V24" s="197"/>
    </row>
    <row r="25" spans="1:23" ht="26.4" customHeight="1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10">
        <v>-22800</v>
      </c>
      <c r="Q25" s="10">
        <v>-34900</v>
      </c>
      <c r="R25" s="9">
        <v>-30915</v>
      </c>
      <c r="S25" s="249">
        <v>-35000</v>
      </c>
      <c r="T25" s="190">
        <v>-35000</v>
      </c>
      <c r="U25" s="217" t="s">
        <v>2762</v>
      </c>
      <c r="V25" s="197"/>
    </row>
    <row r="26" spans="1:23" ht="22.8" customHeight="1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10">
        <v>-30440</v>
      </c>
      <c r="Q26" s="10">
        <v>-32200</v>
      </c>
      <c r="R26" s="9">
        <v>-19300</v>
      </c>
      <c r="S26" s="249">
        <v>-25000</v>
      </c>
      <c r="T26" s="190">
        <v>-30000</v>
      </c>
      <c r="U26" s="217" t="s">
        <v>2741</v>
      </c>
      <c r="V26" s="197"/>
    </row>
    <row r="27" spans="1:23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10">
        <v>-5340</v>
      </c>
      <c r="Q27" s="10">
        <v>-4080</v>
      </c>
      <c r="R27" s="9">
        <v>-13800</v>
      </c>
      <c r="S27" s="249">
        <v>-13800</v>
      </c>
      <c r="T27" s="190">
        <v>-5000</v>
      </c>
      <c r="U27" s="217" t="s">
        <v>2749</v>
      </c>
      <c r="V27" s="197"/>
    </row>
    <row r="28" spans="1:23" ht="34.799999999999997" customHeight="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10">
        <f>-55750</f>
        <v>-55750</v>
      </c>
      <c r="Q28" s="10">
        <v>-66350</v>
      </c>
      <c r="R28" s="9">
        <v>-56775</v>
      </c>
      <c r="S28" s="249">
        <v>-60000</v>
      </c>
      <c r="T28" s="190">
        <v>-75000</v>
      </c>
      <c r="U28" s="217" t="s">
        <v>2758</v>
      </c>
      <c r="V28" s="197"/>
    </row>
    <row r="29" spans="1:23" ht="27" customHeight="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10">
        <f>-19000-4000</f>
        <v>-23000</v>
      </c>
      <c r="Q29" s="10">
        <v>-19850</v>
      </c>
      <c r="R29" s="9">
        <v>-23100</v>
      </c>
      <c r="S29" s="249">
        <v>-27000</v>
      </c>
      <c r="T29" s="190">
        <v>-20000</v>
      </c>
      <c r="U29" s="217" t="s">
        <v>2757</v>
      </c>
    </row>
    <row r="30" spans="1:23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10">
        <v>-500</v>
      </c>
      <c r="Q30" s="10">
        <v>-500</v>
      </c>
      <c r="R30" s="9">
        <v>-500</v>
      </c>
      <c r="S30" s="249">
        <v>-500</v>
      </c>
      <c r="T30" s="190">
        <v>-500</v>
      </c>
    </row>
    <row r="31" spans="1:23" ht="21.6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10">
        <v>-166907</v>
      </c>
      <c r="Q31" s="10">
        <v>-161843</v>
      </c>
      <c r="R31" s="9">
        <v>-202575</v>
      </c>
      <c r="S31" s="249">
        <v>-202575</v>
      </c>
      <c r="T31" s="190">
        <v>-160000</v>
      </c>
      <c r="U31" s="217" t="s">
        <v>2759</v>
      </c>
      <c r="V31" s="197"/>
    </row>
    <row r="32" spans="1:23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10"/>
      <c r="Q32" s="10"/>
      <c r="R32" s="9"/>
      <c r="S32" s="249">
        <v>0</v>
      </c>
      <c r="T32" s="190">
        <v>0</v>
      </c>
      <c r="V32" s="197"/>
    </row>
    <row r="33" spans="1:23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10">
        <v>-5059</v>
      </c>
      <c r="Q33" s="10">
        <f>-750-1134-300-1094-78-365-350-711-1000-295-148</f>
        <v>-6225</v>
      </c>
      <c r="R33" s="9">
        <f>-750-65-1368-1000-308-1600-90-74-1368-187-130-75</f>
        <v>-7015</v>
      </c>
      <c r="S33" s="249">
        <v>-7500</v>
      </c>
      <c r="T33" s="190">
        <v>-5000</v>
      </c>
      <c r="U33" s="217" t="s">
        <v>2705</v>
      </c>
      <c r="V33" s="197"/>
    </row>
    <row r="34" spans="1:23" x14ac:dyDescent="0.3">
      <c r="A34" s="7" t="s">
        <v>2555</v>
      </c>
      <c r="B34" s="39">
        <f t="shared" ref="B34:R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2">
        <f t="shared" si="3"/>
        <v>-827607</v>
      </c>
      <c r="Q34" s="12">
        <f t="shared" ref="Q34" si="5">SUM(Q18:Q33)</f>
        <v>-1006287</v>
      </c>
      <c r="R34" s="11">
        <f t="shared" si="3"/>
        <v>-757220</v>
      </c>
      <c r="S34" s="250">
        <f>SUM(S18:S33)</f>
        <v>-856375</v>
      </c>
      <c r="T34" s="191">
        <f>SUM(T18:T33)</f>
        <v>-915500</v>
      </c>
      <c r="U34" s="272"/>
      <c r="V34" s="206"/>
    </row>
    <row r="35" spans="1:23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46"/>
      <c r="Q35" s="46"/>
      <c r="R35" s="113"/>
      <c r="S35" s="250"/>
      <c r="T35" s="191"/>
      <c r="V35" s="207"/>
    </row>
    <row r="36" spans="1:23" s="13" customFormat="1" ht="38.25" hidden="1" customHeight="1" x14ac:dyDescent="0.3">
      <c r="A36" s="7" t="s">
        <v>48</v>
      </c>
      <c r="B36" s="39">
        <f t="shared" ref="B36:R36" si="6">+B34+B15</f>
        <v>-24674</v>
      </c>
      <c r="C36" s="39">
        <f t="shared" si="6"/>
        <v>86791</v>
      </c>
      <c r="D36" s="39">
        <f t="shared" si="6"/>
        <v>32713</v>
      </c>
      <c r="E36" s="39">
        <f t="shared" si="6"/>
        <v>-5009.1400000000431</v>
      </c>
      <c r="F36" s="39">
        <f t="shared" si="6"/>
        <v>-25959.489999999991</v>
      </c>
      <c r="G36" s="39">
        <f t="shared" si="6"/>
        <v>-167525</v>
      </c>
      <c r="H36" s="39">
        <f t="shared" si="6"/>
        <v>13685</v>
      </c>
      <c r="I36" s="12">
        <f t="shared" si="6"/>
        <v>10177</v>
      </c>
      <c r="J36" s="12">
        <f t="shared" si="6"/>
        <v>36557</v>
      </c>
      <c r="K36" s="12">
        <f t="shared" si="6"/>
        <v>-84874</v>
      </c>
      <c r="L36" s="12">
        <f t="shared" si="6"/>
        <v>8025</v>
      </c>
      <c r="M36" s="12">
        <f t="shared" si="6"/>
        <v>-10322</v>
      </c>
      <c r="N36" s="12">
        <f t="shared" si="6"/>
        <v>122284</v>
      </c>
      <c r="O36" s="12">
        <f t="shared" si="6"/>
        <v>104927</v>
      </c>
      <c r="P36" s="12">
        <f t="shared" si="6"/>
        <v>4017</v>
      </c>
      <c r="Q36" s="12">
        <f t="shared" si="6"/>
        <v>-67622</v>
      </c>
      <c r="R36" s="11">
        <f t="shared" si="6"/>
        <v>33871</v>
      </c>
      <c r="S36" s="250">
        <f>S15+S34</f>
        <v>13180.010000000009</v>
      </c>
      <c r="T36" s="191">
        <f>T15+T34</f>
        <v>1.0000000009313226E-2</v>
      </c>
      <c r="U36" s="217"/>
      <c r="V36" s="207"/>
    </row>
    <row r="37" spans="1:23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2"/>
      <c r="Q37" s="12"/>
      <c r="R37" s="11"/>
      <c r="S37" s="250"/>
      <c r="T37" s="191"/>
      <c r="U37" s="217"/>
      <c r="V37" s="207"/>
    </row>
    <row r="38" spans="1:23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1">
        <v>0</v>
      </c>
      <c r="S38" s="250">
        <v>0</v>
      </c>
      <c r="T38" s="191">
        <v>0</v>
      </c>
      <c r="U38" s="217"/>
      <c r="V38" s="206"/>
    </row>
    <row r="39" spans="1:23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2"/>
      <c r="R39" s="14"/>
      <c r="S39" s="251"/>
      <c r="T39" s="210"/>
      <c r="U39" s="272"/>
      <c r="V39" s="206"/>
    </row>
    <row r="40" spans="1:23" s="13" customFormat="1" ht="16.2" thickBot="1" x14ac:dyDescent="0.35">
      <c r="A40" s="7" t="s">
        <v>2557</v>
      </c>
      <c r="B40" s="39">
        <f t="shared" ref="B40:S40" si="7">+B38+B36</f>
        <v>-34674</v>
      </c>
      <c r="C40" s="39">
        <f t="shared" si="7"/>
        <v>76791</v>
      </c>
      <c r="D40" s="39">
        <f t="shared" si="7"/>
        <v>22713</v>
      </c>
      <c r="E40" s="39">
        <f t="shared" si="7"/>
        <v>-15009.140000000043</v>
      </c>
      <c r="F40" s="39">
        <f t="shared" si="7"/>
        <v>-35959.489999999991</v>
      </c>
      <c r="G40" s="39">
        <f t="shared" si="7"/>
        <v>-181974</v>
      </c>
      <c r="H40" s="39">
        <f t="shared" si="7"/>
        <v>13685</v>
      </c>
      <c r="I40" s="12">
        <f t="shared" si="7"/>
        <v>10177</v>
      </c>
      <c r="J40" s="12">
        <f>+J38+J36</f>
        <v>36557</v>
      </c>
      <c r="K40" s="12">
        <f t="shared" si="7"/>
        <v>-84874</v>
      </c>
      <c r="L40" s="12">
        <f t="shared" si="7"/>
        <v>8025</v>
      </c>
      <c r="M40" s="12">
        <f t="shared" si="7"/>
        <v>-10322</v>
      </c>
      <c r="N40" s="12">
        <f t="shared" si="7"/>
        <v>122284</v>
      </c>
      <c r="O40" s="12">
        <f t="shared" si="7"/>
        <v>104927</v>
      </c>
      <c r="P40" s="12">
        <f t="shared" si="7"/>
        <v>4017</v>
      </c>
      <c r="Q40" s="12">
        <f t="shared" si="7"/>
        <v>-67622</v>
      </c>
      <c r="R40" s="154">
        <f t="shared" si="7"/>
        <v>33871</v>
      </c>
      <c r="S40" s="252">
        <f t="shared" si="7"/>
        <v>13180.010000000009</v>
      </c>
      <c r="T40" s="192">
        <f>+T38+T36</f>
        <v>1.0000000009313226E-2</v>
      </c>
      <c r="U40" s="217"/>
      <c r="V40" s="208"/>
    </row>
    <row r="41" spans="1:23" s="13" customFormat="1" x14ac:dyDescent="0.3">
      <c r="A41" s="4"/>
      <c r="B41" s="4"/>
      <c r="C41" s="4"/>
      <c r="D41" s="4"/>
      <c r="E41" s="4"/>
      <c r="F41" s="4"/>
      <c r="G41" s="4"/>
      <c r="H41" s="4"/>
      <c r="S41" s="58"/>
      <c r="T41" s="58"/>
      <c r="U41" s="217"/>
      <c r="V41" s="155"/>
    </row>
    <row r="42" spans="1:23" x14ac:dyDescent="0.3">
      <c r="O42" s="13"/>
      <c r="Q42" s="99"/>
      <c r="R42" s="222"/>
      <c r="S42" s="207"/>
    </row>
    <row r="43" spans="1:23" x14ac:dyDescent="0.3">
      <c r="Q43" s="99"/>
      <c r="R43" s="222"/>
      <c r="S43" s="207"/>
      <c r="T43" s="222"/>
    </row>
    <row r="44" spans="1:23" x14ac:dyDescent="0.3">
      <c r="Q44" s="99"/>
      <c r="R44" s="99"/>
      <c r="S44" s="222"/>
    </row>
    <row r="45" spans="1:23" x14ac:dyDescent="0.3">
      <c r="Q45" s="99"/>
      <c r="R45" s="99"/>
      <c r="S45" s="207"/>
    </row>
    <row r="46" spans="1:23" x14ac:dyDescent="0.3">
      <c r="Q46" s="99"/>
      <c r="R46" s="99"/>
      <c r="S46" s="222"/>
    </row>
    <row r="47" spans="1:23" s="4" customFormat="1" x14ac:dyDescent="0.3">
      <c r="P47" s="1"/>
      <c r="Q47" s="269"/>
      <c r="R47" s="269"/>
      <c r="S47" s="222"/>
      <c r="U47" s="217"/>
      <c r="V47" s="155"/>
      <c r="W47" s="1"/>
    </row>
    <row r="48" spans="1:23" s="4" customFormat="1" x14ac:dyDescent="0.3">
      <c r="S48" s="99"/>
      <c r="U48" s="217"/>
      <c r="V48" s="155"/>
      <c r="W48" s="1"/>
    </row>
    <row r="49" spans="19:23" s="4" customFormat="1" x14ac:dyDescent="0.3">
      <c r="S49" s="99"/>
      <c r="U49" s="217"/>
      <c r="V49" s="155"/>
      <c r="W49" s="1"/>
    </row>
    <row r="50" spans="19:23" s="4" customFormat="1" x14ac:dyDescent="0.3">
      <c r="S50" s="99"/>
      <c r="U50" s="217"/>
      <c r="V50" s="155"/>
      <c r="W50" s="1"/>
    </row>
    <row r="51" spans="19:23" x14ac:dyDescent="0.3">
      <c r="S51" s="99"/>
    </row>
    <row r="52" spans="19:23" x14ac:dyDescent="0.3">
      <c r="S52" s="223"/>
    </row>
  </sheetData>
  <mergeCells count="2">
    <mergeCell ref="K1:M1"/>
    <mergeCell ref="N1:P1"/>
  </mergeCells>
  <pageMargins left="0.7" right="0.7" top="0.75" bottom="0.75" header="0.3" footer="0.3"/>
  <pageSetup paperSize="9" scale="5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30F8F-ABB5-4C53-8472-994820733EBF}">
  <sheetPr>
    <tabColor theme="5" tint="-0.249977111117893"/>
    <pageSetUpPr fitToPage="1"/>
  </sheetPr>
  <dimension ref="A1:W52"/>
  <sheetViews>
    <sheetView zoomScale="110" zoomScaleNormal="110" workbookViewId="0">
      <pane xSplit="1" ySplit="3" topLeftCell="N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2" width="16.44140625" style="1" hidden="1" customWidth="1"/>
    <col min="13" max="13" width="18" style="1" hidden="1" customWidth="1"/>
    <col min="14" max="18" width="16.44140625" style="1" customWidth="1"/>
    <col min="19" max="20" width="18.5546875" style="1" customWidth="1"/>
    <col min="21" max="21" width="27" style="217" customWidth="1"/>
    <col min="22" max="22" width="15.88671875" style="155" customWidth="1"/>
    <col min="23" max="16384" width="9.109375" style="1"/>
  </cols>
  <sheetData>
    <row r="1" spans="1:22" ht="31.8" thickBot="1" x14ac:dyDescent="0.65">
      <c r="A1" s="211" t="s">
        <v>486</v>
      </c>
      <c r="C1" s="224"/>
      <c r="D1" s="224"/>
      <c r="I1" s="4"/>
      <c r="J1" s="4"/>
      <c r="K1" s="289"/>
      <c r="L1" s="289"/>
      <c r="M1" s="289"/>
      <c r="N1" s="293" t="s">
        <v>487</v>
      </c>
      <c r="O1" s="293"/>
      <c r="P1" s="293"/>
    </row>
    <row r="2" spans="1:22" ht="16.2" thickBot="1" x14ac:dyDescent="0.35"/>
    <row r="3" spans="1:22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37">
        <v>2023</v>
      </c>
      <c r="R3" s="227">
        <v>2024</v>
      </c>
      <c r="S3" s="253" t="s">
        <v>809</v>
      </c>
      <c r="T3" s="240" t="s">
        <v>2701</v>
      </c>
      <c r="U3" s="270"/>
      <c r="V3" s="156"/>
    </row>
    <row r="4" spans="1:22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42"/>
      <c r="R4" s="110">
        <v>45550</v>
      </c>
      <c r="S4" s="110">
        <v>45657</v>
      </c>
      <c r="T4" s="209"/>
      <c r="U4" s="270"/>
      <c r="V4" s="156"/>
    </row>
    <row r="5" spans="1:22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56"/>
      <c r="R5" s="237"/>
      <c r="S5" s="111"/>
      <c r="T5" s="8"/>
    </row>
    <row r="6" spans="1:22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10">
        <v>225734</v>
      </c>
      <c r="Q6" s="10">
        <v>252983</v>
      </c>
      <c r="R6" s="9">
        <v>161115</v>
      </c>
      <c r="S6" s="249">
        <v>200000</v>
      </c>
      <c r="T6" s="190">
        <v>255000</v>
      </c>
      <c r="U6" s="217" t="s">
        <v>2605</v>
      </c>
    </row>
    <row r="7" spans="1:22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10">
        <v>187000</v>
      </c>
      <c r="Q7" s="10">
        <v>181250</v>
      </c>
      <c r="R7" s="9">
        <v>209075</v>
      </c>
      <c r="S7" s="249">
        <v>209075</v>
      </c>
      <c r="T7" s="190">
        <v>185000</v>
      </c>
      <c r="U7" s="236" t="s">
        <v>2756</v>
      </c>
    </row>
    <row r="8" spans="1:22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10">
        <v>83434</v>
      </c>
      <c r="Q8" s="10">
        <v>177917</v>
      </c>
      <c r="R8" s="9">
        <v>77793</v>
      </c>
      <c r="S8" s="249">
        <v>100000</v>
      </c>
      <c r="T8" s="190">
        <v>130000</v>
      </c>
      <c r="U8" s="236"/>
    </row>
    <row r="9" spans="1:22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10">
        <v>33422</v>
      </c>
      <c r="Q9" s="10">
        <v>14330</v>
      </c>
      <c r="R9" s="9">
        <v>15000</v>
      </c>
      <c r="S9" s="249">
        <v>15000</v>
      </c>
      <c r="T9" s="190">
        <v>15000</v>
      </c>
      <c r="U9" s="258" t="s">
        <v>2689</v>
      </c>
    </row>
    <row r="10" spans="1:22" ht="57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10">
        <v>109900</v>
      </c>
      <c r="Q10" s="10">
        <v>137850</v>
      </c>
      <c r="R10" s="9">
        <v>113000</v>
      </c>
      <c r="S10" s="249">
        <v>113000</v>
      </c>
      <c r="T10" s="190">
        <v>125000</v>
      </c>
      <c r="U10" s="236" t="s">
        <v>2735</v>
      </c>
    </row>
    <row r="11" spans="1:22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10">
        <v>145695</v>
      </c>
      <c r="Q11" s="10">
        <v>163300</v>
      </c>
      <c r="R11" s="9">
        <v>202480</v>
      </c>
      <c r="S11" s="249">
        <v>202480</v>
      </c>
      <c r="T11" s="190">
        <v>175500</v>
      </c>
    </row>
    <row r="12" spans="1:22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10"/>
      <c r="Q12" s="10"/>
      <c r="R12" s="9"/>
      <c r="S12" s="249">
        <v>0</v>
      </c>
      <c r="T12" s="190">
        <v>0</v>
      </c>
    </row>
    <row r="13" spans="1:22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10"/>
      <c r="Q13" s="10"/>
      <c r="R13" s="9"/>
      <c r="S13" s="249">
        <v>0</v>
      </c>
      <c r="T13" s="190">
        <v>0</v>
      </c>
    </row>
    <row r="14" spans="1:22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10">
        <v>46439</v>
      </c>
      <c r="Q14" s="10">
        <v>11035</v>
      </c>
      <c r="R14" s="9">
        <v>12628</v>
      </c>
      <c r="S14" s="249">
        <v>30000.01</v>
      </c>
      <c r="T14" s="190">
        <v>30000.01</v>
      </c>
      <c r="U14" s="236" t="s">
        <v>2706</v>
      </c>
    </row>
    <row r="15" spans="1:22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 t="shared" ref="L15:T15" si="2">SUM(L6:L14)</f>
        <v>602111</v>
      </c>
      <c r="M15" s="12">
        <f t="shared" si="2"/>
        <v>627974</v>
      </c>
      <c r="N15" s="12">
        <f t="shared" si="2"/>
        <v>667900</v>
      </c>
      <c r="O15" s="12">
        <f t="shared" si="2"/>
        <v>701882</v>
      </c>
      <c r="P15" s="12">
        <f t="shared" si="2"/>
        <v>831624</v>
      </c>
      <c r="Q15" s="12">
        <f t="shared" si="2"/>
        <v>938665</v>
      </c>
      <c r="R15" s="11">
        <f t="shared" si="2"/>
        <v>791091</v>
      </c>
      <c r="S15" s="250">
        <f t="shared" si="2"/>
        <v>869555.01</v>
      </c>
      <c r="T15" s="191">
        <f t="shared" si="2"/>
        <v>915500.01</v>
      </c>
    </row>
    <row r="16" spans="1:22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R16" s="111"/>
      <c r="S16" s="249"/>
      <c r="T16" s="190"/>
    </row>
    <row r="17" spans="1:23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R17" s="112"/>
      <c r="S17" s="249"/>
      <c r="T17" s="190"/>
      <c r="U17" s="271"/>
      <c r="V17" s="159"/>
    </row>
    <row r="18" spans="1:23" ht="46.2" customHeight="1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10">
        <v>-181432</v>
      </c>
      <c r="Q18" s="10">
        <v>-220492</v>
      </c>
      <c r="R18" s="9">
        <v>-83523</v>
      </c>
      <c r="S18" s="249">
        <v>-95000</v>
      </c>
      <c r="T18" s="190">
        <v>-190000</v>
      </c>
      <c r="U18" s="236" t="s">
        <v>2751</v>
      </c>
      <c r="V18" s="276" t="s">
        <v>2752</v>
      </c>
    </row>
    <row r="19" spans="1:23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10">
        <v>-133504</v>
      </c>
      <c r="Q19" s="10">
        <v>-140769</v>
      </c>
      <c r="R19" s="9">
        <v>-98666</v>
      </c>
      <c r="S19" s="249">
        <v>-125000</v>
      </c>
      <c r="T19" s="190">
        <v>-135000</v>
      </c>
      <c r="V19" s="197"/>
      <c r="W19" s="55"/>
    </row>
    <row r="20" spans="1:23" ht="21.6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10">
        <v>-519</v>
      </c>
      <c r="Q20" s="10">
        <v>-58306</v>
      </c>
      <c r="R20" s="9">
        <v>-16013</v>
      </c>
      <c r="S20" s="249">
        <v>-25000</v>
      </c>
      <c r="T20" s="190">
        <v>-20000</v>
      </c>
      <c r="U20" s="217" t="s">
        <v>2753</v>
      </c>
      <c r="V20" s="197"/>
    </row>
    <row r="21" spans="1:23" ht="21.6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10">
        <v>-29952</v>
      </c>
      <c r="Q21" s="10">
        <v>-42358</v>
      </c>
      <c r="R21" s="9">
        <v>-43155</v>
      </c>
      <c r="S21" s="249">
        <v>-45000</v>
      </c>
      <c r="T21" s="190">
        <v>-30000</v>
      </c>
      <c r="U21" s="217" t="s">
        <v>2736</v>
      </c>
      <c r="V21" s="197"/>
    </row>
    <row r="22" spans="1:23" ht="33.6" customHeight="1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10">
        <v>-92029</v>
      </c>
      <c r="Q22" s="10">
        <v>-99926</v>
      </c>
      <c r="R22" s="9">
        <v>-78435</v>
      </c>
      <c r="S22" s="249">
        <v>-95000</v>
      </c>
      <c r="T22" s="190">
        <v>-95000</v>
      </c>
      <c r="U22" s="217" t="s">
        <v>2754</v>
      </c>
      <c r="V22" s="197"/>
    </row>
    <row r="23" spans="1:23" ht="28.2" customHeight="1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10">
        <v>-79144</v>
      </c>
      <c r="Q23" s="10">
        <v>-104788</v>
      </c>
      <c r="R23" s="9">
        <v>-74032</v>
      </c>
      <c r="S23" s="249">
        <v>-90000</v>
      </c>
      <c r="T23" s="190">
        <v>-105000</v>
      </c>
      <c r="U23" s="236" t="s">
        <v>2755</v>
      </c>
      <c r="V23" s="197"/>
    </row>
    <row r="24" spans="1:23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10">
        <v>-1231</v>
      </c>
      <c r="Q24" s="10">
        <v>-13700</v>
      </c>
      <c r="R24" s="9">
        <v>-5378</v>
      </c>
      <c r="S24" s="249">
        <v>-10000</v>
      </c>
      <c r="T24" s="190">
        <v>-10000</v>
      </c>
      <c r="V24" s="197"/>
    </row>
    <row r="25" spans="1:23" ht="26.4" customHeight="1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10">
        <v>-22800</v>
      </c>
      <c r="Q25" s="10">
        <v>-34900</v>
      </c>
      <c r="R25" s="9">
        <v>-30165</v>
      </c>
      <c r="S25" s="249">
        <v>-35000</v>
      </c>
      <c r="T25" s="190">
        <v>-35000</v>
      </c>
      <c r="U25" s="217" t="s">
        <v>2748</v>
      </c>
      <c r="V25" s="197"/>
    </row>
    <row r="26" spans="1:23" ht="22.8" customHeight="1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10">
        <v>-30440</v>
      </c>
      <c r="Q26" s="10">
        <v>-32200</v>
      </c>
      <c r="R26" s="9">
        <v>-19300</v>
      </c>
      <c r="S26" s="249">
        <v>-25000</v>
      </c>
      <c r="T26" s="190">
        <v>-30000</v>
      </c>
      <c r="U26" s="217" t="s">
        <v>2741</v>
      </c>
      <c r="V26" s="197"/>
    </row>
    <row r="27" spans="1:23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10">
        <v>-5340</v>
      </c>
      <c r="Q27" s="10">
        <v>-4080</v>
      </c>
      <c r="R27" s="9">
        <v>-13800</v>
      </c>
      <c r="S27" s="249">
        <v>-13800</v>
      </c>
      <c r="T27" s="190">
        <v>-5000</v>
      </c>
      <c r="U27" s="217" t="s">
        <v>2749</v>
      </c>
      <c r="V27" s="197"/>
    </row>
    <row r="28" spans="1:23" ht="34.799999999999997" customHeight="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10">
        <f>-55750</f>
        <v>-55750</v>
      </c>
      <c r="Q28" s="10">
        <v>-66350</v>
      </c>
      <c r="R28" s="9">
        <v>-56775</v>
      </c>
      <c r="S28" s="249">
        <v>-60000</v>
      </c>
      <c r="T28" s="190">
        <v>-75000</v>
      </c>
      <c r="U28" s="217" t="s">
        <v>2750</v>
      </c>
      <c r="V28" s="197"/>
    </row>
    <row r="29" spans="1:23" ht="27" customHeight="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10">
        <f>-19000-4000</f>
        <v>-23000</v>
      </c>
      <c r="Q29" s="10">
        <v>-19850</v>
      </c>
      <c r="R29" s="9">
        <v>-23000</v>
      </c>
      <c r="S29" s="249">
        <v>-27000</v>
      </c>
      <c r="T29" s="190">
        <v>-20000</v>
      </c>
      <c r="U29" s="217" t="s">
        <v>2641</v>
      </c>
    </row>
    <row r="30" spans="1:23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10">
        <v>-500</v>
      </c>
      <c r="Q30" s="10">
        <v>-500</v>
      </c>
      <c r="R30" s="9">
        <v>-500</v>
      </c>
      <c r="S30" s="249">
        <v>-500</v>
      </c>
      <c r="T30" s="190">
        <v>-500</v>
      </c>
    </row>
    <row r="31" spans="1:23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10">
        <v>-166907</v>
      </c>
      <c r="Q31" s="10">
        <v>-161843</v>
      </c>
      <c r="R31" s="9">
        <v>-60018</v>
      </c>
      <c r="S31" s="249">
        <v>-200000</v>
      </c>
      <c r="T31" s="190">
        <v>-160000</v>
      </c>
      <c r="U31" s="217" t="s">
        <v>2738</v>
      </c>
      <c r="V31" s="197"/>
    </row>
    <row r="32" spans="1:23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10"/>
      <c r="Q32" s="10"/>
      <c r="R32" s="9"/>
      <c r="S32" s="249">
        <v>0</v>
      </c>
      <c r="T32" s="190">
        <v>0</v>
      </c>
      <c r="V32" s="197"/>
    </row>
    <row r="33" spans="1:23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10">
        <v>-5059</v>
      </c>
      <c r="Q33" s="10">
        <f>-750-1134-300-1094-78-365-350-711-1000-295-148</f>
        <v>-6225</v>
      </c>
      <c r="R33" s="9">
        <f>-750-65-1368-1000-308-1600-90-74-1368-187-130-75</f>
        <v>-7015</v>
      </c>
      <c r="S33" s="249">
        <v>-7500</v>
      </c>
      <c r="T33" s="190">
        <v>-5000</v>
      </c>
      <c r="U33" s="217" t="s">
        <v>2705</v>
      </c>
      <c r="V33" s="197"/>
    </row>
    <row r="34" spans="1:23" x14ac:dyDescent="0.3">
      <c r="A34" s="7" t="s">
        <v>2555</v>
      </c>
      <c r="B34" s="39">
        <f t="shared" ref="B34:R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2">
        <f t="shared" si="3"/>
        <v>-827607</v>
      </c>
      <c r="Q34" s="12">
        <f t="shared" ref="Q34" si="5">SUM(Q18:Q33)</f>
        <v>-1006287</v>
      </c>
      <c r="R34" s="11">
        <f t="shared" si="3"/>
        <v>-609775</v>
      </c>
      <c r="S34" s="250">
        <f>SUM(S18:S33)</f>
        <v>-853800</v>
      </c>
      <c r="T34" s="191">
        <f>SUM(T18:T33)</f>
        <v>-915500</v>
      </c>
      <c r="U34" s="272"/>
      <c r="V34" s="206"/>
    </row>
    <row r="35" spans="1:23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46"/>
      <c r="Q35" s="46"/>
      <c r="R35" s="113"/>
      <c r="S35" s="250"/>
      <c r="T35" s="191"/>
      <c r="V35" s="207"/>
    </row>
    <row r="36" spans="1:23" s="13" customFormat="1" ht="38.25" hidden="1" customHeight="1" x14ac:dyDescent="0.3">
      <c r="A36" s="7" t="s">
        <v>48</v>
      </c>
      <c r="B36" s="39">
        <f t="shared" ref="B36:R36" si="6">+B34+B15</f>
        <v>-24674</v>
      </c>
      <c r="C36" s="39">
        <f t="shared" si="6"/>
        <v>86791</v>
      </c>
      <c r="D36" s="39">
        <f t="shared" si="6"/>
        <v>32713</v>
      </c>
      <c r="E36" s="39">
        <f t="shared" si="6"/>
        <v>-5009.1400000000431</v>
      </c>
      <c r="F36" s="39">
        <f t="shared" si="6"/>
        <v>-25959.489999999991</v>
      </c>
      <c r="G36" s="39">
        <f t="shared" si="6"/>
        <v>-167525</v>
      </c>
      <c r="H36" s="39">
        <f t="shared" si="6"/>
        <v>13685</v>
      </c>
      <c r="I36" s="12">
        <f t="shared" si="6"/>
        <v>10177</v>
      </c>
      <c r="J36" s="12">
        <f t="shared" si="6"/>
        <v>36557</v>
      </c>
      <c r="K36" s="12">
        <f t="shared" si="6"/>
        <v>-84874</v>
      </c>
      <c r="L36" s="12">
        <f t="shared" si="6"/>
        <v>8025</v>
      </c>
      <c r="M36" s="12">
        <f t="shared" si="6"/>
        <v>-10322</v>
      </c>
      <c r="N36" s="12">
        <f t="shared" si="6"/>
        <v>122284</v>
      </c>
      <c r="O36" s="12">
        <f t="shared" si="6"/>
        <v>104927</v>
      </c>
      <c r="P36" s="12">
        <f t="shared" si="6"/>
        <v>4017</v>
      </c>
      <c r="Q36" s="12">
        <f t="shared" si="6"/>
        <v>-67622</v>
      </c>
      <c r="R36" s="11">
        <f t="shared" si="6"/>
        <v>181316</v>
      </c>
      <c r="S36" s="250">
        <f>S15+S34</f>
        <v>15755.010000000009</v>
      </c>
      <c r="T36" s="191">
        <f>T15+T34</f>
        <v>1.0000000009313226E-2</v>
      </c>
      <c r="U36" s="217"/>
      <c r="V36" s="207"/>
    </row>
    <row r="37" spans="1:23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2"/>
      <c r="Q37" s="12"/>
      <c r="R37" s="11"/>
      <c r="S37" s="250"/>
      <c r="T37" s="191"/>
      <c r="U37" s="217"/>
      <c r="V37" s="207"/>
    </row>
    <row r="38" spans="1:23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1">
        <v>0</v>
      </c>
      <c r="S38" s="250">
        <v>0</v>
      </c>
      <c r="T38" s="191">
        <v>0</v>
      </c>
      <c r="U38" s="217"/>
      <c r="V38" s="206"/>
    </row>
    <row r="39" spans="1:23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2"/>
      <c r="R39" s="14"/>
      <c r="S39" s="251"/>
      <c r="T39" s="210"/>
      <c r="U39" s="272"/>
      <c r="V39" s="206"/>
    </row>
    <row r="40" spans="1:23" s="13" customFormat="1" ht="16.2" thickBot="1" x14ac:dyDescent="0.35">
      <c r="A40" s="7" t="s">
        <v>2557</v>
      </c>
      <c r="B40" s="39">
        <f t="shared" ref="B40:S40" si="7">+B38+B36</f>
        <v>-34674</v>
      </c>
      <c r="C40" s="39">
        <f t="shared" si="7"/>
        <v>76791</v>
      </c>
      <c r="D40" s="39">
        <f t="shared" si="7"/>
        <v>22713</v>
      </c>
      <c r="E40" s="39">
        <f t="shared" si="7"/>
        <v>-15009.140000000043</v>
      </c>
      <c r="F40" s="39">
        <f t="shared" si="7"/>
        <v>-35959.489999999991</v>
      </c>
      <c r="G40" s="39">
        <f t="shared" si="7"/>
        <v>-181974</v>
      </c>
      <c r="H40" s="39">
        <f t="shared" si="7"/>
        <v>13685</v>
      </c>
      <c r="I40" s="12">
        <f t="shared" si="7"/>
        <v>10177</v>
      </c>
      <c r="J40" s="12">
        <f>+J38+J36</f>
        <v>36557</v>
      </c>
      <c r="K40" s="12">
        <f t="shared" si="7"/>
        <v>-84874</v>
      </c>
      <c r="L40" s="12">
        <f t="shared" si="7"/>
        <v>8025</v>
      </c>
      <c r="M40" s="12">
        <f t="shared" si="7"/>
        <v>-10322</v>
      </c>
      <c r="N40" s="12">
        <f t="shared" si="7"/>
        <v>122284</v>
      </c>
      <c r="O40" s="12">
        <f t="shared" si="7"/>
        <v>104927</v>
      </c>
      <c r="P40" s="12">
        <f t="shared" si="7"/>
        <v>4017</v>
      </c>
      <c r="Q40" s="12">
        <f t="shared" si="7"/>
        <v>-67622</v>
      </c>
      <c r="R40" s="154">
        <f t="shared" si="7"/>
        <v>181316</v>
      </c>
      <c r="S40" s="252">
        <f t="shared" si="7"/>
        <v>15755.010000000009</v>
      </c>
      <c r="T40" s="192">
        <f>+T38+T36</f>
        <v>1.0000000009313226E-2</v>
      </c>
      <c r="U40" s="217"/>
      <c r="V40" s="208"/>
    </row>
    <row r="41" spans="1:23" s="13" customFormat="1" x14ac:dyDescent="0.3">
      <c r="A41" s="4"/>
      <c r="B41" s="4"/>
      <c r="C41" s="4"/>
      <c r="D41" s="4"/>
      <c r="E41" s="4"/>
      <c r="F41" s="4"/>
      <c r="G41" s="4"/>
      <c r="H41" s="4"/>
      <c r="S41" s="58"/>
      <c r="T41" s="58"/>
      <c r="U41" s="217"/>
      <c r="V41" s="155"/>
    </row>
    <row r="42" spans="1:23" x14ac:dyDescent="0.3">
      <c r="O42" s="13"/>
      <c r="Q42" s="99"/>
      <c r="R42" s="222" t="s">
        <v>2742</v>
      </c>
      <c r="S42" s="207">
        <v>75200</v>
      </c>
    </row>
    <row r="43" spans="1:23" x14ac:dyDescent="0.3">
      <c r="Q43" s="99"/>
      <c r="R43" s="222" t="s">
        <v>2743</v>
      </c>
      <c r="S43" s="207">
        <v>65500</v>
      </c>
      <c r="T43" s="222" t="s">
        <v>2744</v>
      </c>
    </row>
    <row r="44" spans="1:23" x14ac:dyDescent="0.3">
      <c r="Q44" s="99"/>
      <c r="R44" s="99"/>
      <c r="S44" s="222"/>
    </row>
    <row r="45" spans="1:23" x14ac:dyDescent="0.3">
      <c r="Q45" s="99"/>
      <c r="R45" s="99"/>
      <c r="S45" s="207"/>
    </row>
    <row r="46" spans="1:23" x14ac:dyDescent="0.3">
      <c r="Q46" s="99"/>
      <c r="R46" s="99"/>
      <c r="S46" s="222"/>
    </row>
    <row r="47" spans="1:23" s="4" customFormat="1" x14ac:dyDescent="0.3">
      <c r="P47" s="1"/>
      <c r="Q47" s="269"/>
      <c r="R47" s="269"/>
      <c r="S47" s="222"/>
      <c r="U47" s="217"/>
      <c r="V47" s="155"/>
      <c r="W47" s="1"/>
    </row>
    <row r="48" spans="1:23" s="4" customFormat="1" x14ac:dyDescent="0.3">
      <c r="S48" s="99"/>
      <c r="U48" s="217"/>
      <c r="V48" s="155"/>
      <c r="W48" s="1"/>
    </row>
    <row r="49" spans="19:23" s="4" customFormat="1" x14ac:dyDescent="0.3">
      <c r="S49" s="99"/>
      <c r="U49" s="217"/>
      <c r="V49" s="155"/>
      <c r="W49" s="1"/>
    </row>
    <row r="50" spans="19:23" s="4" customFormat="1" x14ac:dyDescent="0.3">
      <c r="S50" s="99"/>
      <c r="U50" s="217"/>
      <c r="V50" s="155"/>
      <c r="W50" s="1"/>
    </row>
    <row r="51" spans="19:23" x14ac:dyDescent="0.3">
      <c r="S51" s="99"/>
    </row>
    <row r="52" spans="19:23" x14ac:dyDescent="0.3">
      <c r="S52" s="223"/>
    </row>
  </sheetData>
  <mergeCells count="2">
    <mergeCell ref="K1:M1"/>
    <mergeCell ref="N1:P1"/>
  </mergeCells>
  <pageMargins left="0.7" right="0.7" top="0.75" bottom="0.75" header="0.3" footer="0.3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88ECF-B3ED-4569-A71D-1DBFC140A69B}">
  <sheetPr>
    <tabColor theme="9" tint="-0.249977111117893"/>
    <pageSetUpPr fitToPage="1"/>
  </sheetPr>
  <dimension ref="A1:G33"/>
  <sheetViews>
    <sheetView workbookViewId="0"/>
  </sheetViews>
  <sheetFormatPr defaultColWidth="9.109375" defaultRowHeight="14.4" x14ac:dyDescent="0.3"/>
  <cols>
    <col min="1" max="1" width="9.109375" style="1"/>
    <col min="2" max="2" width="39.6640625" style="1" customWidth="1"/>
    <col min="3" max="5" width="13.6640625" style="1" customWidth="1"/>
    <col min="6" max="16384" width="9.109375" style="1"/>
  </cols>
  <sheetData>
    <row r="1" spans="1:7" ht="34.200000000000003" thickBot="1" x14ac:dyDescent="0.7">
      <c r="A1" s="193" t="s">
        <v>2913</v>
      </c>
      <c r="B1" s="194"/>
      <c r="C1" s="195"/>
      <c r="D1" s="195"/>
      <c r="E1" s="194"/>
    </row>
    <row r="2" spans="1:7" ht="18.75" customHeight="1" thickBot="1" x14ac:dyDescent="0.7">
      <c r="A2" s="135"/>
      <c r="B2" s="130"/>
      <c r="E2" s="136"/>
    </row>
    <row r="3" spans="1:7" ht="15" thickBot="1" x14ac:dyDescent="0.35">
      <c r="A3" s="124"/>
      <c r="C3" s="102" t="s">
        <v>0</v>
      </c>
      <c r="D3" s="102" t="s">
        <v>904</v>
      </c>
      <c r="E3" s="102" t="s">
        <v>2</v>
      </c>
    </row>
    <row r="4" spans="1:7" ht="15" thickBot="1" x14ac:dyDescent="0.35">
      <c r="A4" s="147" t="s">
        <v>905</v>
      </c>
      <c r="C4" s="103">
        <v>45658</v>
      </c>
      <c r="D4" s="104"/>
      <c r="E4" s="103">
        <v>46022</v>
      </c>
    </row>
    <row r="5" spans="1:7" x14ac:dyDescent="0.3">
      <c r="A5" s="124"/>
      <c r="E5" s="136"/>
    </row>
    <row r="6" spans="1:7" ht="15.6" x14ac:dyDescent="0.3">
      <c r="A6" s="146" t="s">
        <v>906</v>
      </c>
      <c r="E6" s="136"/>
    </row>
    <row r="7" spans="1:7" ht="15" thickBot="1" x14ac:dyDescent="0.35">
      <c r="A7" s="124"/>
      <c r="B7" s="1" t="s">
        <v>5</v>
      </c>
      <c r="C7" s="105">
        <v>0</v>
      </c>
      <c r="D7" s="105">
        <v>0</v>
      </c>
      <c r="E7" s="140">
        <v>0</v>
      </c>
    </row>
    <row r="8" spans="1:7" x14ac:dyDescent="0.3">
      <c r="A8" s="137" t="s">
        <v>907</v>
      </c>
      <c r="C8" s="106">
        <f>SUM(C7:C7)</f>
        <v>0</v>
      </c>
      <c r="D8" s="106">
        <f>SUM(D7:D7)</f>
        <v>0</v>
      </c>
      <c r="E8" s="141">
        <f>SUM(E7:E7)</f>
        <v>0</v>
      </c>
    </row>
    <row r="9" spans="1:7" x14ac:dyDescent="0.3">
      <c r="A9" s="124"/>
      <c r="C9" s="138"/>
      <c r="D9" s="138"/>
      <c r="E9" s="139"/>
    </row>
    <row r="10" spans="1:7" ht="15.6" x14ac:dyDescent="0.3">
      <c r="A10" s="146" t="s">
        <v>9</v>
      </c>
      <c r="C10" s="138"/>
      <c r="D10" s="138"/>
      <c r="E10" s="139"/>
    </row>
    <row r="11" spans="1:7" x14ac:dyDescent="0.3">
      <c r="A11" s="124"/>
      <c r="B11" s="55" t="s">
        <v>2432</v>
      </c>
      <c r="C11" s="138">
        <v>32831.24</v>
      </c>
      <c r="D11" s="273">
        <f>+E11-C11</f>
        <v>-1798.4599999999991</v>
      </c>
      <c r="E11" s="184">
        <v>31032.78</v>
      </c>
    </row>
    <row r="12" spans="1:7" ht="15" thickBot="1" x14ac:dyDescent="0.35">
      <c r="A12" s="124"/>
      <c r="B12" s="55" t="s">
        <v>2433</v>
      </c>
      <c r="C12" s="107">
        <v>231206.49</v>
      </c>
      <c r="D12" s="105">
        <f>+E12-C12</f>
        <v>73002.210000000021</v>
      </c>
      <c r="E12" s="142">
        <v>304208.7</v>
      </c>
      <c r="G12" s="2"/>
    </row>
    <row r="13" spans="1:7" x14ac:dyDescent="0.3">
      <c r="A13" s="137" t="s">
        <v>14</v>
      </c>
      <c r="C13" s="106">
        <f>SUM(C11:C12)</f>
        <v>264037.73</v>
      </c>
      <c r="D13" s="106">
        <f>SUM(D11:D12)</f>
        <v>71203.750000000029</v>
      </c>
      <c r="E13" s="141">
        <f>SUM(E11:E12)</f>
        <v>335241.48</v>
      </c>
    </row>
    <row r="14" spans="1:7" x14ac:dyDescent="0.3">
      <c r="A14" s="124"/>
      <c r="C14" s="138"/>
      <c r="D14" s="138"/>
      <c r="E14" s="139"/>
    </row>
    <row r="15" spans="1:7" ht="15.6" x14ac:dyDescent="0.3">
      <c r="A15" s="146" t="s">
        <v>911</v>
      </c>
      <c r="C15" s="138">
        <v>0</v>
      </c>
      <c r="D15" s="273"/>
      <c r="E15" s="184"/>
    </row>
    <row r="16" spans="1:7" ht="15" thickBot="1" x14ac:dyDescent="0.35">
      <c r="A16" s="124"/>
      <c r="B16" s="1" t="s">
        <v>911</v>
      </c>
      <c r="C16" s="105">
        <v>0</v>
      </c>
      <c r="D16" s="105">
        <f>+E16-C16</f>
        <v>1038</v>
      </c>
      <c r="E16" s="288">
        <v>1038</v>
      </c>
    </row>
    <row r="17" spans="1:5" x14ac:dyDescent="0.3">
      <c r="A17" s="137" t="s">
        <v>913</v>
      </c>
      <c r="C17" s="106">
        <f>SUM(C15:C16)</f>
        <v>0</v>
      </c>
      <c r="D17" s="106">
        <f>SUM(D16)</f>
        <v>1038</v>
      </c>
      <c r="E17" s="141">
        <f>SUM(E16)</f>
        <v>1038</v>
      </c>
    </row>
    <row r="18" spans="1:5" x14ac:dyDescent="0.3">
      <c r="A18" s="124"/>
      <c r="C18" s="138"/>
      <c r="D18" s="138"/>
      <c r="E18" s="139"/>
    </row>
    <row r="19" spans="1:5" s="58" customFormat="1" ht="15" thickBot="1" x14ac:dyDescent="0.35">
      <c r="A19" s="143" t="s">
        <v>15</v>
      </c>
      <c r="C19" s="108">
        <f>+C8+C13+C17</f>
        <v>264037.73</v>
      </c>
      <c r="D19" s="108">
        <f>+E19-C19</f>
        <v>72241.75</v>
      </c>
      <c r="E19" s="144">
        <f>+E8+E13+E17</f>
        <v>336279.48</v>
      </c>
    </row>
    <row r="20" spans="1:5" ht="15" thickTop="1" x14ac:dyDescent="0.3">
      <c r="A20" s="124"/>
      <c r="C20" s="138"/>
      <c r="D20" s="138"/>
      <c r="E20" s="139"/>
    </row>
    <row r="21" spans="1:5" x14ac:dyDescent="0.3">
      <c r="A21" s="124"/>
      <c r="C21" s="138"/>
      <c r="D21" s="138"/>
      <c r="E21" s="139"/>
    </row>
    <row r="22" spans="1:5" x14ac:dyDescent="0.3">
      <c r="A22" s="147" t="s">
        <v>923</v>
      </c>
      <c r="C22" s="138"/>
      <c r="D22" s="138"/>
      <c r="E22" s="139"/>
    </row>
    <row r="23" spans="1:5" x14ac:dyDescent="0.3">
      <c r="A23" s="124"/>
      <c r="C23" s="138"/>
      <c r="D23" s="138"/>
      <c r="E23" s="139"/>
    </row>
    <row r="24" spans="1:5" ht="15.6" x14ac:dyDescent="0.3">
      <c r="A24" s="146" t="s">
        <v>2461</v>
      </c>
      <c r="C24" s="138"/>
      <c r="D24" s="138"/>
      <c r="E24" s="139"/>
    </row>
    <row r="25" spans="1:5" ht="15" thickBot="1" x14ac:dyDescent="0.35">
      <c r="A25" s="122"/>
      <c r="B25" s="55" t="s">
        <v>2809</v>
      </c>
      <c r="C25" s="107">
        <v>10000</v>
      </c>
      <c r="D25" s="105">
        <f>+E25-C25</f>
        <v>58250</v>
      </c>
      <c r="E25" s="142">
        <v>68250</v>
      </c>
    </row>
    <row r="26" spans="1:5" x14ac:dyDescent="0.3">
      <c r="A26" s="137" t="s">
        <v>2462</v>
      </c>
      <c r="C26" s="106">
        <f>SUM(C25:C25)</f>
        <v>10000</v>
      </c>
      <c r="D26" s="106">
        <f>SUM(D25:D25)</f>
        <v>58250</v>
      </c>
      <c r="E26" s="141">
        <f>SUM(E25:E25)</f>
        <v>68250</v>
      </c>
    </row>
    <row r="27" spans="1:5" x14ac:dyDescent="0.3">
      <c r="A27" s="137"/>
      <c r="C27" s="106"/>
      <c r="D27" s="106"/>
      <c r="E27" s="141"/>
    </row>
    <row r="28" spans="1:5" ht="15.6" x14ac:dyDescent="0.3">
      <c r="A28" s="146" t="s">
        <v>8</v>
      </c>
      <c r="C28" s="138"/>
      <c r="D28" s="138"/>
      <c r="E28" s="139"/>
    </row>
    <row r="29" spans="1:5" ht="15" thickBot="1" x14ac:dyDescent="0.35">
      <c r="A29" s="124"/>
      <c r="B29" s="55" t="s">
        <v>8</v>
      </c>
      <c r="C29" s="105">
        <v>254037.73</v>
      </c>
      <c r="D29" s="105">
        <f>+E29-C29</f>
        <v>13991.749999999971</v>
      </c>
      <c r="E29" s="140">
        <v>268029.48</v>
      </c>
    </row>
    <row r="30" spans="1:5" x14ac:dyDescent="0.3">
      <c r="A30" s="137" t="s">
        <v>914</v>
      </c>
      <c r="C30" s="106">
        <f>SUM(C29:C29)</f>
        <v>254037.73</v>
      </c>
      <c r="D30" s="106">
        <f>SUM(D29:D29)</f>
        <v>13991.749999999971</v>
      </c>
      <c r="E30" s="141">
        <f>SUM(E29:E29)</f>
        <v>268029.48</v>
      </c>
    </row>
    <row r="31" spans="1:5" x14ac:dyDescent="0.3">
      <c r="A31" s="124"/>
      <c r="E31" s="136"/>
    </row>
    <row r="32" spans="1:5" s="58" customFormat="1" ht="15" thickBot="1" x14ac:dyDescent="0.35">
      <c r="A32" s="143" t="s">
        <v>915</v>
      </c>
      <c r="C32" s="108">
        <f>+C30+C26</f>
        <v>264037.73</v>
      </c>
      <c r="D32" s="108">
        <f>+D30+D26</f>
        <v>72241.749999999971</v>
      </c>
      <c r="E32" s="144">
        <f>+E30+E26</f>
        <v>336279.48</v>
      </c>
    </row>
    <row r="33" spans="1:5" ht="15.6" thickTop="1" thickBot="1" x14ac:dyDescent="0.35">
      <c r="A33" s="125"/>
      <c r="B33" s="126"/>
      <c r="C33" s="126"/>
      <c r="D33" s="126"/>
      <c r="E33" s="145"/>
    </row>
  </sheetData>
  <pageMargins left="1.18" right="0.7" top="0.75" bottom="0.75" header="0.3" footer="0.3"/>
  <pageSetup paperSize="9" scale="9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ADBB6-BC7F-4657-B405-F3CB01270BD6}">
  <sheetPr>
    <tabColor theme="5" tint="-0.249977111117893"/>
    <pageSetUpPr fitToPage="1"/>
  </sheetPr>
  <dimension ref="A1:W52"/>
  <sheetViews>
    <sheetView zoomScale="110" zoomScaleNormal="110" workbookViewId="0">
      <pane xSplit="1" ySplit="3" topLeftCell="N4" activePane="bottomRight" state="frozen"/>
      <selection pane="topRight" activeCell="B1" sqref="B1"/>
      <selection pane="bottomLeft" activeCell="A4" sqref="A4"/>
      <selection pane="bottomRight" activeCell="R4" sqref="R4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2" width="16.44140625" style="1" hidden="1" customWidth="1"/>
    <col min="13" max="13" width="18" style="1" hidden="1" customWidth="1"/>
    <col min="14" max="18" width="16.44140625" style="1" customWidth="1"/>
    <col min="19" max="20" width="18.5546875" style="1" customWidth="1"/>
    <col min="21" max="21" width="27" style="217" customWidth="1"/>
    <col min="22" max="22" width="15.88671875" style="155" customWidth="1"/>
    <col min="23" max="16384" width="9.109375" style="1"/>
  </cols>
  <sheetData>
    <row r="1" spans="1:22" ht="31.8" thickBot="1" x14ac:dyDescent="0.65">
      <c r="A1" s="211" t="s">
        <v>486</v>
      </c>
      <c r="C1" s="224"/>
      <c r="D1" s="224"/>
      <c r="I1" s="4"/>
      <c r="J1" s="4"/>
      <c r="K1" s="289"/>
      <c r="L1" s="289"/>
      <c r="M1" s="289"/>
      <c r="N1" s="293" t="s">
        <v>487</v>
      </c>
      <c r="O1" s="293"/>
      <c r="P1" s="293"/>
    </row>
    <row r="2" spans="1:22" ht="16.2" thickBot="1" x14ac:dyDescent="0.35"/>
    <row r="3" spans="1:22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37">
        <v>2023</v>
      </c>
      <c r="R3" s="227">
        <v>2024</v>
      </c>
      <c r="S3" s="253" t="s">
        <v>809</v>
      </c>
      <c r="T3" s="240" t="s">
        <v>2701</v>
      </c>
      <c r="U3" s="270"/>
      <c r="V3" s="156"/>
    </row>
    <row r="4" spans="1:22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42"/>
      <c r="R4" s="110">
        <v>45532</v>
      </c>
      <c r="S4" s="110">
        <v>45657</v>
      </c>
      <c r="T4" s="209"/>
      <c r="U4" s="270"/>
      <c r="V4" s="156"/>
    </row>
    <row r="5" spans="1:22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56"/>
      <c r="R5" s="237"/>
      <c r="S5" s="111"/>
      <c r="T5" s="8"/>
    </row>
    <row r="6" spans="1:22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10">
        <v>225734</v>
      </c>
      <c r="Q6" s="10">
        <v>252983</v>
      </c>
      <c r="R6" s="9">
        <v>78225</v>
      </c>
      <c r="S6" s="249">
        <v>200000</v>
      </c>
      <c r="T6" s="190">
        <v>255000</v>
      </c>
      <c r="U6" s="217" t="s">
        <v>2605</v>
      </c>
    </row>
    <row r="7" spans="1:22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10">
        <v>187000</v>
      </c>
      <c r="Q7" s="10">
        <v>181250</v>
      </c>
      <c r="R7" s="9">
        <v>208800</v>
      </c>
      <c r="S7" s="249">
        <v>208800</v>
      </c>
      <c r="T7" s="190">
        <v>185000</v>
      </c>
      <c r="U7" s="236" t="s">
        <v>2728</v>
      </c>
    </row>
    <row r="8" spans="1:22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10">
        <v>83434</v>
      </c>
      <c r="Q8" s="10">
        <v>177917</v>
      </c>
      <c r="R8" s="9">
        <v>72250</v>
      </c>
      <c r="S8" s="249">
        <v>110000</v>
      </c>
      <c r="T8" s="190">
        <v>130000</v>
      </c>
      <c r="U8" s="236" t="s">
        <v>2702</v>
      </c>
    </row>
    <row r="9" spans="1:22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10">
        <v>33422</v>
      </c>
      <c r="Q9" s="10">
        <v>14330</v>
      </c>
      <c r="R9" s="9">
        <v>15000</v>
      </c>
      <c r="S9" s="249">
        <v>15000</v>
      </c>
      <c r="T9" s="190">
        <v>15000</v>
      </c>
      <c r="U9" s="258" t="s">
        <v>2689</v>
      </c>
    </row>
    <row r="10" spans="1:22" ht="57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10">
        <v>109900</v>
      </c>
      <c r="Q10" s="10">
        <v>137850</v>
      </c>
      <c r="R10" s="9">
        <v>113000</v>
      </c>
      <c r="S10" s="249">
        <v>113000</v>
      </c>
      <c r="T10" s="190">
        <v>125000</v>
      </c>
      <c r="U10" s="236" t="s">
        <v>2735</v>
      </c>
    </row>
    <row r="11" spans="1:22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10">
        <v>145695</v>
      </c>
      <c r="Q11" s="10">
        <v>163300</v>
      </c>
      <c r="R11" s="9">
        <v>202480</v>
      </c>
      <c r="S11" s="249">
        <v>202480</v>
      </c>
      <c r="T11" s="190">
        <v>175500</v>
      </c>
    </row>
    <row r="12" spans="1:22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10"/>
      <c r="Q12" s="10"/>
      <c r="R12" s="9"/>
      <c r="S12" s="249">
        <v>0</v>
      </c>
      <c r="T12" s="190">
        <v>0</v>
      </c>
    </row>
    <row r="13" spans="1:22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10"/>
      <c r="Q13" s="10"/>
      <c r="R13" s="9"/>
      <c r="S13" s="249">
        <v>0</v>
      </c>
      <c r="T13" s="190">
        <v>0</v>
      </c>
    </row>
    <row r="14" spans="1:22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10">
        <v>46439</v>
      </c>
      <c r="Q14" s="10">
        <v>11035</v>
      </c>
      <c r="R14" s="9">
        <v>12628</v>
      </c>
      <c r="S14" s="249">
        <v>30000.01</v>
      </c>
      <c r="T14" s="190">
        <v>30000.01</v>
      </c>
      <c r="U14" s="236" t="s">
        <v>2706</v>
      </c>
    </row>
    <row r="15" spans="1:22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 t="shared" ref="L15:T15" si="2">SUM(L6:L14)</f>
        <v>602111</v>
      </c>
      <c r="M15" s="12">
        <f t="shared" si="2"/>
        <v>627974</v>
      </c>
      <c r="N15" s="12">
        <f t="shared" si="2"/>
        <v>667900</v>
      </c>
      <c r="O15" s="12">
        <f t="shared" si="2"/>
        <v>701882</v>
      </c>
      <c r="P15" s="12">
        <f t="shared" si="2"/>
        <v>831624</v>
      </c>
      <c r="Q15" s="12">
        <f t="shared" si="2"/>
        <v>938665</v>
      </c>
      <c r="R15" s="11">
        <f t="shared" si="2"/>
        <v>702383</v>
      </c>
      <c r="S15" s="250">
        <f t="shared" si="2"/>
        <v>879280.01</v>
      </c>
      <c r="T15" s="191">
        <f t="shared" si="2"/>
        <v>915500.01</v>
      </c>
    </row>
    <row r="16" spans="1:22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R16" s="111"/>
      <c r="S16" s="249"/>
      <c r="T16" s="190"/>
    </row>
    <row r="17" spans="1:23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R17" s="112"/>
      <c r="S17" s="249"/>
      <c r="T17" s="190"/>
      <c r="U17" s="271"/>
      <c r="V17" s="159"/>
    </row>
    <row r="18" spans="1:23" ht="46.2" customHeight="1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10">
        <v>-181432</v>
      </c>
      <c r="Q18" s="10">
        <v>-220492</v>
      </c>
      <c r="R18" s="9">
        <v>-73808</v>
      </c>
      <c r="S18" s="249">
        <v>-100000</v>
      </c>
      <c r="T18" s="190">
        <v>-190000</v>
      </c>
      <c r="U18" s="236" t="s">
        <v>2746</v>
      </c>
      <c r="V18" s="276" t="s">
        <v>2745</v>
      </c>
    </row>
    <row r="19" spans="1:23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10">
        <v>-133504</v>
      </c>
      <c r="Q19" s="10">
        <v>-140769</v>
      </c>
      <c r="R19" s="9">
        <v>-85693</v>
      </c>
      <c r="S19" s="249">
        <v>-135000</v>
      </c>
      <c r="T19" s="190">
        <v>-135000</v>
      </c>
      <c r="V19" s="197"/>
      <c r="W19" s="55"/>
    </row>
    <row r="20" spans="1:23" ht="21.6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10">
        <v>-519</v>
      </c>
      <c r="Q20" s="10">
        <v>-58306</v>
      </c>
      <c r="R20" s="9">
        <v>-1544</v>
      </c>
      <c r="S20" s="249">
        <v>-30000</v>
      </c>
      <c r="T20" s="190">
        <v>-20000</v>
      </c>
      <c r="U20" s="217" t="s">
        <v>2720</v>
      </c>
      <c r="V20" s="197"/>
    </row>
    <row r="21" spans="1:23" ht="21.6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10">
        <v>-29952</v>
      </c>
      <c r="Q21" s="10">
        <v>-42358</v>
      </c>
      <c r="R21" s="9">
        <v>-43155</v>
      </c>
      <c r="S21" s="249">
        <v>-45000</v>
      </c>
      <c r="T21" s="190">
        <v>-30000</v>
      </c>
      <c r="U21" s="217" t="s">
        <v>2736</v>
      </c>
      <c r="V21" s="197"/>
    </row>
    <row r="22" spans="1:23" ht="33.6" customHeight="1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10">
        <v>-92029</v>
      </c>
      <c r="Q22" s="10">
        <v>-99926</v>
      </c>
      <c r="R22" s="9">
        <v>-69060</v>
      </c>
      <c r="S22" s="249">
        <v>-90000</v>
      </c>
      <c r="T22" s="190">
        <v>-95000</v>
      </c>
      <c r="U22" s="217" t="s">
        <v>2737</v>
      </c>
      <c r="V22" s="197"/>
    </row>
    <row r="23" spans="1:23" ht="28.2" customHeight="1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10">
        <v>-79144</v>
      </c>
      <c r="Q23" s="10">
        <v>-104788</v>
      </c>
      <c r="R23" s="9">
        <v>-59672</v>
      </c>
      <c r="S23" s="249">
        <v>-85000</v>
      </c>
      <c r="T23" s="190">
        <v>-105000</v>
      </c>
      <c r="U23" s="236" t="s">
        <v>2740</v>
      </c>
      <c r="V23" s="197"/>
    </row>
    <row r="24" spans="1:23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10">
        <v>-1231</v>
      </c>
      <c r="Q24" s="10">
        <v>-13700</v>
      </c>
      <c r="R24" s="9">
        <v>-5378</v>
      </c>
      <c r="S24" s="249">
        <v>-10000</v>
      </c>
      <c r="T24" s="190">
        <v>-10000</v>
      </c>
      <c r="V24" s="197"/>
    </row>
    <row r="25" spans="1:23" ht="26.4" customHeight="1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10">
        <v>-22800</v>
      </c>
      <c r="Q25" s="10">
        <v>-34900</v>
      </c>
      <c r="R25" s="9">
        <v>-19365</v>
      </c>
      <c r="S25" s="249">
        <v>-30000</v>
      </c>
      <c r="T25" s="190">
        <v>-35000</v>
      </c>
      <c r="U25" s="217" t="s">
        <v>2739</v>
      </c>
      <c r="V25" s="197"/>
    </row>
    <row r="26" spans="1:23" ht="22.8" customHeight="1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10">
        <v>-30440</v>
      </c>
      <c r="Q26" s="10">
        <v>-32200</v>
      </c>
      <c r="R26" s="9">
        <v>-19300</v>
      </c>
      <c r="S26" s="249">
        <v>-25000</v>
      </c>
      <c r="T26" s="190">
        <v>-30000</v>
      </c>
      <c r="U26" s="217" t="s">
        <v>2741</v>
      </c>
      <c r="V26" s="197"/>
    </row>
    <row r="27" spans="1:23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10">
        <v>-5340</v>
      </c>
      <c r="Q27" s="10">
        <v>-4080</v>
      </c>
      <c r="R27" s="9">
        <v>-6800</v>
      </c>
      <c r="S27" s="249">
        <v>-8000</v>
      </c>
      <c r="T27" s="190">
        <v>-5000</v>
      </c>
      <c r="U27" s="217" t="s">
        <v>2722</v>
      </c>
      <c r="V27" s="197"/>
    </row>
    <row r="28" spans="1:23" ht="34.799999999999997" customHeight="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10">
        <f>-55750</f>
        <v>-55750</v>
      </c>
      <c r="Q28" s="10">
        <v>-66350</v>
      </c>
      <c r="R28" s="9">
        <v>-56675</v>
      </c>
      <c r="S28" s="249">
        <v>-75000</v>
      </c>
      <c r="T28" s="190">
        <v>-75000</v>
      </c>
      <c r="U28" s="217" t="s">
        <v>2747</v>
      </c>
      <c r="V28" s="197"/>
    </row>
    <row r="29" spans="1:23" ht="27" customHeight="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10">
        <f>-19000-4000</f>
        <v>-23000</v>
      </c>
      <c r="Q29" s="10">
        <v>-19850</v>
      </c>
      <c r="R29" s="9">
        <v>-23000</v>
      </c>
      <c r="S29" s="249">
        <v>-23000</v>
      </c>
      <c r="T29" s="190">
        <v>-20000</v>
      </c>
      <c r="U29" s="217" t="s">
        <v>2641</v>
      </c>
    </row>
    <row r="30" spans="1:23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10">
        <v>-500</v>
      </c>
      <c r="Q30" s="10">
        <v>-500</v>
      </c>
      <c r="R30" s="9">
        <v>-500</v>
      </c>
      <c r="S30" s="249">
        <v>-500</v>
      </c>
      <c r="T30" s="190">
        <v>-500</v>
      </c>
    </row>
    <row r="31" spans="1:23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10">
        <v>-166907</v>
      </c>
      <c r="Q31" s="10">
        <v>-161843</v>
      </c>
      <c r="R31" s="9">
        <v>-60018</v>
      </c>
      <c r="S31" s="249">
        <v>-200000</v>
      </c>
      <c r="T31" s="190">
        <v>-160000</v>
      </c>
      <c r="U31" s="217" t="s">
        <v>2738</v>
      </c>
      <c r="V31" s="197"/>
    </row>
    <row r="32" spans="1:23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10"/>
      <c r="Q32" s="10"/>
      <c r="R32" s="9"/>
      <c r="S32" s="249">
        <v>0</v>
      </c>
      <c r="T32" s="190">
        <v>0</v>
      </c>
      <c r="V32" s="197"/>
    </row>
    <row r="33" spans="1:23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10">
        <v>-5059</v>
      </c>
      <c r="Q33" s="10">
        <f>-750-1134-300-1094-78-365-350-711-1000-295-148</f>
        <v>-6225</v>
      </c>
      <c r="R33" s="9">
        <f>-750-65-1368-1000-308-1600-90-74-1368-187-130-75</f>
        <v>-7015</v>
      </c>
      <c r="S33" s="249">
        <v>-7500</v>
      </c>
      <c r="T33" s="190">
        <v>-5000</v>
      </c>
      <c r="U33" s="217" t="s">
        <v>2705</v>
      </c>
      <c r="V33" s="197"/>
    </row>
    <row r="34" spans="1:23" x14ac:dyDescent="0.3">
      <c r="A34" s="7" t="s">
        <v>2555</v>
      </c>
      <c r="B34" s="39">
        <f t="shared" ref="B34:R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2">
        <f t="shared" si="3"/>
        <v>-827607</v>
      </c>
      <c r="Q34" s="12">
        <f t="shared" ref="Q34" si="5">SUM(Q18:Q33)</f>
        <v>-1006287</v>
      </c>
      <c r="R34" s="11">
        <f t="shared" si="3"/>
        <v>-530983</v>
      </c>
      <c r="S34" s="250">
        <f>SUM(S18:S33)</f>
        <v>-864000</v>
      </c>
      <c r="T34" s="191">
        <f>SUM(T18:T33)</f>
        <v>-915500</v>
      </c>
      <c r="U34" s="272"/>
      <c r="V34" s="206"/>
    </row>
    <row r="35" spans="1:23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46"/>
      <c r="Q35" s="46"/>
      <c r="R35" s="113"/>
      <c r="S35" s="250"/>
      <c r="T35" s="191"/>
      <c r="V35" s="207"/>
    </row>
    <row r="36" spans="1:23" s="13" customFormat="1" ht="38.25" hidden="1" customHeight="1" x14ac:dyDescent="0.3">
      <c r="A36" s="7" t="s">
        <v>48</v>
      </c>
      <c r="B36" s="39">
        <f t="shared" ref="B36:R36" si="6">+B34+B15</f>
        <v>-24674</v>
      </c>
      <c r="C36" s="39">
        <f t="shared" si="6"/>
        <v>86791</v>
      </c>
      <c r="D36" s="39">
        <f t="shared" si="6"/>
        <v>32713</v>
      </c>
      <c r="E36" s="39">
        <f t="shared" si="6"/>
        <v>-5009.1400000000431</v>
      </c>
      <c r="F36" s="39">
        <f t="shared" si="6"/>
        <v>-25959.489999999991</v>
      </c>
      <c r="G36" s="39">
        <f t="shared" si="6"/>
        <v>-167525</v>
      </c>
      <c r="H36" s="39">
        <f t="shared" si="6"/>
        <v>13685</v>
      </c>
      <c r="I36" s="12">
        <f t="shared" si="6"/>
        <v>10177</v>
      </c>
      <c r="J36" s="12">
        <f t="shared" si="6"/>
        <v>36557</v>
      </c>
      <c r="K36" s="12">
        <f t="shared" si="6"/>
        <v>-84874</v>
      </c>
      <c r="L36" s="12">
        <f t="shared" si="6"/>
        <v>8025</v>
      </c>
      <c r="M36" s="12">
        <f t="shared" si="6"/>
        <v>-10322</v>
      </c>
      <c r="N36" s="12">
        <f t="shared" si="6"/>
        <v>122284</v>
      </c>
      <c r="O36" s="12">
        <f t="shared" si="6"/>
        <v>104927</v>
      </c>
      <c r="P36" s="12">
        <f t="shared" si="6"/>
        <v>4017</v>
      </c>
      <c r="Q36" s="12">
        <f t="shared" si="6"/>
        <v>-67622</v>
      </c>
      <c r="R36" s="11">
        <f t="shared" si="6"/>
        <v>171400</v>
      </c>
      <c r="S36" s="250">
        <f>S15+S34</f>
        <v>15280.010000000009</v>
      </c>
      <c r="T36" s="191">
        <f>T15+T34</f>
        <v>1.0000000009313226E-2</v>
      </c>
      <c r="U36" s="217"/>
      <c r="V36" s="207"/>
    </row>
    <row r="37" spans="1:23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2"/>
      <c r="Q37" s="12"/>
      <c r="R37" s="11"/>
      <c r="S37" s="250"/>
      <c r="T37" s="191"/>
      <c r="U37" s="217"/>
      <c r="V37" s="207"/>
    </row>
    <row r="38" spans="1:23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1">
        <v>0</v>
      </c>
      <c r="S38" s="250">
        <v>0</v>
      </c>
      <c r="T38" s="191">
        <v>0</v>
      </c>
      <c r="U38" s="217"/>
      <c r="V38" s="206"/>
    </row>
    <row r="39" spans="1:23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2"/>
      <c r="R39" s="14"/>
      <c r="S39" s="251"/>
      <c r="T39" s="210"/>
      <c r="U39" s="272"/>
      <c r="V39" s="206"/>
    </row>
    <row r="40" spans="1:23" s="13" customFormat="1" ht="16.2" thickBot="1" x14ac:dyDescent="0.35">
      <c r="A40" s="7" t="s">
        <v>2557</v>
      </c>
      <c r="B40" s="39">
        <f t="shared" ref="B40:S40" si="7">+B38+B36</f>
        <v>-34674</v>
      </c>
      <c r="C40" s="39">
        <f t="shared" si="7"/>
        <v>76791</v>
      </c>
      <c r="D40" s="39">
        <f t="shared" si="7"/>
        <v>22713</v>
      </c>
      <c r="E40" s="39">
        <f t="shared" si="7"/>
        <v>-15009.140000000043</v>
      </c>
      <c r="F40" s="39">
        <f t="shared" si="7"/>
        <v>-35959.489999999991</v>
      </c>
      <c r="G40" s="39">
        <f t="shared" si="7"/>
        <v>-181974</v>
      </c>
      <c r="H40" s="39">
        <f t="shared" si="7"/>
        <v>13685</v>
      </c>
      <c r="I40" s="12">
        <f t="shared" si="7"/>
        <v>10177</v>
      </c>
      <c r="J40" s="12">
        <f>+J38+J36</f>
        <v>36557</v>
      </c>
      <c r="K40" s="12">
        <f t="shared" si="7"/>
        <v>-84874</v>
      </c>
      <c r="L40" s="12">
        <f t="shared" si="7"/>
        <v>8025</v>
      </c>
      <c r="M40" s="12">
        <f t="shared" si="7"/>
        <v>-10322</v>
      </c>
      <c r="N40" s="12">
        <f t="shared" si="7"/>
        <v>122284</v>
      </c>
      <c r="O40" s="12">
        <f t="shared" si="7"/>
        <v>104927</v>
      </c>
      <c r="P40" s="12">
        <f t="shared" si="7"/>
        <v>4017</v>
      </c>
      <c r="Q40" s="12">
        <f t="shared" si="7"/>
        <v>-67622</v>
      </c>
      <c r="R40" s="154">
        <f t="shared" si="7"/>
        <v>171400</v>
      </c>
      <c r="S40" s="252">
        <f t="shared" si="7"/>
        <v>15280.010000000009</v>
      </c>
      <c r="T40" s="192">
        <f>+T38+T36</f>
        <v>1.0000000009313226E-2</v>
      </c>
      <c r="U40" s="217"/>
      <c r="V40" s="208"/>
    </row>
    <row r="41" spans="1:23" s="13" customFormat="1" x14ac:dyDescent="0.3">
      <c r="A41" s="4"/>
      <c r="B41" s="4"/>
      <c r="C41" s="4"/>
      <c r="D41" s="4"/>
      <c r="E41" s="4"/>
      <c r="F41" s="4"/>
      <c r="G41" s="4"/>
      <c r="H41" s="4"/>
      <c r="S41" s="58"/>
      <c r="T41" s="58"/>
      <c r="U41" s="217"/>
      <c r="V41" s="155"/>
    </row>
    <row r="42" spans="1:23" x14ac:dyDescent="0.3">
      <c r="O42" s="13"/>
      <c r="Q42" s="99"/>
      <c r="R42" s="222" t="s">
        <v>2742</v>
      </c>
      <c r="S42" s="207">
        <v>75200</v>
      </c>
    </row>
    <row r="43" spans="1:23" x14ac:dyDescent="0.3">
      <c r="Q43" s="99"/>
      <c r="R43" s="222" t="s">
        <v>2743</v>
      </c>
      <c r="S43" s="207">
        <v>65500</v>
      </c>
      <c r="T43" s="222" t="s">
        <v>2744</v>
      </c>
    </row>
    <row r="44" spans="1:23" x14ac:dyDescent="0.3">
      <c r="Q44" s="99"/>
      <c r="R44" s="99"/>
      <c r="S44" s="222"/>
    </row>
    <row r="45" spans="1:23" x14ac:dyDescent="0.3">
      <c r="Q45" s="99"/>
      <c r="R45" s="99"/>
      <c r="S45" s="207"/>
    </row>
    <row r="46" spans="1:23" x14ac:dyDescent="0.3">
      <c r="Q46" s="99"/>
      <c r="R46" s="99"/>
      <c r="S46" s="222"/>
    </row>
    <row r="47" spans="1:23" s="4" customFormat="1" x14ac:dyDescent="0.3">
      <c r="P47" s="1"/>
      <c r="Q47" s="269"/>
      <c r="R47" s="269"/>
      <c r="S47" s="222"/>
      <c r="U47" s="217"/>
      <c r="V47" s="155"/>
      <c r="W47" s="1"/>
    </row>
    <row r="48" spans="1:23" s="4" customFormat="1" x14ac:dyDescent="0.3">
      <c r="S48" s="99"/>
      <c r="U48" s="217"/>
      <c r="V48" s="155"/>
      <c r="W48" s="1"/>
    </row>
    <row r="49" spans="19:23" s="4" customFormat="1" x14ac:dyDescent="0.3">
      <c r="S49" s="99"/>
      <c r="U49" s="217"/>
      <c r="V49" s="155"/>
      <c r="W49" s="1"/>
    </row>
    <row r="50" spans="19:23" s="4" customFormat="1" x14ac:dyDescent="0.3">
      <c r="S50" s="99"/>
      <c r="U50" s="217"/>
      <c r="V50" s="155"/>
      <c r="W50" s="1"/>
    </row>
    <row r="51" spans="19:23" x14ac:dyDescent="0.3">
      <c r="S51" s="99"/>
    </row>
    <row r="52" spans="19:23" x14ac:dyDescent="0.3">
      <c r="S52" s="223"/>
    </row>
  </sheetData>
  <mergeCells count="2">
    <mergeCell ref="K1:M1"/>
    <mergeCell ref="N1:P1"/>
  </mergeCells>
  <pageMargins left="0.7" right="0.7" top="0.75" bottom="0.75" header="0.3" footer="0.3"/>
  <pageSetup paperSize="9" scale="58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BE776-D6EC-482F-9F9A-1D1F43B439BB}">
  <sheetPr>
    <tabColor theme="5" tint="-0.249977111117893"/>
    <pageSetUpPr fitToPage="1"/>
  </sheetPr>
  <dimension ref="A1:W52"/>
  <sheetViews>
    <sheetView zoomScale="110" zoomScaleNormal="110" workbookViewId="0">
      <pane xSplit="1" ySplit="3" topLeftCell="N24" activePane="bottomRight" state="frozen"/>
      <selection pane="topRight" activeCell="B1" sqref="B1"/>
      <selection pane="bottomLeft" activeCell="A4" sqref="A4"/>
      <selection pane="bottomRight" activeCell="S28" sqref="S28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2" width="16.44140625" style="1" hidden="1" customWidth="1"/>
    <col min="13" max="13" width="18" style="1" hidden="1" customWidth="1"/>
    <col min="14" max="18" width="16.44140625" style="1" customWidth="1"/>
    <col min="19" max="20" width="18.5546875" style="1" customWidth="1"/>
    <col min="21" max="21" width="27" style="217" customWidth="1"/>
    <col min="22" max="22" width="15.88671875" style="155" customWidth="1"/>
    <col min="23" max="16384" width="9.109375" style="1"/>
  </cols>
  <sheetData>
    <row r="1" spans="1:22" ht="31.8" thickBot="1" x14ac:dyDescent="0.65">
      <c r="A1" s="211" t="s">
        <v>486</v>
      </c>
      <c r="C1" s="224"/>
      <c r="D1" s="224"/>
      <c r="I1" s="4"/>
      <c r="J1" s="4"/>
      <c r="K1" s="289"/>
      <c r="L1" s="289"/>
      <c r="M1" s="289"/>
      <c r="N1" s="293" t="s">
        <v>487</v>
      </c>
      <c r="O1" s="293"/>
      <c r="P1" s="293"/>
    </row>
    <row r="2" spans="1:22" ht="16.2" thickBot="1" x14ac:dyDescent="0.35"/>
    <row r="3" spans="1:22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37">
        <v>2023</v>
      </c>
      <c r="R3" s="227">
        <v>2024</v>
      </c>
      <c r="S3" s="253" t="s">
        <v>809</v>
      </c>
      <c r="T3" s="240" t="s">
        <v>2701</v>
      </c>
      <c r="U3" s="270"/>
      <c r="V3" s="156"/>
    </row>
    <row r="4" spans="1:22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42"/>
      <c r="R4" s="110">
        <v>45448</v>
      </c>
      <c r="S4" s="110">
        <v>45657</v>
      </c>
      <c r="T4" s="209"/>
      <c r="U4" s="270"/>
      <c r="V4" s="156"/>
    </row>
    <row r="5" spans="1:22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56"/>
      <c r="R5" s="237"/>
      <c r="S5" s="111"/>
      <c r="T5" s="8"/>
    </row>
    <row r="6" spans="1:22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10">
        <v>225734</v>
      </c>
      <c r="Q6" s="10">
        <v>252983</v>
      </c>
      <c r="R6" s="9">
        <v>78225</v>
      </c>
      <c r="S6" s="249">
        <v>225000</v>
      </c>
      <c r="T6" s="190">
        <v>255000</v>
      </c>
      <c r="U6" s="217" t="s">
        <v>2605</v>
      </c>
    </row>
    <row r="7" spans="1:22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10">
        <v>187000</v>
      </c>
      <c r="Q7" s="10">
        <v>181250</v>
      </c>
      <c r="R7" s="9">
        <v>208800</v>
      </c>
      <c r="S7" s="249">
        <v>208800</v>
      </c>
      <c r="T7" s="190">
        <v>185000</v>
      </c>
      <c r="U7" s="236" t="s">
        <v>2728</v>
      </c>
    </row>
    <row r="8" spans="1:22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10">
        <v>83434</v>
      </c>
      <c r="Q8" s="10">
        <v>177917</v>
      </c>
      <c r="R8" s="9">
        <v>10788</v>
      </c>
      <c r="S8" s="249">
        <v>110000</v>
      </c>
      <c r="T8" s="190">
        <v>130000</v>
      </c>
      <c r="U8" s="236" t="s">
        <v>2702</v>
      </c>
    </row>
    <row r="9" spans="1:22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10">
        <v>33422</v>
      </c>
      <c r="Q9" s="10">
        <v>14330</v>
      </c>
      <c r="R9" s="9">
        <v>15000</v>
      </c>
      <c r="S9" s="249">
        <v>15000</v>
      </c>
      <c r="T9" s="190">
        <v>15000</v>
      </c>
      <c r="U9" s="258" t="s">
        <v>2689</v>
      </c>
    </row>
    <row r="10" spans="1:22" ht="57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10">
        <v>109900</v>
      </c>
      <c r="Q10" s="10">
        <v>137850</v>
      </c>
      <c r="R10" s="9">
        <v>95000</v>
      </c>
      <c r="S10" s="249">
        <v>115000</v>
      </c>
      <c r="T10" s="190">
        <v>125000</v>
      </c>
      <c r="U10" s="236" t="s">
        <v>2727</v>
      </c>
    </row>
    <row r="11" spans="1:22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10">
        <v>145695</v>
      </c>
      <c r="Q11" s="10">
        <v>163300</v>
      </c>
      <c r="R11" s="9">
        <v>202480</v>
      </c>
      <c r="S11" s="249">
        <v>200000</v>
      </c>
      <c r="T11" s="190">
        <v>175500</v>
      </c>
    </row>
    <row r="12" spans="1:22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10"/>
      <c r="Q12" s="10"/>
      <c r="R12" s="9"/>
      <c r="S12" s="249">
        <v>0</v>
      </c>
      <c r="T12" s="190">
        <v>0</v>
      </c>
    </row>
    <row r="13" spans="1:22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10"/>
      <c r="Q13" s="10"/>
      <c r="R13" s="9"/>
      <c r="S13" s="249">
        <v>0</v>
      </c>
      <c r="T13" s="190">
        <v>0</v>
      </c>
    </row>
    <row r="14" spans="1:22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10">
        <v>46439</v>
      </c>
      <c r="Q14" s="10">
        <v>11035</v>
      </c>
      <c r="R14" s="9">
        <v>12628</v>
      </c>
      <c r="S14" s="249">
        <v>30000.01</v>
      </c>
      <c r="T14" s="190">
        <v>30000.01</v>
      </c>
      <c r="U14" s="236" t="s">
        <v>2706</v>
      </c>
    </row>
    <row r="15" spans="1:22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 t="shared" ref="L15:T15" si="2">SUM(L6:L14)</f>
        <v>602111</v>
      </c>
      <c r="M15" s="12">
        <f t="shared" si="2"/>
        <v>627974</v>
      </c>
      <c r="N15" s="12">
        <f t="shared" si="2"/>
        <v>667900</v>
      </c>
      <c r="O15" s="12">
        <f t="shared" si="2"/>
        <v>701882</v>
      </c>
      <c r="P15" s="12">
        <f t="shared" si="2"/>
        <v>831624</v>
      </c>
      <c r="Q15" s="12">
        <f t="shared" si="2"/>
        <v>938665</v>
      </c>
      <c r="R15" s="11">
        <f t="shared" si="2"/>
        <v>622921</v>
      </c>
      <c r="S15" s="250">
        <f t="shared" si="2"/>
        <v>903800.01</v>
      </c>
      <c r="T15" s="191">
        <f t="shared" si="2"/>
        <v>915500.01</v>
      </c>
    </row>
    <row r="16" spans="1:22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R16" s="111"/>
      <c r="S16" s="249"/>
      <c r="T16" s="190"/>
    </row>
    <row r="17" spans="1:23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R17" s="112"/>
      <c r="S17" s="249"/>
      <c r="T17" s="190"/>
      <c r="U17" s="271"/>
      <c r="V17" s="159"/>
    </row>
    <row r="18" spans="1:23" ht="34.799999999999997" customHeight="1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10">
        <v>-181432</v>
      </c>
      <c r="Q18" s="10">
        <v>-220492</v>
      </c>
      <c r="R18" s="9">
        <v>-52326</v>
      </c>
      <c r="S18" s="249">
        <v>-100000</v>
      </c>
      <c r="T18" s="190">
        <v>-190000</v>
      </c>
      <c r="U18" s="236" t="s">
        <v>2733</v>
      </c>
      <c r="V18" s="276" t="s">
        <v>2732</v>
      </c>
    </row>
    <row r="19" spans="1:23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10">
        <v>-133504</v>
      </c>
      <c r="Q19" s="10">
        <v>-140769</v>
      </c>
      <c r="R19" s="9">
        <v>-39242</v>
      </c>
      <c r="S19" s="249">
        <v>-135000</v>
      </c>
      <c r="T19" s="190">
        <v>-135000</v>
      </c>
      <c r="V19" s="197"/>
      <c r="W19" s="55"/>
    </row>
    <row r="20" spans="1:23" ht="21.6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10">
        <v>-519</v>
      </c>
      <c r="Q20" s="10">
        <v>-58306</v>
      </c>
      <c r="R20" s="9">
        <v>-1544</v>
      </c>
      <c r="S20" s="249">
        <v>-25000</v>
      </c>
      <c r="T20" s="190">
        <v>-20000</v>
      </c>
      <c r="U20" s="217" t="s">
        <v>2720</v>
      </c>
      <c r="V20" s="197"/>
    </row>
    <row r="21" spans="1:23" ht="21.6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10">
        <v>-29952</v>
      </c>
      <c r="Q21" s="10">
        <v>-42358</v>
      </c>
      <c r="R21" s="9">
        <v>-4765</v>
      </c>
      <c r="S21" s="249">
        <v>-30000</v>
      </c>
      <c r="T21" s="190">
        <v>-30000</v>
      </c>
      <c r="U21" s="217" t="s">
        <v>2719</v>
      </c>
      <c r="V21" s="197"/>
    </row>
    <row r="22" spans="1:23" ht="33.6" customHeight="1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10">
        <v>-92029</v>
      </c>
      <c r="Q22" s="10">
        <v>-99926</v>
      </c>
      <c r="R22" s="9">
        <v>-38060</v>
      </c>
      <c r="S22" s="249">
        <v>-85000</v>
      </c>
      <c r="T22" s="190">
        <v>-95000</v>
      </c>
      <c r="U22" s="217" t="s">
        <v>2731</v>
      </c>
      <c r="V22" s="197"/>
    </row>
    <row r="23" spans="1:23" ht="28.2" customHeight="1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10">
        <v>-79144</v>
      </c>
      <c r="Q23" s="10">
        <v>-104788</v>
      </c>
      <c r="R23" s="9">
        <v>-36712</v>
      </c>
      <c r="S23" s="249">
        <v>-95000</v>
      </c>
      <c r="T23" s="190">
        <v>-105000</v>
      </c>
      <c r="U23" s="217" t="s">
        <v>2734</v>
      </c>
      <c r="V23" s="197"/>
    </row>
    <row r="24" spans="1:23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10">
        <v>-1231</v>
      </c>
      <c r="Q24" s="10">
        <v>-13700</v>
      </c>
      <c r="R24" s="9">
        <v>-5378</v>
      </c>
      <c r="S24" s="249">
        <v>-10000</v>
      </c>
      <c r="T24" s="190">
        <v>-10000</v>
      </c>
      <c r="V24" s="197"/>
    </row>
    <row r="25" spans="1:23" ht="26.4" customHeight="1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10">
        <v>-22800</v>
      </c>
      <c r="Q25" s="10">
        <v>-34900</v>
      </c>
      <c r="R25" s="9">
        <v>-17965</v>
      </c>
      <c r="S25" s="249">
        <v>-30000</v>
      </c>
      <c r="T25" s="190">
        <v>-35000</v>
      </c>
      <c r="U25" s="217" t="s">
        <v>2730</v>
      </c>
      <c r="V25" s="197"/>
    </row>
    <row r="26" spans="1:23" ht="22.8" customHeight="1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10">
        <v>-30440</v>
      </c>
      <c r="Q26" s="10">
        <v>-32200</v>
      </c>
      <c r="R26" s="9">
        <v>-19300</v>
      </c>
      <c r="S26" s="249">
        <v>-25000</v>
      </c>
      <c r="T26" s="190">
        <v>-30000</v>
      </c>
      <c r="U26" s="217" t="s">
        <v>2725</v>
      </c>
      <c r="V26" s="197"/>
    </row>
    <row r="27" spans="1:23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10">
        <v>-5340</v>
      </c>
      <c r="Q27" s="10">
        <v>-4080</v>
      </c>
      <c r="R27" s="9">
        <v>-6800</v>
      </c>
      <c r="S27" s="249">
        <v>-7500</v>
      </c>
      <c r="T27" s="190">
        <v>-5000</v>
      </c>
      <c r="U27" s="217" t="s">
        <v>2722</v>
      </c>
      <c r="V27" s="197"/>
    </row>
    <row r="28" spans="1:23" ht="34.799999999999997" customHeight="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10">
        <f>-55750</f>
        <v>-55750</v>
      </c>
      <c r="Q28" s="10">
        <v>-66350</v>
      </c>
      <c r="R28" s="9">
        <v>-3150</v>
      </c>
      <c r="S28" s="249">
        <v>-90000</v>
      </c>
      <c r="T28" s="190">
        <v>-75000</v>
      </c>
      <c r="U28" s="217" t="s">
        <v>2729</v>
      </c>
      <c r="V28" s="197"/>
    </row>
    <row r="29" spans="1:23" ht="27" customHeight="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10">
        <f>-19000-4000</f>
        <v>-23000</v>
      </c>
      <c r="Q29" s="10">
        <v>-19850</v>
      </c>
      <c r="R29" s="9">
        <v>0</v>
      </c>
      <c r="S29" s="249">
        <v>-20000</v>
      </c>
      <c r="T29" s="190">
        <v>-20000</v>
      </c>
      <c r="U29" s="217" t="s">
        <v>2498</v>
      </c>
    </row>
    <row r="30" spans="1:23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10">
        <v>-500</v>
      </c>
      <c r="Q30" s="10">
        <v>-500</v>
      </c>
      <c r="R30" s="9">
        <v>-500</v>
      </c>
      <c r="S30" s="249">
        <v>-500</v>
      </c>
      <c r="T30" s="190">
        <v>-500</v>
      </c>
    </row>
    <row r="31" spans="1:23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10">
        <v>-166907</v>
      </c>
      <c r="Q31" s="10">
        <v>-161843</v>
      </c>
      <c r="R31" s="9">
        <v>0</v>
      </c>
      <c r="S31" s="249">
        <v>-200000</v>
      </c>
      <c r="T31" s="190">
        <v>-160000</v>
      </c>
      <c r="U31" s="217" t="s">
        <v>2649</v>
      </c>
      <c r="V31" s="197"/>
    </row>
    <row r="32" spans="1:23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10"/>
      <c r="Q32" s="10"/>
      <c r="R32" s="9"/>
      <c r="S32" s="249">
        <v>0</v>
      </c>
      <c r="T32" s="190">
        <v>0</v>
      </c>
      <c r="V32" s="197"/>
    </row>
    <row r="33" spans="1:23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10">
        <v>-5059</v>
      </c>
      <c r="Q33" s="10">
        <f>-750-1134-300-1094-78-365-350-711-1000-295-148</f>
        <v>-6225</v>
      </c>
      <c r="R33" s="9">
        <f>-750-65-1368-1000-308-1600-90-74</f>
        <v>-5255</v>
      </c>
      <c r="S33" s="249">
        <v>-7500</v>
      </c>
      <c r="T33" s="190">
        <v>-5000</v>
      </c>
      <c r="U33" s="217" t="s">
        <v>2705</v>
      </c>
      <c r="V33" s="197"/>
    </row>
    <row r="34" spans="1:23" x14ac:dyDescent="0.3">
      <c r="A34" s="7" t="s">
        <v>2555</v>
      </c>
      <c r="B34" s="39">
        <f t="shared" ref="B34:R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2">
        <f t="shared" si="3"/>
        <v>-827607</v>
      </c>
      <c r="Q34" s="12">
        <f t="shared" ref="Q34" si="5">SUM(Q18:Q33)</f>
        <v>-1006287</v>
      </c>
      <c r="R34" s="11">
        <f t="shared" si="3"/>
        <v>-230997</v>
      </c>
      <c r="S34" s="250">
        <f>SUM(S18:S33)</f>
        <v>-860500</v>
      </c>
      <c r="T34" s="191">
        <f>SUM(T18:T33)</f>
        <v>-915500</v>
      </c>
      <c r="U34" s="272"/>
      <c r="V34" s="206"/>
    </row>
    <row r="35" spans="1:23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46"/>
      <c r="Q35" s="46"/>
      <c r="R35" s="113"/>
      <c r="S35" s="250"/>
      <c r="T35" s="191"/>
      <c r="V35" s="207"/>
    </row>
    <row r="36" spans="1:23" s="13" customFormat="1" ht="38.25" hidden="1" customHeight="1" x14ac:dyDescent="0.3">
      <c r="A36" s="7" t="s">
        <v>48</v>
      </c>
      <c r="B36" s="39">
        <f t="shared" ref="B36:R36" si="6">+B34+B15</f>
        <v>-24674</v>
      </c>
      <c r="C36" s="39">
        <f t="shared" si="6"/>
        <v>86791</v>
      </c>
      <c r="D36" s="39">
        <f t="shared" si="6"/>
        <v>32713</v>
      </c>
      <c r="E36" s="39">
        <f t="shared" si="6"/>
        <v>-5009.1400000000431</v>
      </c>
      <c r="F36" s="39">
        <f t="shared" si="6"/>
        <v>-25959.489999999991</v>
      </c>
      <c r="G36" s="39">
        <f t="shared" si="6"/>
        <v>-167525</v>
      </c>
      <c r="H36" s="39">
        <f t="shared" si="6"/>
        <v>13685</v>
      </c>
      <c r="I36" s="12">
        <f t="shared" si="6"/>
        <v>10177</v>
      </c>
      <c r="J36" s="12">
        <f t="shared" si="6"/>
        <v>36557</v>
      </c>
      <c r="K36" s="12">
        <f t="shared" si="6"/>
        <v>-84874</v>
      </c>
      <c r="L36" s="12">
        <f t="shared" si="6"/>
        <v>8025</v>
      </c>
      <c r="M36" s="12">
        <f t="shared" si="6"/>
        <v>-10322</v>
      </c>
      <c r="N36" s="12">
        <f t="shared" si="6"/>
        <v>122284</v>
      </c>
      <c r="O36" s="12">
        <f t="shared" si="6"/>
        <v>104927</v>
      </c>
      <c r="P36" s="12">
        <f t="shared" si="6"/>
        <v>4017</v>
      </c>
      <c r="Q36" s="12">
        <f t="shared" si="6"/>
        <v>-67622</v>
      </c>
      <c r="R36" s="11">
        <f t="shared" si="6"/>
        <v>391924</v>
      </c>
      <c r="S36" s="250">
        <f>S15+S34</f>
        <v>43300.010000000009</v>
      </c>
      <c r="T36" s="191">
        <f>T15+T34</f>
        <v>1.0000000009313226E-2</v>
      </c>
      <c r="U36" s="217"/>
      <c r="V36" s="207"/>
    </row>
    <row r="37" spans="1:23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2"/>
      <c r="Q37" s="12"/>
      <c r="R37" s="11"/>
      <c r="S37" s="250"/>
      <c r="T37" s="191"/>
      <c r="U37" s="217"/>
      <c r="V37" s="207"/>
    </row>
    <row r="38" spans="1:23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1">
        <v>0</v>
      </c>
      <c r="S38" s="250">
        <v>0</v>
      </c>
      <c r="T38" s="191">
        <v>0</v>
      </c>
      <c r="U38" s="217"/>
      <c r="V38" s="206"/>
    </row>
    <row r="39" spans="1:23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2"/>
      <c r="R39" s="14"/>
      <c r="S39" s="251"/>
      <c r="T39" s="210"/>
      <c r="U39" s="272"/>
      <c r="V39" s="206"/>
    </row>
    <row r="40" spans="1:23" s="13" customFormat="1" ht="16.2" thickBot="1" x14ac:dyDescent="0.35">
      <c r="A40" s="7" t="s">
        <v>2557</v>
      </c>
      <c r="B40" s="39">
        <f t="shared" ref="B40:S40" si="7">+B38+B36</f>
        <v>-34674</v>
      </c>
      <c r="C40" s="39">
        <f t="shared" si="7"/>
        <v>76791</v>
      </c>
      <c r="D40" s="39">
        <f t="shared" si="7"/>
        <v>22713</v>
      </c>
      <c r="E40" s="39">
        <f t="shared" si="7"/>
        <v>-15009.140000000043</v>
      </c>
      <c r="F40" s="39">
        <f t="shared" si="7"/>
        <v>-35959.489999999991</v>
      </c>
      <c r="G40" s="39">
        <f t="shared" si="7"/>
        <v>-181974</v>
      </c>
      <c r="H40" s="39">
        <f t="shared" si="7"/>
        <v>13685</v>
      </c>
      <c r="I40" s="12">
        <f t="shared" si="7"/>
        <v>10177</v>
      </c>
      <c r="J40" s="12">
        <f>+J38+J36</f>
        <v>36557</v>
      </c>
      <c r="K40" s="12">
        <f t="shared" si="7"/>
        <v>-84874</v>
      </c>
      <c r="L40" s="12">
        <f t="shared" si="7"/>
        <v>8025</v>
      </c>
      <c r="M40" s="12">
        <f t="shared" si="7"/>
        <v>-10322</v>
      </c>
      <c r="N40" s="12">
        <f t="shared" si="7"/>
        <v>122284</v>
      </c>
      <c r="O40" s="12">
        <f t="shared" si="7"/>
        <v>104927</v>
      </c>
      <c r="P40" s="12">
        <f t="shared" si="7"/>
        <v>4017</v>
      </c>
      <c r="Q40" s="12">
        <f t="shared" si="7"/>
        <v>-67622</v>
      </c>
      <c r="R40" s="154">
        <f t="shared" si="7"/>
        <v>391924</v>
      </c>
      <c r="S40" s="252">
        <f t="shared" si="7"/>
        <v>43300.010000000009</v>
      </c>
      <c r="T40" s="192">
        <f>+T38+T36</f>
        <v>1.0000000009313226E-2</v>
      </c>
      <c r="U40" s="217"/>
      <c r="V40" s="208"/>
    </row>
    <row r="41" spans="1:23" s="13" customFormat="1" x14ac:dyDescent="0.3">
      <c r="A41" s="4"/>
      <c r="B41" s="4"/>
      <c r="C41" s="4"/>
      <c r="D41" s="4"/>
      <c r="E41" s="4"/>
      <c r="F41" s="4"/>
      <c r="G41" s="4"/>
      <c r="H41" s="4"/>
      <c r="S41" s="58"/>
      <c r="T41" s="58"/>
      <c r="U41" s="217"/>
      <c r="V41" s="155"/>
    </row>
    <row r="42" spans="1:23" x14ac:dyDescent="0.3">
      <c r="O42" s="13"/>
      <c r="Q42" s="99"/>
      <c r="R42" s="99"/>
      <c r="S42" s="222"/>
    </row>
    <row r="43" spans="1:23" x14ac:dyDescent="0.3">
      <c r="Q43" s="99"/>
      <c r="R43" s="99"/>
      <c r="S43" s="207"/>
    </row>
    <row r="44" spans="1:23" x14ac:dyDescent="0.3">
      <c r="Q44" s="99"/>
      <c r="R44" s="99"/>
      <c r="S44" s="222"/>
    </row>
    <row r="45" spans="1:23" x14ac:dyDescent="0.3">
      <c r="Q45" s="99"/>
      <c r="R45" s="99"/>
      <c r="S45" s="207"/>
    </row>
    <row r="46" spans="1:23" x14ac:dyDescent="0.3">
      <c r="Q46" s="99"/>
      <c r="R46" s="99"/>
      <c r="S46" s="222"/>
    </row>
    <row r="47" spans="1:23" s="4" customFormat="1" x14ac:dyDescent="0.3">
      <c r="P47" s="1"/>
      <c r="Q47" s="269"/>
      <c r="R47" s="269"/>
      <c r="S47" s="222"/>
      <c r="U47" s="217"/>
      <c r="V47" s="155"/>
      <c r="W47" s="1"/>
    </row>
    <row r="48" spans="1:23" s="4" customFormat="1" x14ac:dyDescent="0.3">
      <c r="S48" s="99"/>
      <c r="U48" s="217"/>
      <c r="V48" s="155"/>
      <c r="W48" s="1"/>
    </row>
    <row r="49" spans="19:23" s="4" customFormat="1" x14ac:dyDescent="0.3">
      <c r="S49" s="99"/>
      <c r="U49" s="217"/>
      <c r="V49" s="155"/>
      <c r="W49" s="1"/>
    </row>
    <row r="50" spans="19:23" s="4" customFormat="1" x14ac:dyDescent="0.3">
      <c r="S50" s="99"/>
      <c r="U50" s="217"/>
      <c r="V50" s="155"/>
      <c r="W50" s="1"/>
    </row>
    <row r="51" spans="19:23" x14ac:dyDescent="0.3">
      <c r="S51" s="99"/>
    </row>
    <row r="52" spans="19:23" x14ac:dyDescent="0.3">
      <c r="S52" s="223"/>
    </row>
  </sheetData>
  <mergeCells count="2">
    <mergeCell ref="K1:M1"/>
    <mergeCell ref="N1:P1"/>
  </mergeCells>
  <pageMargins left="0.7" right="0.7" top="0.75" bottom="0.75" header="0.3" footer="0.3"/>
  <pageSetup paperSize="9" scale="58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2E9ED-33D0-47AE-AB18-040D49345B29}">
  <sheetPr>
    <tabColor theme="5" tint="-0.249977111117893"/>
    <pageSetUpPr fitToPage="1"/>
  </sheetPr>
  <dimension ref="A1:W52"/>
  <sheetViews>
    <sheetView zoomScale="110" zoomScaleNormal="110" workbookViewId="0">
      <pane xSplit="1" ySplit="3" topLeftCell="K4" activePane="bottomRight" state="frozen"/>
      <selection pane="topRight" activeCell="B1" sqref="B1"/>
      <selection pane="bottomLeft" activeCell="A4" sqref="A4"/>
      <selection pane="bottomRight" activeCell="R4" sqref="R4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2" width="16.44140625" style="1" hidden="1" customWidth="1"/>
    <col min="13" max="13" width="18" style="1" hidden="1" customWidth="1"/>
    <col min="14" max="18" width="16.44140625" style="1" customWidth="1"/>
    <col min="19" max="20" width="18.5546875" style="1" customWidth="1"/>
    <col min="21" max="21" width="27" style="217" customWidth="1"/>
    <col min="22" max="22" width="12" style="155" customWidth="1"/>
    <col min="23" max="16384" width="9.109375" style="1"/>
  </cols>
  <sheetData>
    <row r="1" spans="1:22" ht="31.8" thickBot="1" x14ac:dyDescent="0.65">
      <c r="A1" s="211" t="s">
        <v>486</v>
      </c>
      <c r="C1" s="224"/>
      <c r="D1" s="224"/>
      <c r="I1" s="4"/>
      <c r="J1" s="4"/>
      <c r="K1" s="289"/>
      <c r="L1" s="289"/>
      <c r="M1" s="289"/>
      <c r="N1" s="293" t="s">
        <v>487</v>
      </c>
      <c r="O1" s="293"/>
      <c r="P1" s="293"/>
    </row>
    <row r="2" spans="1:22" ht="16.2" thickBot="1" x14ac:dyDescent="0.35"/>
    <row r="3" spans="1:22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37">
        <v>2023</v>
      </c>
      <c r="R3" s="227">
        <v>2024</v>
      </c>
      <c r="S3" s="253" t="s">
        <v>809</v>
      </c>
      <c r="T3" s="240" t="s">
        <v>2701</v>
      </c>
      <c r="U3" s="270"/>
      <c r="V3" s="156"/>
    </row>
    <row r="4" spans="1:22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42"/>
      <c r="R4" s="110">
        <v>45415</v>
      </c>
      <c r="S4" s="110">
        <v>45657</v>
      </c>
      <c r="T4" s="209"/>
      <c r="U4" s="270"/>
      <c r="V4" s="156"/>
    </row>
    <row r="5" spans="1:22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56"/>
      <c r="R5" s="237"/>
      <c r="S5" s="111"/>
      <c r="T5" s="8"/>
    </row>
    <row r="6" spans="1:22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10">
        <v>225734</v>
      </c>
      <c r="Q6" s="10">
        <v>252983</v>
      </c>
      <c r="R6" s="9">
        <v>78225</v>
      </c>
      <c r="S6" s="249">
        <v>225000</v>
      </c>
      <c r="T6" s="190">
        <v>255000</v>
      </c>
      <c r="U6" s="217" t="s">
        <v>2605</v>
      </c>
    </row>
    <row r="7" spans="1:22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10">
        <v>187000</v>
      </c>
      <c r="Q7" s="10">
        <v>181250</v>
      </c>
      <c r="R7" s="9">
        <v>124300</v>
      </c>
      <c r="S7" s="249">
        <v>185000</v>
      </c>
      <c r="T7" s="190">
        <v>185000</v>
      </c>
      <c r="U7" s="236" t="s">
        <v>2717</v>
      </c>
    </row>
    <row r="8" spans="1:22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10">
        <v>83434</v>
      </c>
      <c r="Q8" s="10">
        <v>177917</v>
      </c>
      <c r="R8" s="9">
        <v>0</v>
      </c>
      <c r="S8" s="249">
        <v>130000</v>
      </c>
      <c r="T8" s="190">
        <v>130000</v>
      </c>
      <c r="U8" s="236" t="s">
        <v>2702</v>
      </c>
    </row>
    <row r="9" spans="1:22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10">
        <v>33422</v>
      </c>
      <c r="Q9" s="10">
        <v>14330</v>
      </c>
      <c r="R9" s="9">
        <v>15000</v>
      </c>
      <c r="S9" s="249">
        <v>15000</v>
      </c>
      <c r="T9" s="190">
        <v>15000</v>
      </c>
      <c r="U9" s="258" t="s">
        <v>2689</v>
      </c>
    </row>
    <row r="10" spans="1:22" ht="57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10">
        <v>109900</v>
      </c>
      <c r="Q10" s="10">
        <v>137850</v>
      </c>
      <c r="R10" s="9">
        <v>30000</v>
      </c>
      <c r="S10" s="249">
        <v>70000</v>
      </c>
      <c r="T10" s="190">
        <v>125000</v>
      </c>
      <c r="U10" s="236" t="s">
        <v>2715</v>
      </c>
    </row>
    <row r="11" spans="1:22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10">
        <v>145695</v>
      </c>
      <c r="Q11" s="10">
        <v>163300</v>
      </c>
      <c r="R11" s="9">
        <v>89690</v>
      </c>
      <c r="S11" s="249">
        <v>175500</v>
      </c>
      <c r="T11" s="190">
        <v>175500</v>
      </c>
    </row>
    <row r="12" spans="1:22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10"/>
      <c r="Q12" s="10"/>
      <c r="R12" s="9"/>
      <c r="S12" s="249">
        <v>0</v>
      </c>
      <c r="T12" s="190">
        <v>0</v>
      </c>
    </row>
    <row r="13" spans="1:22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10"/>
      <c r="Q13" s="10"/>
      <c r="R13" s="9"/>
      <c r="S13" s="249">
        <v>0</v>
      </c>
      <c r="T13" s="190">
        <v>0</v>
      </c>
    </row>
    <row r="14" spans="1:22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10">
        <v>46439</v>
      </c>
      <c r="Q14" s="10">
        <v>11035</v>
      </c>
      <c r="R14" s="9">
        <v>13178</v>
      </c>
      <c r="S14" s="249">
        <v>30000.01</v>
      </c>
      <c r="T14" s="190">
        <v>30000.01</v>
      </c>
      <c r="U14" s="236" t="s">
        <v>2706</v>
      </c>
    </row>
    <row r="15" spans="1:22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 t="shared" ref="L15:T15" si="2">SUM(L6:L14)</f>
        <v>602111</v>
      </c>
      <c r="M15" s="12">
        <f t="shared" si="2"/>
        <v>627974</v>
      </c>
      <c r="N15" s="12">
        <f t="shared" si="2"/>
        <v>667900</v>
      </c>
      <c r="O15" s="12">
        <f t="shared" si="2"/>
        <v>701882</v>
      </c>
      <c r="P15" s="12">
        <f t="shared" si="2"/>
        <v>831624</v>
      </c>
      <c r="Q15" s="12">
        <f t="shared" si="2"/>
        <v>938665</v>
      </c>
      <c r="R15" s="11">
        <f t="shared" si="2"/>
        <v>350393</v>
      </c>
      <c r="S15" s="250">
        <f t="shared" si="2"/>
        <v>830500.01</v>
      </c>
      <c r="T15" s="191">
        <f t="shared" si="2"/>
        <v>915500.01</v>
      </c>
    </row>
    <row r="16" spans="1:22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R16" s="111"/>
      <c r="S16" s="249"/>
      <c r="T16" s="190"/>
    </row>
    <row r="17" spans="1:23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R17" s="112"/>
      <c r="S17" s="249"/>
      <c r="T17" s="190"/>
      <c r="U17" s="271"/>
      <c r="V17" s="159"/>
    </row>
    <row r="18" spans="1:23" ht="21.6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10">
        <v>-181432</v>
      </c>
      <c r="Q18" s="10">
        <v>-220492</v>
      </c>
      <c r="R18" s="9">
        <v>-24955</v>
      </c>
      <c r="S18" s="249">
        <v>-100000</v>
      </c>
      <c r="T18" s="190">
        <v>-190000</v>
      </c>
      <c r="U18" s="236" t="s">
        <v>2726</v>
      </c>
      <c r="V18" s="197"/>
    </row>
    <row r="19" spans="1:23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10">
        <v>-133504</v>
      </c>
      <c r="Q19" s="10">
        <v>-140769</v>
      </c>
      <c r="R19" s="9">
        <v>-16274</v>
      </c>
      <c r="S19" s="249">
        <v>-135000</v>
      </c>
      <c r="T19" s="190">
        <v>-135000</v>
      </c>
      <c r="V19" s="197"/>
      <c r="W19" s="55"/>
    </row>
    <row r="20" spans="1:23" ht="21.6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10">
        <v>-519</v>
      </c>
      <c r="Q20" s="10">
        <v>-58306</v>
      </c>
      <c r="R20" s="9">
        <v>-1544</v>
      </c>
      <c r="S20" s="249">
        <v>-20000</v>
      </c>
      <c r="T20" s="190">
        <v>-20000</v>
      </c>
      <c r="U20" s="217" t="s">
        <v>2720</v>
      </c>
      <c r="V20" s="197"/>
    </row>
    <row r="21" spans="1:23" ht="21.6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10">
        <v>-29952</v>
      </c>
      <c r="Q21" s="10">
        <v>-42358</v>
      </c>
      <c r="R21" s="9">
        <v>-4765</v>
      </c>
      <c r="S21" s="249">
        <v>-30000</v>
      </c>
      <c r="T21" s="190">
        <v>-30000</v>
      </c>
      <c r="U21" s="217" t="s">
        <v>2719</v>
      </c>
      <c r="V21" s="197"/>
    </row>
    <row r="22" spans="1:23" ht="33.6" customHeight="1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10">
        <v>-92029</v>
      </c>
      <c r="Q22" s="10">
        <v>-99926</v>
      </c>
      <c r="R22" s="9">
        <v>-27860</v>
      </c>
      <c r="S22" s="249">
        <v>-85000</v>
      </c>
      <c r="T22" s="190">
        <v>-95000</v>
      </c>
      <c r="U22" s="217" t="s">
        <v>2718</v>
      </c>
      <c r="V22" s="197"/>
    </row>
    <row r="23" spans="1:23" ht="28.2" customHeight="1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10">
        <v>-79144</v>
      </c>
      <c r="Q23" s="10">
        <v>-104788</v>
      </c>
      <c r="R23" s="9">
        <v>-21974</v>
      </c>
      <c r="S23" s="249">
        <v>-105000</v>
      </c>
      <c r="T23" s="190">
        <v>-105000</v>
      </c>
      <c r="U23" s="217" t="s">
        <v>2724</v>
      </c>
      <c r="V23" s="197"/>
    </row>
    <row r="24" spans="1:23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10">
        <v>-1231</v>
      </c>
      <c r="Q24" s="10">
        <v>-13700</v>
      </c>
      <c r="R24" s="9">
        <v>-4900</v>
      </c>
      <c r="S24" s="249">
        <v>-10000</v>
      </c>
      <c r="T24" s="190">
        <v>-10000</v>
      </c>
      <c r="V24" s="197"/>
    </row>
    <row r="25" spans="1:23" ht="26.4" customHeight="1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10">
        <v>-22800</v>
      </c>
      <c r="Q25" s="10">
        <v>-34900</v>
      </c>
      <c r="R25" s="9">
        <v>-13265</v>
      </c>
      <c r="S25" s="249">
        <v>-30000</v>
      </c>
      <c r="T25" s="190">
        <v>-35000</v>
      </c>
      <c r="U25" s="217" t="s">
        <v>2721</v>
      </c>
      <c r="V25" s="197"/>
    </row>
    <row r="26" spans="1:23" ht="22.8" customHeight="1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10">
        <v>-30440</v>
      </c>
      <c r="Q26" s="10">
        <v>-32200</v>
      </c>
      <c r="R26" s="9">
        <v>-19300</v>
      </c>
      <c r="S26" s="249">
        <v>-25000</v>
      </c>
      <c r="T26" s="190">
        <v>-30000</v>
      </c>
      <c r="U26" s="217" t="s">
        <v>2725</v>
      </c>
      <c r="V26" s="197"/>
    </row>
    <row r="27" spans="1:23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10">
        <v>-5340</v>
      </c>
      <c r="Q27" s="10">
        <v>-4080</v>
      </c>
      <c r="R27" s="9">
        <v>-6800</v>
      </c>
      <c r="S27" s="249">
        <v>-7500</v>
      </c>
      <c r="T27" s="190">
        <v>-5000</v>
      </c>
      <c r="U27" s="217" t="s">
        <v>2722</v>
      </c>
      <c r="V27" s="197"/>
    </row>
    <row r="28" spans="1:23" ht="34.799999999999997" customHeight="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10">
        <f>-55750</f>
        <v>-55750</v>
      </c>
      <c r="Q28" s="10">
        <v>-66350</v>
      </c>
      <c r="R28" s="9">
        <v>-2850</v>
      </c>
      <c r="S28" s="249">
        <v>-75000</v>
      </c>
      <c r="T28" s="190">
        <v>-75000</v>
      </c>
      <c r="U28" s="217" t="s">
        <v>2723</v>
      </c>
      <c r="V28" s="197"/>
    </row>
    <row r="29" spans="1:23" ht="27" customHeight="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10">
        <f>-19000-4000</f>
        <v>-23000</v>
      </c>
      <c r="Q29" s="10">
        <v>-19850</v>
      </c>
      <c r="R29" s="9">
        <v>0</v>
      </c>
      <c r="S29" s="249">
        <v>-20000</v>
      </c>
      <c r="T29" s="190">
        <v>-20000</v>
      </c>
      <c r="U29" s="217" t="s">
        <v>2498</v>
      </c>
    </row>
    <row r="30" spans="1:23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10">
        <v>-500</v>
      </c>
      <c r="Q30" s="10">
        <v>-500</v>
      </c>
      <c r="R30" s="9">
        <v>-500</v>
      </c>
      <c r="S30" s="249">
        <v>-500</v>
      </c>
      <c r="T30" s="190">
        <v>-500</v>
      </c>
    </row>
    <row r="31" spans="1:23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10">
        <v>-166907</v>
      </c>
      <c r="Q31" s="10">
        <v>-161843</v>
      </c>
      <c r="R31" s="9">
        <v>0</v>
      </c>
      <c r="S31" s="249">
        <v>-160000</v>
      </c>
      <c r="T31" s="190">
        <v>-160000</v>
      </c>
      <c r="U31" s="217" t="s">
        <v>2649</v>
      </c>
      <c r="V31" s="197"/>
    </row>
    <row r="32" spans="1:23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10"/>
      <c r="Q32" s="10"/>
      <c r="R32" s="9"/>
      <c r="S32" s="249">
        <v>0</v>
      </c>
      <c r="T32" s="190">
        <v>0</v>
      </c>
      <c r="V32" s="197"/>
    </row>
    <row r="33" spans="1:23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10">
        <v>-5059</v>
      </c>
      <c r="Q33" s="10">
        <f>-750-1134-300-1094-78-365-350-711-1000-295-148</f>
        <v>-6225</v>
      </c>
      <c r="R33" s="9">
        <f>-750-65-1368-1000-308-1600-90</f>
        <v>-5181</v>
      </c>
      <c r="S33" s="249">
        <v>-7500</v>
      </c>
      <c r="T33" s="190">
        <v>-5000</v>
      </c>
      <c r="U33" s="217" t="s">
        <v>2705</v>
      </c>
      <c r="V33" s="197"/>
    </row>
    <row r="34" spans="1:23" x14ac:dyDescent="0.3">
      <c r="A34" s="7" t="s">
        <v>2555</v>
      </c>
      <c r="B34" s="39">
        <f t="shared" ref="B34:R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2">
        <f t="shared" si="3"/>
        <v>-827607</v>
      </c>
      <c r="Q34" s="12">
        <f t="shared" ref="Q34" si="5">SUM(Q18:Q33)</f>
        <v>-1006287</v>
      </c>
      <c r="R34" s="11">
        <f t="shared" si="3"/>
        <v>-150168</v>
      </c>
      <c r="S34" s="250">
        <f>SUM(S18:S33)</f>
        <v>-810500</v>
      </c>
      <c r="T34" s="191">
        <f>SUM(T18:T33)</f>
        <v>-915500</v>
      </c>
      <c r="U34" s="272"/>
      <c r="V34" s="206"/>
    </row>
    <row r="35" spans="1:23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46"/>
      <c r="Q35" s="46"/>
      <c r="R35" s="113"/>
      <c r="S35" s="250"/>
      <c r="T35" s="191"/>
      <c r="V35" s="207"/>
    </row>
    <row r="36" spans="1:23" s="13" customFormat="1" ht="38.25" hidden="1" customHeight="1" x14ac:dyDescent="0.3">
      <c r="A36" s="7" t="s">
        <v>48</v>
      </c>
      <c r="B36" s="39">
        <f t="shared" ref="B36:R36" si="6">+B34+B15</f>
        <v>-24674</v>
      </c>
      <c r="C36" s="39">
        <f t="shared" si="6"/>
        <v>86791</v>
      </c>
      <c r="D36" s="39">
        <f t="shared" si="6"/>
        <v>32713</v>
      </c>
      <c r="E36" s="39">
        <f t="shared" si="6"/>
        <v>-5009.1400000000431</v>
      </c>
      <c r="F36" s="39">
        <f t="shared" si="6"/>
        <v>-25959.489999999991</v>
      </c>
      <c r="G36" s="39">
        <f t="shared" si="6"/>
        <v>-167525</v>
      </c>
      <c r="H36" s="39">
        <f t="shared" si="6"/>
        <v>13685</v>
      </c>
      <c r="I36" s="12">
        <f t="shared" si="6"/>
        <v>10177</v>
      </c>
      <c r="J36" s="12">
        <f t="shared" si="6"/>
        <v>36557</v>
      </c>
      <c r="K36" s="12">
        <f t="shared" si="6"/>
        <v>-84874</v>
      </c>
      <c r="L36" s="12">
        <f t="shared" si="6"/>
        <v>8025</v>
      </c>
      <c r="M36" s="12">
        <f t="shared" si="6"/>
        <v>-10322</v>
      </c>
      <c r="N36" s="12">
        <f t="shared" si="6"/>
        <v>122284</v>
      </c>
      <c r="O36" s="12">
        <f t="shared" si="6"/>
        <v>104927</v>
      </c>
      <c r="P36" s="12">
        <f t="shared" si="6"/>
        <v>4017</v>
      </c>
      <c r="Q36" s="12">
        <f t="shared" si="6"/>
        <v>-67622</v>
      </c>
      <c r="R36" s="11">
        <f t="shared" si="6"/>
        <v>200225</v>
      </c>
      <c r="S36" s="250">
        <f>S15+S34</f>
        <v>20000.010000000009</v>
      </c>
      <c r="T36" s="191">
        <f>T15+T34</f>
        <v>1.0000000009313226E-2</v>
      </c>
      <c r="U36" s="217"/>
      <c r="V36" s="207"/>
    </row>
    <row r="37" spans="1:23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2"/>
      <c r="Q37" s="12"/>
      <c r="R37" s="11"/>
      <c r="S37" s="250"/>
      <c r="T37" s="191"/>
      <c r="U37" s="217"/>
      <c r="V37" s="207"/>
    </row>
    <row r="38" spans="1:23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1">
        <v>0</v>
      </c>
      <c r="S38" s="250">
        <v>0</v>
      </c>
      <c r="T38" s="191">
        <v>0</v>
      </c>
      <c r="U38" s="217"/>
      <c r="V38" s="206"/>
    </row>
    <row r="39" spans="1:23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2"/>
      <c r="R39" s="14"/>
      <c r="S39" s="251"/>
      <c r="T39" s="210"/>
      <c r="U39" s="272"/>
      <c r="V39" s="206"/>
    </row>
    <row r="40" spans="1:23" s="13" customFormat="1" ht="16.2" thickBot="1" x14ac:dyDescent="0.35">
      <c r="A40" s="7" t="s">
        <v>2557</v>
      </c>
      <c r="B40" s="39">
        <f t="shared" ref="B40:S40" si="7">+B38+B36</f>
        <v>-34674</v>
      </c>
      <c r="C40" s="39">
        <f t="shared" si="7"/>
        <v>76791</v>
      </c>
      <c r="D40" s="39">
        <f t="shared" si="7"/>
        <v>22713</v>
      </c>
      <c r="E40" s="39">
        <f t="shared" si="7"/>
        <v>-15009.140000000043</v>
      </c>
      <c r="F40" s="39">
        <f t="shared" si="7"/>
        <v>-35959.489999999991</v>
      </c>
      <c r="G40" s="39">
        <f t="shared" si="7"/>
        <v>-181974</v>
      </c>
      <c r="H40" s="39">
        <f t="shared" si="7"/>
        <v>13685</v>
      </c>
      <c r="I40" s="12">
        <f t="shared" si="7"/>
        <v>10177</v>
      </c>
      <c r="J40" s="12">
        <f>+J38+J36</f>
        <v>36557</v>
      </c>
      <c r="K40" s="12">
        <f t="shared" si="7"/>
        <v>-84874</v>
      </c>
      <c r="L40" s="12">
        <f t="shared" si="7"/>
        <v>8025</v>
      </c>
      <c r="M40" s="12">
        <f t="shared" si="7"/>
        <v>-10322</v>
      </c>
      <c r="N40" s="12">
        <f t="shared" si="7"/>
        <v>122284</v>
      </c>
      <c r="O40" s="12">
        <f t="shared" si="7"/>
        <v>104927</v>
      </c>
      <c r="P40" s="12">
        <f t="shared" si="7"/>
        <v>4017</v>
      </c>
      <c r="Q40" s="12">
        <f t="shared" si="7"/>
        <v>-67622</v>
      </c>
      <c r="R40" s="154">
        <f t="shared" si="7"/>
        <v>200225</v>
      </c>
      <c r="S40" s="252">
        <f t="shared" si="7"/>
        <v>20000.010000000009</v>
      </c>
      <c r="T40" s="192">
        <f>+T38+T36</f>
        <v>1.0000000009313226E-2</v>
      </c>
      <c r="U40" s="217"/>
      <c r="V40" s="208"/>
    </row>
    <row r="41" spans="1:23" s="13" customFormat="1" x14ac:dyDescent="0.3">
      <c r="A41" s="4"/>
      <c r="B41" s="4"/>
      <c r="C41" s="4"/>
      <c r="D41" s="4"/>
      <c r="E41" s="4"/>
      <c r="F41" s="4"/>
      <c r="G41" s="4"/>
      <c r="H41" s="4"/>
      <c r="S41" s="58"/>
      <c r="T41" s="58"/>
      <c r="U41" s="217"/>
      <c r="V41" s="155"/>
    </row>
    <row r="42" spans="1:23" x14ac:dyDescent="0.3">
      <c r="O42" s="13"/>
      <c r="Q42" s="99"/>
      <c r="R42" s="99"/>
      <c r="S42" s="222"/>
    </row>
    <row r="43" spans="1:23" x14ac:dyDescent="0.3">
      <c r="Q43" s="99"/>
      <c r="R43" s="99"/>
      <c r="S43" s="207"/>
    </row>
    <row r="44" spans="1:23" x14ac:dyDescent="0.3">
      <c r="Q44" s="99"/>
      <c r="R44" s="99"/>
      <c r="S44" s="222"/>
    </row>
    <row r="45" spans="1:23" x14ac:dyDescent="0.3">
      <c r="Q45" s="99"/>
      <c r="R45" s="99"/>
      <c r="S45" s="207"/>
    </row>
    <row r="46" spans="1:23" x14ac:dyDescent="0.3">
      <c r="Q46" s="99"/>
      <c r="R46" s="99"/>
      <c r="S46" s="222"/>
    </row>
    <row r="47" spans="1:23" s="4" customFormat="1" x14ac:dyDescent="0.3">
      <c r="P47" s="1"/>
      <c r="Q47" s="269"/>
      <c r="R47" s="269"/>
      <c r="S47" s="222"/>
      <c r="U47" s="217"/>
      <c r="V47" s="155"/>
      <c r="W47" s="1"/>
    </row>
    <row r="48" spans="1:23" s="4" customFormat="1" x14ac:dyDescent="0.3">
      <c r="S48" s="99"/>
      <c r="U48" s="217"/>
      <c r="V48" s="155"/>
      <c r="W48" s="1"/>
    </row>
    <row r="49" spans="19:23" s="4" customFormat="1" x14ac:dyDescent="0.3">
      <c r="S49" s="99"/>
      <c r="U49" s="217"/>
      <c r="V49" s="155"/>
      <c r="W49" s="1"/>
    </row>
    <row r="50" spans="19:23" s="4" customFormat="1" x14ac:dyDescent="0.3">
      <c r="S50" s="99"/>
      <c r="U50" s="217"/>
      <c r="V50" s="155"/>
      <c r="W50" s="1"/>
    </row>
    <row r="51" spans="19:23" x14ac:dyDescent="0.3">
      <c r="S51" s="99"/>
    </row>
    <row r="52" spans="19:23" x14ac:dyDescent="0.3">
      <c r="S52" s="223"/>
    </row>
  </sheetData>
  <mergeCells count="2">
    <mergeCell ref="K1:M1"/>
    <mergeCell ref="N1:P1"/>
  </mergeCells>
  <pageMargins left="0.7" right="0.7" top="0.75" bottom="0.75" header="0.3" footer="0.3"/>
  <pageSetup paperSize="9" scale="58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59E89-1CA7-49B4-B6AB-F4A25C656776}">
  <sheetPr>
    <tabColor theme="5" tint="-0.249977111117893"/>
    <pageSetUpPr fitToPage="1"/>
  </sheetPr>
  <dimension ref="A1:W52"/>
  <sheetViews>
    <sheetView zoomScale="110" zoomScaleNormal="110" workbookViewId="0">
      <pane xSplit="1" ySplit="3" topLeftCell="K4" activePane="bottomRight" state="frozen"/>
      <selection pane="topRight" activeCell="B1" sqref="B1"/>
      <selection pane="bottomLeft" activeCell="A4" sqref="A4"/>
      <selection pane="bottomRight" activeCell="U5" sqref="U5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2" width="16.44140625" style="1" hidden="1" customWidth="1"/>
    <col min="13" max="13" width="18" style="1" hidden="1" customWidth="1"/>
    <col min="14" max="18" width="16.44140625" style="1" customWidth="1"/>
    <col min="19" max="20" width="18.5546875" style="1" customWidth="1"/>
    <col min="21" max="21" width="27" style="217" customWidth="1"/>
    <col min="22" max="22" width="12" style="155" customWidth="1"/>
    <col min="23" max="16384" width="9.109375" style="1"/>
  </cols>
  <sheetData>
    <row r="1" spans="1:22" ht="31.8" thickBot="1" x14ac:dyDescent="0.65">
      <c r="A1" s="211" t="s">
        <v>486</v>
      </c>
      <c r="C1" s="224"/>
      <c r="D1" s="224"/>
      <c r="I1" s="4"/>
      <c r="J1" s="4"/>
      <c r="K1" s="289"/>
      <c r="L1" s="289"/>
      <c r="M1" s="289"/>
      <c r="N1" s="293" t="s">
        <v>487</v>
      </c>
      <c r="O1" s="293"/>
      <c r="P1" s="293"/>
    </row>
    <row r="2" spans="1:22" ht="16.2" thickBot="1" x14ac:dyDescent="0.35"/>
    <row r="3" spans="1:22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37">
        <v>2023</v>
      </c>
      <c r="R3" s="227">
        <v>2024</v>
      </c>
      <c r="S3" s="253" t="s">
        <v>809</v>
      </c>
      <c r="T3" s="240" t="s">
        <v>2701</v>
      </c>
      <c r="U3" s="270"/>
      <c r="V3" s="156"/>
    </row>
    <row r="4" spans="1:22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42"/>
      <c r="R4" s="110">
        <v>45380</v>
      </c>
      <c r="S4" s="110">
        <v>45657</v>
      </c>
      <c r="T4" s="209"/>
      <c r="U4" s="270"/>
      <c r="V4" s="156"/>
    </row>
    <row r="5" spans="1:22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56"/>
      <c r="R5" s="237"/>
      <c r="S5" s="111"/>
      <c r="T5" s="8"/>
    </row>
    <row r="6" spans="1:22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10">
        <v>225734</v>
      </c>
      <c r="Q6" s="10">
        <v>252983</v>
      </c>
      <c r="R6" s="9">
        <v>49705</v>
      </c>
      <c r="S6" s="249">
        <v>255000</v>
      </c>
      <c r="T6" s="190">
        <v>255000</v>
      </c>
      <c r="U6" s="217" t="s">
        <v>2605</v>
      </c>
    </row>
    <row r="7" spans="1:22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10">
        <v>187000</v>
      </c>
      <c r="Q7" s="10">
        <v>181250</v>
      </c>
      <c r="R7" s="9">
        <v>550</v>
      </c>
      <c r="S7" s="249">
        <v>175000</v>
      </c>
      <c r="T7" s="190">
        <v>185000</v>
      </c>
      <c r="U7" s="236" t="s">
        <v>2716</v>
      </c>
    </row>
    <row r="8" spans="1:22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10">
        <v>83434</v>
      </c>
      <c r="Q8" s="10">
        <v>177917</v>
      </c>
      <c r="R8" s="9">
        <v>0</v>
      </c>
      <c r="S8" s="249">
        <v>130000</v>
      </c>
      <c r="T8" s="190">
        <v>130000</v>
      </c>
      <c r="U8" s="236" t="s">
        <v>2702</v>
      </c>
    </row>
    <row r="9" spans="1:22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10">
        <v>33422</v>
      </c>
      <c r="Q9" s="10">
        <v>14330</v>
      </c>
      <c r="R9" s="9">
        <v>15000</v>
      </c>
      <c r="S9" s="249">
        <v>15000</v>
      </c>
      <c r="T9" s="190">
        <v>15000</v>
      </c>
      <c r="U9" s="258" t="s">
        <v>2689</v>
      </c>
    </row>
    <row r="10" spans="1:22" ht="57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10">
        <v>109900</v>
      </c>
      <c r="Q10" s="10">
        <v>137850</v>
      </c>
      <c r="R10" s="9">
        <v>30000</v>
      </c>
      <c r="S10" s="249">
        <v>70000</v>
      </c>
      <c r="T10" s="190">
        <v>125000</v>
      </c>
      <c r="U10" s="236" t="s">
        <v>2715</v>
      </c>
    </row>
    <row r="11" spans="1:22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10">
        <v>145695</v>
      </c>
      <c r="Q11" s="10">
        <v>163300</v>
      </c>
      <c r="R11" s="9">
        <v>7260</v>
      </c>
      <c r="S11" s="249">
        <v>175500</v>
      </c>
      <c r="T11" s="190">
        <v>175500</v>
      </c>
    </row>
    <row r="12" spans="1:22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10"/>
      <c r="Q12" s="10"/>
      <c r="R12" s="9"/>
      <c r="S12" s="249">
        <v>0</v>
      </c>
      <c r="T12" s="190">
        <v>0</v>
      </c>
    </row>
    <row r="13" spans="1:22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10"/>
      <c r="Q13" s="10"/>
      <c r="R13" s="9"/>
      <c r="S13" s="249">
        <v>0</v>
      </c>
      <c r="T13" s="190">
        <v>0</v>
      </c>
    </row>
    <row r="14" spans="1:22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10">
        <v>46439</v>
      </c>
      <c r="Q14" s="10">
        <v>11035</v>
      </c>
      <c r="R14" s="9">
        <v>12620</v>
      </c>
      <c r="S14" s="249">
        <v>30000.01</v>
      </c>
      <c r="T14" s="190">
        <v>30000.01</v>
      </c>
      <c r="U14" s="236" t="s">
        <v>2706</v>
      </c>
    </row>
    <row r="15" spans="1:22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 t="shared" ref="L15:T15" si="2">SUM(L6:L14)</f>
        <v>602111</v>
      </c>
      <c r="M15" s="12">
        <f t="shared" si="2"/>
        <v>627974</v>
      </c>
      <c r="N15" s="12">
        <f t="shared" si="2"/>
        <v>667900</v>
      </c>
      <c r="O15" s="12">
        <f t="shared" si="2"/>
        <v>701882</v>
      </c>
      <c r="P15" s="12">
        <f t="shared" si="2"/>
        <v>831624</v>
      </c>
      <c r="Q15" s="12">
        <f t="shared" ref="Q15" si="3">SUM(Q6:Q14)</f>
        <v>938665</v>
      </c>
      <c r="R15" s="11">
        <f t="shared" si="2"/>
        <v>115135</v>
      </c>
      <c r="S15" s="250">
        <f t="shared" si="2"/>
        <v>850500.01</v>
      </c>
      <c r="T15" s="191">
        <f t="shared" si="2"/>
        <v>915500.01</v>
      </c>
    </row>
    <row r="16" spans="1:22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R16" s="111"/>
      <c r="S16" s="249"/>
      <c r="T16" s="190"/>
    </row>
    <row r="17" spans="1:23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R17" s="112"/>
      <c r="S17" s="249"/>
      <c r="T17" s="190"/>
      <c r="U17" s="271"/>
      <c r="V17" s="159"/>
    </row>
    <row r="18" spans="1:23" ht="21.6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10">
        <v>-181432</v>
      </c>
      <c r="Q18" s="10">
        <v>-220492</v>
      </c>
      <c r="R18" s="9">
        <v>-7868</v>
      </c>
      <c r="S18" s="249">
        <v>-160000</v>
      </c>
      <c r="T18" s="190">
        <v>-190000</v>
      </c>
      <c r="U18" s="236" t="s">
        <v>2713</v>
      </c>
      <c r="V18" s="197"/>
    </row>
    <row r="19" spans="1:23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10">
        <v>-133504</v>
      </c>
      <c r="Q19" s="10">
        <v>-140769</v>
      </c>
      <c r="R19" s="9">
        <v>-16274</v>
      </c>
      <c r="S19" s="249">
        <v>-135000</v>
      </c>
      <c r="T19" s="190">
        <v>-135000</v>
      </c>
      <c r="V19" s="197"/>
      <c r="W19" s="55"/>
    </row>
    <row r="20" spans="1:23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10">
        <v>-519</v>
      </c>
      <c r="Q20" s="10">
        <v>-58306</v>
      </c>
      <c r="R20" s="9">
        <v>-867</v>
      </c>
      <c r="S20" s="249">
        <v>-20000</v>
      </c>
      <c r="T20" s="190">
        <v>-20000</v>
      </c>
      <c r="U20" s="217" t="s">
        <v>2709</v>
      </c>
      <c r="V20" s="197"/>
    </row>
    <row r="21" spans="1:23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10">
        <v>-29952</v>
      </c>
      <c r="Q21" s="10">
        <v>-42358</v>
      </c>
      <c r="R21" s="9">
        <v>-4765</v>
      </c>
      <c r="S21" s="249">
        <v>-30000</v>
      </c>
      <c r="T21" s="190">
        <v>-30000</v>
      </c>
      <c r="U21" s="217" t="s">
        <v>2714</v>
      </c>
      <c r="V21" s="197"/>
    </row>
    <row r="22" spans="1:23" ht="33.6" customHeight="1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10">
        <v>-92029</v>
      </c>
      <c r="Q22" s="10">
        <v>-99926</v>
      </c>
      <c r="R22" s="9">
        <v>-3835</v>
      </c>
      <c r="S22" s="249">
        <v>-85000</v>
      </c>
      <c r="T22" s="190">
        <v>-95000</v>
      </c>
      <c r="U22" s="217" t="s">
        <v>2708</v>
      </c>
      <c r="V22" s="197"/>
    </row>
    <row r="23" spans="1:23" ht="28.2" customHeight="1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10">
        <v>-79144</v>
      </c>
      <c r="Q23" s="10">
        <v>-104788</v>
      </c>
      <c r="R23" s="9">
        <v>-10684</v>
      </c>
      <c r="S23" s="249">
        <v>-105000</v>
      </c>
      <c r="T23" s="190">
        <v>-105000</v>
      </c>
      <c r="U23" s="217" t="s">
        <v>2711</v>
      </c>
      <c r="V23" s="197"/>
    </row>
    <row r="24" spans="1:23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10">
        <v>-1231</v>
      </c>
      <c r="Q24" s="10">
        <v>-13700</v>
      </c>
      <c r="R24" s="9">
        <v>-900</v>
      </c>
      <c r="S24" s="249">
        <v>-10000</v>
      </c>
      <c r="T24" s="190">
        <v>-10000</v>
      </c>
      <c r="V24" s="197"/>
    </row>
    <row r="25" spans="1:23" ht="26.4" customHeight="1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10">
        <v>-22800</v>
      </c>
      <c r="Q25" s="10">
        <v>-34900</v>
      </c>
      <c r="R25" s="9">
        <v>-9805</v>
      </c>
      <c r="S25" s="249">
        <v>-30000</v>
      </c>
      <c r="T25" s="190">
        <v>-35000</v>
      </c>
      <c r="U25" s="217" t="s">
        <v>2707</v>
      </c>
      <c r="V25" s="197"/>
    </row>
    <row r="26" spans="1:23" ht="22.8" customHeight="1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10">
        <v>-30440</v>
      </c>
      <c r="Q26" s="10">
        <v>-32200</v>
      </c>
      <c r="R26" s="9" t="s">
        <v>2704</v>
      </c>
      <c r="S26" s="249">
        <v>-30000</v>
      </c>
      <c r="T26" s="190">
        <v>-30000</v>
      </c>
      <c r="U26" s="217" t="s">
        <v>2703</v>
      </c>
      <c r="V26" s="197"/>
    </row>
    <row r="27" spans="1:23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10">
        <v>-5340</v>
      </c>
      <c r="Q27" s="10">
        <v>-4080</v>
      </c>
      <c r="R27" s="9">
        <v>-2500</v>
      </c>
      <c r="S27" s="249">
        <v>-5000</v>
      </c>
      <c r="T27" s="190">
        <v>-5000</v>
      </c>
      <c r="U27" s="217" t="s">
        <v>2710</v>
      </c>
      <c r="V27" s="197"/>
    </row>
    <row r="28" spans="1:23" ht="34.799999999999997" customHeight="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10">
        <f>-55750</f>
        <v>-55750</v>
      </c>
      <c r="Q28" s="10">
        <v>-66350</v>
      </c>
      <c r="R28" s="9">
        <v>-2650</v>
      </c>
      <c r="S28" s="249">
        <v>-75000</v>
      </c>
      <c r="T28" s="190">
        <v>-75000</v>
      </c>
      <c r="U28" s="217" t="s">
        <v>2712</v>
      </c>
      <c r="V28" s="197"/>
    </row>
    <row r="29" spans="1:23" ht="27" customHeight="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10">
        <f>-19000-4000</f>
        <v>-23000</v>
      </c>
      <c r="Q29" s="10">
        <v>-19850</v>
      </c>
      <c r="R29" s="9">
        <v>0</v>
      </c>
      <c r="S29" s="249">
        <v>-20000</v>
      </c>
      <c r="T29" s="190">
        <v>-20000</v>
      </c>
      <c r="U29" s="217" t="s">
        <v>2498</v>
      </c>
    </row>
    <row r="30" spans="1:23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10">
        <v>-500</v>
      </c>
      <c r="Q30" s="10">
        <v>-500</v>
      </c>
      <c r="R30" s="9">
        <v>-500</v>
      </c>
      <c r="S30" s="249">
        <v>-500</v>
      </c>
      <c r="T30" s="190">
        <v>-500</v>
      </c>
    </row>
    <row r="31" spans="1:23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10">
        <v>-166907</v>
      </c>
      <c r="Q31" s="10">
        <v>-161843</v>
      </c>
      <c r="R31" s="9">
        <v>0</v>
      </c>
      <c r="S31" s="249">
        <v>-160000</v>
      </c>
      <c r="T31" s="190">
        <v>-160000</v>
      </c>
      <c r="U31" s="217" t="s">
        <v>2649</v>
      </c>
      <c r="V31" s="197"/>
    </row>
    <row r="32" spans="1:23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10"/>
      <c r="Q32" s="10"/>
      <c r="R32" s="9"/>
      <c r="S32" s="249">
        <v>0</v>
      </c>
      <c r="T32" s="190">
        <v>0</v>
      </c>
      <c r="V32" s="197"/>
    </row>
    <row r="33" spans="1:23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10">
        <v>-5059</v>
      </c>
      <c r="Q33" s="10">
        <f>-750-1134-300-1094-78-365-350-711-1000-295-148</f>
        <v>-6225</v>
      </c>
      <c r="R33" s="9">
        <f>-750-65-1368-1000-308-1600-90</f>
        <v>-5181</v>
      </c>
      <c r="S33" s="249">
        <v>-5000</v>
      </c>
      <c r="T33" s="190">
        <v>-5000</v>
      </c>
      <c r="U33" s="217" t="s">
        <v>2705</v>
      </c>
      <c r="V33" s="197"/>
    </row>
    <row r="34" spans="1:23" x14ac:dyDescent="0.3">
      <c r="A34" s="7" t="s">
        <v>2555</v>
      </c>
      <c r="B34" s="39">
        <f t="shared" ref="B34:R34" si="4">SUM(B18:B33)</f>
        <v>-218877</v>
      </c>
      <c r="C34" s="39">
        <f t="shared" si="4"/>
        <v>-258934</v>
      </c>
      <c r="D34" s="39">
        <f t="shared" si="4"/>
        <v>-187844</v>
      </c>
      <c r="E34" s="39">
        <f t="shared" si="4"/>
        <v>-247088.42</v>
      </c>
      <c r="F34" s="39">
        <f t="shared" si="4"/>
        <v>-325572.77</v>
      </c>
      <c r="G34" s="39">
        <f t="shared" si="4"/>
        <v>-457445</v>
      </c>
      <c r="H34" s="39">
        <f t="shared" si="4"/>
        <v>-467066</v>
      </c>
      <c r="I34" s="39">
        <f t="shared" si="4"/>
        <v>-618159</v>
      </c>
      <c r="J34" s="39">
        <f t="shared" si="4"/>
        <v>-584733</v>
      </c>
      <c r="K34" s="12">
        <f t="shared" si="4"/>
        <v>-734998</v>
      </c>
      <c r="L34" s="12">
        <f t="shared" si="4"/>
        <v>-594086</v>
      </c>
      <c r="M34" s="12">
        <f t="shared" si="4"/>
        <v>-638296</v>
      </c>
      <c r="N34" s="12">
        <f t="shared" si="4"/>
        <v>-545616</v>
      </c>
      <c r="O34" s="12">
        <f t="shared" ref="O34" si="5">SUM(O18:O33)</f>
        <v>-596955</v>
      </c>
      <c r="P34" s="12">
        <f t="shared" si="4"/>
        <v>-827607</v>
      </c>
      <c r="Q34" s="12">
        <f t="shared" ref="Q34" si="6">SUM(Q18:Q33)</f>
        <v>-1006287</v>
      </c>
      <c r="R34" s="11">
        <f t="shared" si="4"/>
        <v>-65829</v>
      </c>
      <c r="S34" s="250">
        <f>SUM(S18:S33)</f>
        <v>-870500</v>
      </c>
      <c r="T34" s="191">
        <f>SUM(T18:T33)</f>
        <v>-915500</v>
      </c>
      <c r="U34" s="272"/>
      <c r="V34" s="206"/>
    </row>
    <row r="35" spans="1:23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46"/>
      <c r="Q35" s="46"/>
      <c r="R35" s="113"/>
      <c r="S35" s="250"/>
      <c r="T35" s="191"/>
      <c r="V35" s="207"/>
    </row>
    <row r="36" spans="1:23" s="13" customFormat="1" ht="38.25" hidden="1" customHeight="1" x14ac:dyDescent="0.3">
      <c r="A36" s="7" t="s">
        <v>48</v>
      </c>
      <c r="B36" s="39">
        <f t="shared" ref="B36:R36" si="7">+B34+B15</f>
        <v>-24674</v>
      </c>
      <c r="C36" s="39">
        <f t="shared" si="7"/>
        <v>86791</v>
      </c>
      <c r="D36" s="39">
        <f t="shared" si="7"/>
        <v>32713</v>
      </c>
      <c r="E36" s="39">
        <f t="shared" si="7"/>
        <v>-5009.1400000000431</v>
      </c>
      <c r="F36" s="39">
        <f t="shared" si="7"/>
        <v>-25959.489999999991</v>
      </c>
      <c r="G36" s="39">
        <f t="shared" si="7"/>
        <v>-167525</v>
      </c>
      <c r="H36" s="39">
        <f t="shared" si="7"/>
        <v>13685</v>
      </c>
      <c r="I36" s="12">
        <f t="shared" si="7"/>
        <v>10177</v>
      </c>
      <c r="J36" s="12">
        <f t="shared" si="7"/>
        <v>36557</v>
      </c>
      <c r="K36" s="12">
        <f t="shared" si="7"/>
        <v>-84874</v>
      </c>
      <c r="L36" s="12">
        <f t="shared" si="7"/>
        <v>8025</v>
      </c>
      <c r="M36" s="12">
        <f t="shared" si="7"/>
        <v>-10322</v>
      </c>
      <c r="N36" s="12">
        <f t="shared" si="7"/>
        <v>122284</v>
      </c>
      <c r="O36" s="12">
        <f t="shared" si="7"/>
        <v>104927</v>
      </c>
      <c r="P36" s="12">
        <f t="shared" si="7"/>
        <v>4017</v>
      </c>
      <c r="Q36" s="12">
        <f t="shared" ref="Q36" si="8">+Q34+Q15</f>
        <v>-67622</v>
      </c>
      <c r="R36" s="11">
        <f t="shared" si="7"/>
        <v>49306</v>
      </c>
      <c r="S36" s="250">
        <f>S15+S34</f>
        <v>-19999.989999999991</v>
      </c>
      <c r="T36" s="191">
        <f>T15+T34</f>
        <v>1.0000000009313226E-2</v>
      </c>
      <c r="U36" s="217"/>
      <c r="V36" s="207"/>
    </row>
    <row r="37" spans="1:23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2"/>
      <c r="Q37" s="12"/>
      <c r="R37" s="11"/>
      <c r="S37" s="250"/>
      <c r="T37" s="191"/>
      <c r="U37" s="217"/>
      <c r="V37" s="207"/>
    </row>
    <row r="38" spans="1:23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1">
        <v>0</v>
      </c>
      <c r="S38" s="250">
        <v>0</v>
      </c>
      <c r="T38" s="191">
        <v>0</v>
      </c>
      <c r="U38" s="217"/>
      <c r="V38" s="206"/>
    </row>
    <row r="39" spans="1:23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2"/>
      <c r="R39" s="14"/>
      <c r="S39" s="251"/>
      <c r="T39" s="210"/>
      <c r="U39" s="272"/>
      <c r="V39" s="206"/>
    </row>
    <row r="40" spans="1:23" s="13" customFormat="1" ht="16.2" thickBot="1" x14ac:dyDescent="0.35">
      <c r="A40" s="7" t="s">
        <v>2557</v>
      </c>
      <c r="B40" s="39">
        <f t="shared" ref="B40:S40" si="9">+B38+B36</f>
        <v>-34674</v>
      </c>
      <c r="C40" s="39">
        <f t="shared" si="9"/>
        <v>76791</v>
      </c>
      <c r="D40" s="39">
        <f t="shared" si="9"/>
        <v>22713</v>
      </c>
      <c r="E40" s="39">
        <f t="shared" si="9"/>
        <v>-15009.140000000043</v>
      </c>
      <c r="F40" s="39">
        <f t="shared" si="9"/>
        <v>-35959.489999999991</v>
      </c>
      <c r="G40" s="39">
        <f t="shared" si="9"/>
        <v>-181974</v>
      </c>
      <c r="H40" s="39">
        <f t="shared" si="9"/>
        <v>13685</v>
      </c>
      <c r="I40" s="12">
        <f t="shared" si="9"/>
        <v>10177</v>
      </c>
      <c r="J40" s="12">
        <f>+J38+J36</f>
        <v>36557</v>
      </c>
      <c r="K40" s="12">
        <f t="shared" si="9"/>
        <v>-84874</v>
      </c>
      <c r="L40" s="12">
        <f t="shared" si="9"/>
        <v>8025</v>
      </c>
      <c r="M40" s="12">
        <f t="shared" si="9"/>
        <v>-10322</v>
      </c>
      <c r="N40" s="12">
        <f t="shared" si="9"/>
        <v>122284</v>
      </c>
      <c r="O40" s="12">
        <f t="shared" si="9"/>
        <v>104927</v>
      </c>
      <c r="P40" s="12">
        <f t="shared" si="9"/>
        <v>4017</v>
      </c>
      <c r="Q40" s="12">
        <f t="shared" ref="Q40" si="10">+Q38+Q36</f>
        <v>-67622</v>
      </c>
      <c r="R40" s="154">
        <f t="shared" si="9"/>
        <v>49306</v>
      </c>
      <c r="S40" s="252">
        <f t="shared" si="9"/>
        <v>-19999.989999999991</v>
      </c>
      <c r="T40" s="192">
        <f>+T38+T36</f>
        <v>1.0000000009313226E-2</v>
      </c>
      <c r="U40" s="217"/>
      <c r="V40" s="208"/>
    </row>
    <row r="41" spans="1:23" s="13" customFormat="1" x14ac:dyDescent="0.3">
      <c r="A41" s="4"/>
      <c r="B41" s="4"/>
      <c r="C41" s="4"/>
      <c r="D41" s="4"/>
      <c r="E41" s="4"/>
      <c r="F41" s="4"/>
      <c r="G41" s="4"/>
      <c r="H41" s="4"/>
      <c r="S41" s="58"/>
      <c r="T41" s="58"/>
      <c r="U41" s="217"/>
      <c r="V41" s="155"/>
    </row>
    <row r="42" spans="1:23" x14ac:dyDescent="0.3">
      <c r="O42" s="13"/>
      <c r="Q42" s="99"/>
      <c r="R42" s="99"/>
      <c r="S42" s="222"/>
    </row>
    <row r="43" spans="1:23" x14ac:dyDescent="0.3">
      <c r="Q43" s="99"/>
      <c r="R43" s="99"/>
      <c r="S43" s="207"/>
    </row>
    <row r="44" spans="1:23" x14ac:dyDescent="0.3">
      <c r="Q44" s="99"/>
      <c r="R44" s="99"/>
      <c r="S44" s="222"/>
    </row>
    <row r="45" spans="1:23" x14ac:dyDescent="0.3">
      <c r="Q45" s="99"/>
      <c r="R45" s="99"/>
      <c r="S45" s="207"/>
    </row>
    <row r="46" spans="1:23" x14ac:dyDescent="0.3">
      <c r="Q46" s="99"/>
      <c r="R46" s="99"/>
      <c r="S46" s="222"/>
    </row>
    <row r="47" spans="1:23" s="4" customFormat="1" x14ac:dyDescent="0.3">
      <c r="P47" s="1"/>
      <c r="Q47" s="269"/>
      <c r="R47" s="269"/>
      <c r="S47" s="222"/>
      <c r="U47" s="217"/>
      <c r="V47" s="155"/>
      <c r="W47" s="1"/>
    </row>
    <row r="48" spans="1:23" s="4" customFormat="1" x14ac:dyDescent="0.3">
      <c r="S48" s="99"/>
      <c r="U48" s="217"/>
      <c r="V48" s="155"/>
      <c r="W48" s="1"/>
    </row>
    <row r="49" spans="19:23" s="4" customFormat="1" x14ac:dyDescent="0.3">
      <c r="S49" s="99"/>
      <c r="U49" s="217"/>
      <c r="V49" s="155"/>
      <c r="W49" s="1"/>
    </row>
    <row r="50" spans="19:23" s="4" customFormat="1" x14ac:dyDescent="0.3">
      <c r="S50" s="99"/>
      <c r="U50" s="217"/>
      <c r="V50" s="155"/>
      <c r="W50" s="1"/>
    </row>
    <row r="51" spans="19:23" x14ac:dyDescent="0.3">
      <c r="S51" s="99"/>
    </row>
    <row r="52" spans="19:23" x14ac:dyDescent="0.3">
      <c r="S52" s="223"/>
    </row>
  </sheetData>
  <mergeCells count="2">
    <mergeCell ref="K1:M1"/>
    <mergeCell ref="N1:P1"/>
  </mergeCells>
  <pageMargins left="0.7" right="0.7" top="0.75" bottom="0.75" header="0.3" footer="0.3"/>
  <pageSetup paperSize="9" scale="58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154B2-189E-442B-815F-67E54CE39631}">
  <sheetPr>
    <tabColor theme="5" tint="-0.249977111117893"/>
    <pageSetUpPr fitToPage="1"/>
  </sheetPr>
  <dimension ref="A1:U50"/>
  <sheetViews>
    <sheetView zoomScale="120" zoomScaleNormal="120" workbookViewId="0">
      <pane xSplit="1" ySplit="3" topLeftCell="L4" activePane="bottomRight" state="frozen"/>
      <selection pane="topRight"/>
      <selection pane="bottomLeft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1" width="16.44140625" style="1" hidden="1" customWidth="1"/>
    <col min="12" max="12" width="18" style="1" hidden="1" customWidth="1"/>
    <col min="13" max="17" width="18" style="1" customWidth="1"/>
    <col min="18" max="18" width="18.5546875" style="1" customWidth="1"/>
    <col min="19" max="19" width="27" style="196" customWidth="1"/>
    <col min="20" max="20" width="12" style="155" customWidth="1"/>
    <col min="21" max="16384" width="9.109375" style="1"/>
  </cols>
  <sheetData>
    <row r="1" spans="1:20" ht="31.8" thickBot="1" x14ac:dyDescent="0.65">
      <c r="A1" s="211" t="s">
        <v>486</v>
      </c>
      <c r="B1" s="254"/>
      <c r="C1" s="255"/>
      <c r="D1" s="255"/>
      <c r="G1" s="1"/>
      <c r="I1" s="4"/>
      <c r="K1" s="291" t="s">
        <v>487</v>
      </c>
      <c r="L1" s="291"/>
      <c r="M1" s="291"/>
      <c r="N1" s="291"/>
      <c r="O1" s="291"/>
      <c r="P1" s="291"/>
      <c r="Q1" s="291"/>
      <c r="R1" s="292"/>
    </row>
    <row r="2" spans="1:20" ht="16.2" thickBot="1" x14ac:dyDescent="0.35"/>
    <row r="3" spans="1:20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37">
        <v>2016</v>
      </c>
      <c r="K3" s="241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37">
        <v>2023</v>
      </c>
      <c r="R3" s="240" t="s">
        <v>2701</v>
      </c>
      <c r="S3" s="156"/>
      <c r="T3" s="156"/>
    </row>
    <row r="4" spans="1:20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275"/>
      <c r="P4" s="263"/>
      <c r="Q4" s="267"/>
      <c r="R4" s="209"/>
      <c r="S4" s="156"/>
      <c r="T4" s="156"/>
    </row>
    <row r="5" spans="1:20" ht="16.2" thickBot="1" x14ac:dyDescent="0.35">
      <c r="A5" s="32" t="s">
        <v>19</v>
      </c>
      <c r="B5" s="10"/>
      <c r="C5" s="7"/>
      <c r="D5" s="7"/>
      <c r="I5" s="4"/>
      <c r="J5" s="4"/>
      <c r="K5" s="262"/>
      <c r="L5" s="262"/>
      <c r="M5" s="262"/>
      <c r="N5" s="262"/>
      <c r="O5" s="256"/>
      <c r="P5" s="264"/>
      <c r="Q5" s="237"/>
      <c r="R5" s="8"/>
      <c r="S5" s="155"/>
    </row>
    <row r="6" spans="1:20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38">
        <v>183801</v>
      </c>
      <c r="L6" s="38">
        <v>157419</v>
      </c>
      <c r="M6" s="38">
        <v>174547</v>
      </c>
      <c r="N6" s="38">
        <v>201753</v>
      </c>
      <c r="O6" s="38">
        <v>201232</v>
      </c>
      <c r="P6" s="38">
        <v>225734</v>
      </c>
      <c r="Q6" s="9">
        <v>252983</v>
      </c>
      <c r="R6" s="190">
        <v>255000</v>
      </c>
      <c r="S6" s="217"/>
    </row>
    <row r="7" spans="1:20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38">
        <v>131700</v>
      </c>
      <c r="L7" s="38">
        <v>136075</v>
      </c>
      <c r="M7" s="38">
        <v>171450</v>
      </c>
      <c r="N7" s="38">
        <v>179900</v>
      </c>
      <c r="O7" s="38">
        <v>165825</v>
      </c>
      <c r="P7" s="38">
        <v>187000</v>
      </c>
      <c r="Q7" s="9">
        <v>181250</v>
      </c>
      <c r="R7" s="190">
        <v>185000</v>
      </c>
      <c r="S7" s="236"/>
    </row>
    <row r="8" spans="1:20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38">
        <v>96525</v>
      </c>
      <c r="L8" s="38">
        <v>71440</v>
      </c>
      <c r="M8" s="38">
        <v>94105</v>
      </c>
      <c r="N8" s="38">
        <v>36227</v>
      </c>
      <c r="O8" s="38">
        <v>38377</v>
      </c>
      <c r="P8" s="38">
        <v>83434</v>
      </c>
      <c r="Q8" s="9">
        <v>177917</v>
      </c>
      <c r="R8" s="190">
        <v>130000</v>
      </c>
      <c r="S8" s="155"/>
    </row>
    <row r="9" spans="1:20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38">
        <v>13700</v>
      </c>
      <c r="L9" s="38">
        <v>18200</v>
      </c>
      <c r="M9" s="38">
        <v>12988</v>
      </c>
      <c r="N9" s="38">
        <v>20320</v>
      </c>
      <c r="O9" s="38">
        <v>16440</v>
      </c>
      <c r="P9" s="38">
        <v>33422</v>
      </c>
      <c r="Q9" s="9">
        <v>14330</v>
      </c>
      <c r="R9" s="190">
        <v>15000</v>
      </c>
      <c r="S9" s="217"/>
    </row>
    <row r="10" spans="1:20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38">
        <v>104297</v>
      </c>
      <c r="L10" s="38">
        <v>93420</v>
      </c>
      <c r="M10" s="38">
        <v>63900</v>
      </c>
      <c r="N10" s="38">
        <v>40260</v>
      </c>
      <c r="O10" s="38">
        <v>93603</v>
      </c>
      <c r="P10" s="38">
        <v>109900</v>
      </c>
      <c r="Q10" s="9">
        <v>137850</v>
      </c>
      <c r="R10" s="190">
        <v>125000</v>
      </c>
      <c r="S10" s="217"/>
    </row>
    <row r="11" spans="1:20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38">
        <v>85200</v>
      </c>
      <c r="L11" s="38">
        <v>69517</v>
      </c>
      <c r="M11" s="38">
        <v>89680</v>
      </c>
      <c r="N11" s="38">
        <v>95633</v>
      </c>
      <c r="O11" s="38">
        <v>124778</v>
      </c>
      <c r="P11" s="38">
        <v>145695</v>
      </c>
      <c r="Q11" s="9">
        <v>163300</v>
      </c>
      <c r="R11" s="190">
        <v>175500</v>
      </c>
      <c r="S11" s="155"/>
    </row>
    <row r="12" spans="1:20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38">
        <v>5455</v>
      </c>
      <c r="L12" s="38">
        <v>0</v>
      </c>
      <c r="M12" s="38">
        <v>0</v>
      </c>
      <c r="N12" s="38">
        <v>0</v>
      </c>
      <c r="O12" s="38"/>
      <c r="P12" s="38"/>
      <c r="Q12" s="9"/>
      <c r="R12" s="190">
        <v>0</v>
      </c>
      <c r="S12" s="155"/>
    </row>
    <row r="13" spans="1:20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/>
      <c r="P13" s="38"/>
      <c r="Q13" s="9"/>
      <c r="R13" s="190">
        <v>0</v>
      </c>
      <c r="S13" s="155"/>
    </row>
    <row r="14" spans="1:20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38">
        <v>29446</v>
      </c>
      <c r="L14" s="38">
        <v>56040</v>
      </c>
      <c r="M14" s="38">
        <v>21304</v>
      </c>
      <c r="N14" s="38">
        <v>93807</v>
      </c>
      <c r="O14" s="38">
        <v>61627</v>
      </c>
      <c r="P14" s="38">
        <v>46439</v>
      </c>
      <c r="Q14" s="9">
        <v>11035</v>
      </c>
      <c r="R14" s="190">
        <v>30000.01</v>
      </c>
      <c r="S14" s="217"/>
    </row>
    <row r="15" spans="1:20" x14ac:dyDescent="0.3">
      <c r="A15" s="7" t="s">
        <v>2554</v>
      </c>
      <c r="B15" s="39">
        <f t="shared" ref="B15:R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si="0"/>
        <v>621290</v>
      </c>
      <c r="K15" s="39">
        <f t="shared" si="0"/>
        <v>650124</v>
      </c>
      <c r="L15" s="39">
        <f>SUM(L6:L14)</f>
        <v>602111</v>
      </c>
      <c r="M15" s="39">
        <v>627974</v>
      </c>
      <c r="N15" s="39">
        <f>SUM(N6:N14)</f>
        <v>667900</v>
      </c>
      <c r="O15" s="39">
        <f>SUM(O6:O14)</f>
        <v>701882</v>
      </c>
      <c r="P15" s="39">
        <f>SUM(P6:P14)</f>
        <v>831624</v>
      </c>
      <c r="Q15" s="11">
        <f t="shared" ref="Q15" si="1">SUM(Q6:Q14)</f>
        <v>938665</v>
      </c>
      <c r="R15" s="191">
        <f t="shared" si="0"/>
        <v>915500.01</v>
      </c>
      <c r="S15" s="155"/>
    </row>
    <row r="16" spans="1:20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K16" s="40"/>
      <c r="Q16" s="111"/>
      <c r="R16" s="190"/>
      <c r="S16" s="155"/>
    </row>
    <row r="17" spans="1:21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K17" s="41"/>
      <c r="Q17" s="112"/>
      <c r="R17" s="190"/>
      <c r="S17" s="159"/>
      <c r="T17" s="159"/>
    </row>
    <row r="18" spans="1:21" x14ac:dyDescent="0.3">
      <c r="A18" s="4" t="s">
        <v>46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38">
        <v>-134562</v>
      </c>
      <c r="L18" s="38">
        <v>-150140</v>
      </c>
      <c r="M18" s="38">
        <v>-104717</v>
      </c>
      <c r="N18" s="38">
        <v>-122818</v>
      </c>
      <c r="O18" s="38">
        <v>-159842</v>
      </c>
      <c r="P18" s="38">
        <v>-181432</v>
      </c>
      <c r="Q18" s="9">
        <v>-220492</v>
      </c>
      <c r="R18" s="190">
        <v>-190000</v>
      </c>
      <c r="S18" s="155"/>
      <c r="T18" s="197"/>
      <c r="U18" s="55"/>
    </row>
    <row r="19" spans="1:21" x14ac:dyDescent="0.3">
      <c r="A19" s="4" t="s">
        <v>45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38">
        <v>-201761</v>
      </c>
      <c r="L19" s="38">
        <v>-70226</v>
      </c>
      <c r="M19" s="38">
        <v>-120875</v>
      </c>
      <c r="N19" s="38">
        <v>-81372</v>
      </c>
      <c r="O19" s="38">
        <v>-100638</v>
      </c>
      <c r="P19" s="38">
        <v>-133504</v>
      </c>
      <c r="Q19" s="9">
        <v>-140769</v>
      </c>
      <c r="R19" s="190">
        <v>-135000</v>
      </c>
      <c r="S19" s="157"/>
      <c r="T19" s="197"/>
    </row>
    <row r="20" spans="1:21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38">
        <v>-17887</v>
      </c>
      <c r="L20" s="38">
        <v>-4522</v>
      </c>
      <c r="M20" s="38">
        <v>0</v>
      </c>
      <c r="N20" s="38">
        <v>-469</v>
      </c>
      <c r="O20" s="38">
        <v>-225</v>
      </c>
      <c r="P20" s="38">
        <v>-519</v>
      </c>
      <c r="Q20" s="9">
        <v>-58306</v>
      </c>
      <c r="R20" s="190">
        <v>-20000</v>
      </c>
      <c r="S20" s="157"/>
      <c r="T20" s="197"/>
    </row>
    <row r="21" spans="1:21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38">
        <v>-38345</v>
      </c>
      <c r="L21" s="38">
        <v>-52120</v>
      </c>
      <c r="M21" s="38">
        <v>-70704</v>
      </c>
      <c r="N21" s="38">
        <v>-10498</v>
      </c>
      <c r="O21" s="38">
        <v>-17059</v>
      </c>
      <c r="P21" s="38">
        <v>-29952</v>
      </c>
      <c r="Q21" s="9">
        <v>-42358</v>
      </c>
      <c r="R21" s="190">
        <v>-30000</v>
      </c>
      <c r="S21" s="155"/>
      <c r="T21" s="197"/>
    </row>
    <row r="22" spans="1:21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38">
        <v>-40515</v>
      </c>
      <c r="L22" s="38">
        <v>-23150</v>
      </c>
      <c r="M22" s="38">
        <v>-39500</v>
      </c>
      <c r="N22" s="38">
        <v>-35192</v>
      </c>
      <c r="O22" s="38">
        <v>-26250</v>
      </c>
      <c r="P22" s="38">
        <v>-92029</v>
      </c>
      <c r="Q22" s="9">
        <v>-99926</v>
      </c>
      <c r="R22" s="190">
        <v>-95000</v>
      </c>
      <c r="S22" s="155"/>
      <c r="T22" s="197"/>
    </row>
    <row r="23" spans="1:21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38">
        <v>-76389</v>
      </c>
      <c r="L23" s="38">
        <v>-81515</v>
      </c>
      <c r="M23" s="38">
        <v>-88679</v>
      </c>
      <c r="N23" s="38">
        <v>-72732</v>
      </c>
      <c r="O23" s="38">
        <v>-58100</v>
      </c>
      <c r="P23" s="38">
        <v>-79144</v>
      </c>
      <c r="Q23" s="9">
        <v>-104788</v>
      </c>
      <c r="R23" s="190">
        <v>-105000</v>
      </c>
      <c r="S23" s="157"/>
      <c r="T23" s="197"/>
    </row>
    <row r="24" spans="1:21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38">
        <v>-2500</v>
      </c>
      <c r="L24" s="38">
        <v>-3050</v>
      </c>
      <c r="M24" s="38">
        <v>-3860</v>
      </c>
      <c r="N24" s="38">
        <v>-7420</v>
      </c>
      <c r="O24" s="38">
        <v>-4750</v>
      </c>
      <c r="P24" s="38">
        <v>-1231</v>
      </c>
      <c r="Q24" s="9">
        <v>-13700</v>
      </c>
      <c r="R24" s="190">
        <v>-10000</v>
      </c>
      <c r="S24" s="155"/>
      <c r="T24" s="197"/>
    </row>
    <row r="25" spans="1:21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38">
        <v>-23700</v>
      </c>
      <c r="L25" s="38">
        <v>-23490</v>
      </c>
      <c r="M25" s="38">
        <v>-20500</v>
      </c>
      <c r="N25" s="38">
        <v>-6700</v>
      </c>
      <c r="O25" s="38">
        <v>-4050</v>
      </c>
      <c r="P25" s="38">
        <v>-22800</v>
      </c>
      <c r="Q25" s="9">
        <v>-34900</v>
      </c>
      <c r="R25" s="190">
        <v>-35000</v>
      </c>
      <c r="S25" s="157"/>
      <c r="T25" s="197"/>
    </row>
    <row r="26" spans="1:21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38">
        <v>-30550</v>
      </c>
      <c r="L26" s="38">
        <v>-32750</v>
      </c>
      <c r="M26" s="38">
        <v>-41400</v>
      </c>
      <c r="N26" s="38">
        <v>-35920</v>
      </c>
      <c r="O26" s="38">
        <v>-14840</v>
      </c>
      <c r="P26" s="38">
        <v>-30440</v>
      </c>
      <c r="Q26" s="9">
        <v>-32200</v>
      </c>
      <c r="R26" s="190">
        <v>-30000</v>
      </c>
      <c r="S26" s="157"/>
      <c r="T26" s="197"/>
    </row>
    <row r="27" spans="1:21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38">
        <v>-14710</v>
      </c>
      <c r="L27" s="38">
        <v>-18980</v>
      </c>
      <c r="M27" s="38">
        <v>-15500</v>
      </c>
      <c r="N27" s="38">
        <v>-14350</v>
      </c>
      <c r="O27" s="38">
        <v>-15370</v>
      </c>
      <c r="P27" s="38">
        <v>-5340</v>
      </c>
      <c r="Q27" s="9">
        <v>-4080</v>
      </c>
      <c r="R27" s="190">
        <v>-5000</v>
      </c>
      <c r="S27" s="155"/>
      <c r="T27" s="197"/>
    </row>
    <row r="28" spans="1:2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38">
        <v>-39400</v>
      </c>
      <c r="L28" s="38">
        <v>-28600</v>
      </c>
      <c r="M28" s="38">
        <v>-18000</v>
      </c>
      <c r="N28" s="38">
        <v>-25600</v>
      </c>
      <c r="O28" s="38">
        <v>-53500</v>
      </c>
      <c r="P28" s="38">
        <v>-55750</v>
      </c>
      <c r="Q28" s="9">
        <v>-66350</v>
      </c>
      <c r="R28" s="190">
        <v>-75000</v>
      </c>
      <c r="S28" s="157"/>
      <c r="T28" s="197"/>
    </row>
    <row r="29" spans="1:2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38">
        <v>-10000</v>
      </c>
      <c r="L29" s="38">
        <v>-14500</v>
      </c>
      <c r="M29" s="38">
        <v>-12500</v>
      </c>
      <c r="N29" s="38">
        <v>-14000</v>
      </c>
      <c r="O29" s="38">
        <v>-9500</v>
      </c>
      <c r="P29" s="38">
        <v>-23000</v>
      </c>
      <c r="Q29" s="9">
        <v>-19850</v>
      </c>
      <c r="R29" s="190">
        <v>-20000</v>
      </c>
      <c r="S29" s="157"/>
    </row>
    <row r="30" spans="1:21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38">
        <v>-3000</v>
      </c>
      <c r="L30" s="38">
        <v>-500</v>
      </c>
      <c r="M30" s="38">
        <v>-500</v>
      </c>
      <c r="N30" s="38">
        <v>-500</v>
      </c>
      <c r="O30" s="38">
        <v>-500</v>
      </c>
      <c r="P30" s="38">
        <v>-500</v>
      </c>
      <c r="Q30" s="9">
        <v>-500</v>
      </c>
      <c r="R30" s="190">
        <v>-500</v>
      </c>
      <c r="S30" s="157"/>
    </row>
    <row r="31" spans="1:21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38">
        <v>-90569</v>
      </c>
      <c r="L31" s="38">
        <v>-87302</v>
      </c>
      <c r="M31" s="38">
        <v>-94382</v>
      </c>
      <c r="N31" s="38">
        <v>-111217</v>
      </c>
      <c r="O31" s="38">
        <v>-128246</v>
      </c>
      <c r="P31" s="38">
        <v>-166907</v>
      </c>
      <c r="Q31" s="9">
        <v>-161843</v>
      </c>
      <c r="R31" s="190">
        <v>-160000</v>
      </c>
      <c r="S31" s="155"/>
      <c r="T31" s="197"/>
    </row>
    <row r="32" spans="1:21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38">
        <v>0</v>
      </c>
      <c r="L32" s="38">
        <v>0</v>
      </c>
      <c r="M32" s="38">
        <v>0</v>
      </c>
      <c r="N32" s="38">
        <v>0</v>
      </c>
      <c r="O32" s="38"/>
      <c r="P32" s="38"/>
      <c r="Q32" s="9"/>
      <c r="R32" s="190">
        <v>0</v>
      </c>
      <c r="S32" s="155"/>
      <c r="T32" s="197"/>
    </row>
    <row r="33" spans="1:2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38">
        <v>-11110</v>
      </c>
      <c r="L33" s="38">
        <f>-1688+-1553</f>
        <v>-3241</v>
      </c>
      <c r="M33" s="38">
        <v>-7179</v>
      </c>
      <c r="N33" s="38">
        <f>-2226-250-4352</f>
        <v>-6828</v>
      </c>
      <c r="O33" s="38">
        <f>-2835-250-1000</f>
        <v>-4085</v>
      </c>
      <c r="P33" s="38">
        <v>-5059</v>
      </c>
      <c r="Q33" s="9">
        <f>-750-1134-300-1094-78-365-350-711-1000-295-148</f>
        <v>-6225</v>
      </c>
      <c r="R33" s="190">
        <v>-5000</v>
      </c>
      <c r="S33" s="155"/>
      <c r="T33" s="197"/>
    </row>
    <row r="34" spans="1:21" x14ac:dyDescent="0.3">
      <c r="A34" s="7" t="s">
        <v>2555</v>
      </c>
      <c r="B34" s="39">
        <f>SUM(B18:B33)</f>
        <v>-218877</v>
      </c>
      <c r="C34" s="39">
        <f t="shared" ref="C34:H34" si="2">SUM(C18:C33)</f>
        <v>-258934</v>
      </c>
      <c r="D34" s="39">
        <f t="shared" si="2"/>
        <v>-187844</v>
      </c>
      <c r="E34" s="39">
        <f t="shared" si="2"/>
        <v>-247088.42</v>
      </c>
      <c r="F34" s="39">
        <f t="shared" si="2"/>
        <v>-325572.77</v>
      </c>
      <c r="G34" s="39">
        <f t="shared" si="2"/>
        <v>-457445</v>
      </c>
      <c r="H34" s="39">
        <f t="shared" si="2"/>
        <v>-467066</v>
      </c>
      <c r="I34" s="39">
        <f>SUM(I18:I33)</f>
        <v>-618159</v>
      </c>
      <c r="J34" s="39">
        <f>SUM(J18:J33)</f>
        <v>-584733</v>
      </c>
      <c r="K34" s="39">
        <f>SUM(K18:K33)</f>
        <v>-734998</v>
      </c>
      <c r="L34" s="39">
        <f t="shared" ref="L34" si="3">SUM(L18:L33)</f>
        <v>-594086</v>
      </c>
      <c r="M34" s="39">
        <v>-638296</v>
      </c>
      <c r="N34" s="39">
        <f t="shared" ref="N34:P34" si="4">SUM(N18:N33)</f>
        <v>-545616</v>
      </c>
      <c r="O34" s="39">
        <f t="shared" si="4"/>
        <v>-596955</v>
      </c>
      <c r="P34" s="39">
        <f t="shared" si="4"/>
        <v>-827607</v>
      </c>
      <c r="Q34" s="11">
        <f t="shared" ref="Q34" si="5">SUM(Q18:Q33)</f>
        <v>-1006287</v>
      </c>
      <c r="R34" s="191">
        <f>SUM(R18:R33)</f>
        <v>-915500</v>
      </c>
      <c r="S34" s="205"/>
      <c r="T34" s="206"/>
    </row>
    <row r="35" spans="1:21" hidden="1" x14ac:dyDescent="0.3">
      <c r="A35" s="7"/>
      <c r="B35" s="41"/>
      <c r="C35" s="41"/>
      <c r="D35" s="41"/>
      <c r="E35" s="39"/>
      <c r="F35" s="39"/>
      <c r="G35" s="39"/>
      <c r="H35" s="39"/>
      <c r="I35" s="259"/>
      <c r="J35" s="259"/>
      <c r="K35" s="259"/>
      <c r="L35" s="259"/>
      <c r="M35" s="259"/>
      <c r="N35" s="259"/>
      <c r="O35" s="259"/>
      <c r="P35" s="259"/>
      <c r="Q35" s="113"/>
      <c r="R35" s="191"/>
      <c r="S35" s="158"/>
      <c r="T35" s="207"/>
    </row>
    <row r="36" spans="1:21" s="13" customFormat="1" hidden="1" x14ac:dyDescent="0.3">
      <c r="A36" s="7" t="s">
        <v>48</v>
      </c>
      <c r="B36" s="39">
        <f t="shared" ref="B36:K36" si="6">+B34+B15</f>
        <v>-24674</v>
      </c>
      <c r="C36" s="39">
        <f t="shared" si="6"/>
        <v>86791</v>
      </c>
      <c r="D36" s="39">
        <f t="shared" si="6"/>
        <v>32713</v>
      </c>
      <c r="E36" s="39">
        <f t="shared" si="6"/>
        <v>-5009.1400000000431</v>
      </c>
      <c r="F36" s="39">
        <f t="shared" si="6"/>
        <v>-25959.489999999991</v>
      </c>
      <c r="G36" s="39">
        <f t="shared" si="6"/>
        <v>-167525</v>
      </c>
      <c r="H36" s="39">
        <f t="shared" si="6"/>
        <v>13685</v>
      </c>
      <c r="I36" s="39">
        <f t="shared" si="6"/>
        <v>10177</v>
      </c>
      <c r="J36" s="39">
        <f t="shared" si="6"/>
        <v>36557</v>
      </c>
      <c r="K36" s="39">
        <f t="shared" si="6"/>
        <v>-84874</v>
      </c>
      <c r="L36" s="39">
        <f>+L34+L15</f>
        <v>8025</v>
      </c>
      <c r="M36" s="39">
        <v>-10322</v>
      </c>
      <c r="N36" s="39">
        <f>+N34+N15</f>
        <v>122284</v>
      </c>
      <c r="O36" s="39">
        <f t="shared" ref="O36:Q36" si="7">+O34+O15</f>
        <v>104927</v>
      </c>
      <c r="P36" s="39">
        <f t="shared" si="7"/>
        <v>4017</v>
      </c>
      <c r="Q36" s="11">
        <f t="shared" si="7"/>
        <v>-67622</v>
      </c>
      <c r="R36" s="191">
        <f>R15+R34</f>
        <v>1.0000000009313226E-2</v>
      </c>
      <c r="S36" s="158"/>
      <c r="T36" s="207"/>
    </row>
    <row r="37" spans="1:21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11"/>
      <c r="R37" s="191"/>
      <c r="S37" s="158"/>
      <c r="T37" s="207"/>
    </row>
    <row r="38" spans="1:21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11">
        <v>0</v>
      </c>
      <c r="R38" s="191">
        <v>0</v>
      </c>
      <c r="S38" s="155"/>
      <c r="T38" s="206"/>
    </row>
    <row r="39" spans="1:21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274"/>
      <c r="Q39" s="14"/>
      <c r="R39" s="210"/>
      <c r="S39" s="205"/>
      <c r="T39" s="206"/>
    </row>
    <row r="40" spans="1:21" s="13" customFormat="1" ht="16.2" thickBot="1" x14ac:dyDescent="0.35">
      <c r="A40" s="7" t="s">
        <v>2556</v>
      </c>
      <c r="B40" s="39">
        <f t="shared" ref="B40:K40" si="8">+B38+B36</f>
        <v>-34674</v>
      </c>
      <c r="C40" s="39">
        <f t="shared" si="8"/>
        <v>76791</v>
      </c>
      <c r="D40" s="39">
        <f t="shared" si="8"/>
        <v>22713</v>
      </c>
      <c r="E40" s="39">
        <f t="shared" si="8"/>
        <v>-15009.140000000043</v>
      </c>
      <c r="F40" s="248">
        <f t="shared" si="8"/>
        <v>-35959.489999999991</v>
      </c>
      <c r="G40" s="248">
        <f t="shared" si="8"/>
        <v>-181974</v>
      </c>
      <c r="H40" s="248">
        <f t="shared" si="8"/>
        <v>13685</v>
      </c>
      <c r="I40" s="248">
        <f t="shared" si="8"/>
        <v>10177</v>
      </c>
      <c r="J40" s="248">
        <f t="shared" si="8"/>
        <v>36557</v>
      </c>
      <c r="K40" s="248">
        <f t="shared" si="8"/>
        <v>-84874</v>
      </c>
      <c r="L40" s="248">
        <f>+L38+L36</f>
        <v>8025</v>
      </c>
      <c r="M40" s="248">
        <v>-10322</v>
      </c>
      <c r="N40" s="248">
        <f>+N38+N36</f>
        <v>122284</v>
      </c>
      <c r="O40" s="248">
        <f t="shared" ref="O40:Q40" si="9">+O38+O36</f>
        <v>104927</v>
      </c>
      <c r="P40" s="248">
        <f t="shared" si="9"/>
        <v>4017</v>
      </c>
      <c r="Q40" s="154">
        <f t="shared" si="9"/>
        <v>-67622</v>
      </c>
      <c r="R40" s="192">
        <f>+R38+R36</f>
        <v>1.0000000009313226E-2</v>
      </c>
      <c r="S40" s="155"/>
      <c r="T40" s="208"/>
    </row>
    <row r="41" spans="1:21" s="13" customFormat="1" x14ac:dyDescent="0.3">
      <c r="A41" s="4"/>
      <c r="B41" s="4"/>
      <c r="C41" s="4"/>
      <c r="D41" s="4"/>
      <c r="E41" s="4"/>
      <c r="F41" s="4"/>
      <c r="G41" s="4"/>
      <c r="H41" s="4"/>
      <c r="R41" s="58"/>
      <c r="S41" s="196"/>
      <c r="T41" s="155"/>
    </row>
    <row r="42" spans="1:21" x14ac:dyDescent="0.3">
      <c r="Q42" s="99"/>
    </row>
    <row r="43" spans="1:21" x14ac:dyDescent="0.3">
      <c r="Q43" s="99"/>
    </row>
    <row r="44" spans="1:21" x14ac:dyDescent="0.3">
      <c r="Q44" s="99"/>
    </row>
    <row r="45" spans="1:21" x14ac:dyDescent="0.3">
      <c r="Q45" s="99"/>
    </row>
    <row r="46" spans="1:21" x14ac:dyDescent="0.3">
      <c r="Q46" s="99"/>
    </row>
    <row r="47" spans="1:21" s="4" customFormat="1" x14ac:dyDescent="0.3">
      <c r="Q47" s="269"/>
      <c r="S47" s="196"/>
      <c r="T47" s="155"/>
      <c r="U47" s="1"/>
    </row>
    <row r="48" spans="1:21" s="4" customFormat="1" x14ac:dyDescent="0.3">
      <c r="S48" s="196"/>
      <c r="T48" s="155"/>
      <c r="U48" s="1"/>
    </row>
    <row r="49" spans="19:21" s="4" customFormat="1" x14ac:dyDescent="0.3">
      <c r="S49" s="196"/>
      <c r="T49" s="155"/>
      <c r="U49" s="1"/>
    </row>
    <row r="50" spans="19:21" s="4" customFormat="1" x14ac:dyDescent="0.3">
      <c r="S50" s="196"/>
      <c r="T50" s="155"/>
      <c r="U50" s="1"/>
    </row>
  </sheetData>
  <mergeCells count="1">
    <mergeCell ref="K1:R1"/>
  </mergeCells>
  <pageMargins left="0.7" right="0.7" top="0.75" bottom="0.75" header="0.3" footer="0.3"/>
  <pageSetup paperSize="9" scale="73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87B00-89F9-455D-BB6F-05D61B43A4C8}">
  <sheetPr>
    <tabColor theme="9" tint="-0.499984740745262"/>
    <pageSetUpPr fitToPage="1"/>
  </sheetPr>
  <dimension ref="A1:G33"/>
  <sheetViews>
    <sheetView topLeftCell="A14" workbookViewId="0"/>
  </sheetViews>
  <sheetFormatPr defaultColWidth="9.109375" defaultRowHeight="14.4" x14ac:dyDescent="0.3"/>
  <cols>
    <col min="1" max="1" width="9.109375" style="1"/>
    <col min="2" max="2" width="39.6640625" style="1" customWidth="1"/>
    <col min="3" max="5" width="13.6640625" style="1" customWidth="1"/>
    <col min="6" max="16384" width="9.109375" style="1"/>
  </cols>
  <sheetData>
    <row r="1" spans="1:7" ht="34.200000000000003" thickBot="1" x14ac:dyDescent="0.7">
      <c r="A1" s="193" t="s">
        <v>2700</v>
      </c>
      <c r="B1" s="194"/>
      <c r="C1" s="195"/>
      <c r="D1" s="195"/>
      <c r="E1" s="194"/>
    </row>
    <row r="2" spans="1:7" ht="18.75" customHeight="1" thickBot="1" x14ac:dyDescent="0.7">
      <c r="A2" s="135"/>
      <c r="B2" s="130"/>
      <c r="E2" s="136"/>
    </row>
    <row r="3" spans="1:7" ht="15" thickBot="1" x14ac:dyDescent="0.35">
      <c r="A3" s="124"/>
      <c r="C3" s="102" t="s">
        <v>0</v>
      </c>
      <c r="D3" s="102" t="s">
        <v>904</v>
      </c>
      <c r="E3" s="102" t="s">
        <v>2</v>
      </c>
    </row>
    <row r="4" spans="1:7" ht="15" thickBot="1" x14ac:dyDescent="0.35">
      <c r="A4" s="147" t="s">
        <v>905</v>
      </c>
      <c r="C4" s="103">
        <v>45291</v>
      </c>
      <c r="D4" s="104"/>
      <c r="E4" s="103">
        <v>45291</v>
      </c>
    </row>
    <row r="5" spans="1:7" x14ac:dyDescent="0.3">
      <c r="A5" s="124"/>
      <c r="E5" s="136"/>
    </row>
    <row r="6" spans="1:7" ht="15.6" x14ac:dyDescent="0.3">
      <c r="A6" s="146" t="s">
        <v>906</v>
      </c>
      <c r="E6" s="136"/>
    </row>
    <row r="7" spans="1:7" ht="15" thickBot="1" x14ac:dyDescent="0.35">
      <c r="A7" s="124"/>
      <c r="B7" s="1" t="s">
        <v>5</v>
      </c>
      <c r="C7" s="105">
        <v>0</v>
      </c>
      <c r="D7" s="105">
        <v>0</v>
      </c>
      <c r="E7" s="140">
        <v>0</v>
      </c>
    </row>
    <row r="8" spans="1:7" x14ac:dyDescent="0.3">
      <c r="A8" s="137" t="s">
        <v>907</v>
      </c>
      <c r="C8" s="106">
        <f>SUM(C7:C7)</f>
        <v>0</v>
      </c>
      <c r="D8" s="106">
        <f>SUM(D7:D7)</f>
        <v>0</v>
      </c>
      <c r="E8" s="141">
        <f>SUM(E7:E7)</f>
        <v>0</v>
      </c>
    </row>
    <row r="9" spans="1:7" x14ac:dyDescent="0.3">
      <c r="A9" s="124"/>
      <c r="C9" s="138"/>
      <c r="D9" s="138"/>
      <c r="E9" s="139"/>
    </row>
    <row r="10" spans="1:7" ht="15.6" x14ac:dyDescent="0.3">
      <c r="A10" s="146" t="s">
        <v>9</v>
      </c>
      <c r="C10" s="138"/>
      <c r="D10" s="138"/>
      <c r="E10" s="139"/>
    </row>
    <row r="11" spans="1:7" x14ac:dyDescent="0.3">
      <c r="A11" s="124"/>
      <c r="B11" s="55" t="s">
        <v>2432</v>
      </c>
      <c r="C11" s="138">
        <v>319411.33</v>
      </c>
      <c r="D11" s="273">
        <f>+E11-C11</f>
        <v>-67661.890000000014</v>
      </c>
      <c r="E11" s="184">
        <v>251749.44</v>
      </c>
    </row>
    <row r="12" spans="1:7" ht="15" thickBot="1" x14ac:dyDescent="0.35">
      <c r="A12" s="124"/>
      <c r="B12" s="55" t="s">
        <v>2433</v>
      </c>
      <c r="C12" s="107">
        <v>0</v>
      </c>
      <c r="D12" s="105">
        <f>+E12-C12</f>
        <v>0</v>
      </c>
      <c r="E12" s="142">
        <v>0</v>
      </c>
      <c r="G12" s="2"/>
    </row>
    <row r="13" spans="1:7" x14ac:dyDescent="0.3">
      <c r="A13" s="137" t="s">
        <v>14</v>
      </c>
      <c r="C13" s="106">
        <f>SUM(C11:C12)</f>
        <v>319411.33</v>
      </c>
      <c r="D13" s="106">
        <f>SUM(D11:D12)</f>
        <v>-67661.890000000014</v>
      </c>
      <c r="E13" s="141">
        <f>SUM(E11:E12)</f>
        <v>251749.44</v>
      </c>
    </row>
    <row r="14" spans="1:7" x14ac:dyDescent="0.3">
      <c r="A14" s="124"/>
      <c r="C14" s="138"/>
      <c r="D14" s="138"/>
      <c r="E14" s="139"/>
    </row>
    <row r="15" spans="1:7" ht="15.6" x14ac:dyDescent="0.3">
      <c r="A15" s="146" t="s">
        <v>911</v>
      </c>
      <c r="C15" s="138"/>
      <c r="D15" s="138"/>
      <c r="E15" s="139"/>
    </row>
    <row r="16" spans="1:7" ht="15" thickBot="1" x14ac:dyDescent="0.35">
      <c r="A16" s="122"/>
      <c r="B16" s="55"/>
      <c r="C16" s="107">
        <v>0</v>
      </c>
      <c r="D16" s="105">
        <f>+E16-C16</f>
        <v>0</v>
      </c>
      <c r="E16" s="142">
        <v>0</v>
      </c>
    </row>
    <row r="17" spans="1:5" x14ac:dyDescent="0.3">
      <c r="A17" s="137" t="s">
        <v>913</v>
      </c>
      <c r="C17" s="106">
        <f>SUM(C16:C16)</f>
        <v>0</v>
      </c>
      <c r="D17" s="106">
        <f>SUM(D16:D16)</f>
        <v>0</v>
      </c>
      <c r="E17" s="141">
        <f>SUM(E16:E16)</f>
        <v>0</v>
      </c>
    </row>
    <row r="18" spans="1:5" x14ac:dyDescent="0.3">
      <c r="A18" s="124"/>
      <c r="C18" s="138"/>
      <c r="D18" s="138"/>
      <c r="E18" s="139"/>
    </row>
    <row r="19" spans="1:5" s="58" customFormat="1" ht="15" thickBot="1" x14ac:dyDescent="0.35">
      <c r="A19" s="143" t="s">
        <v>15</v>
      </c>
      <c r="C19" s="108">
        <f>+C8+C13+C17</f>
        <v>319411.33</v>
      </c>
      <c r="D19" s="108">
        <f>+E19-C19</f>
        <v>-67661.890000000014</v>
      </c>
      <c r="E19" s="144">
        <f>+E8+E13+E16</f>
        <v>251749.44</v>
      </c>
    </row>
    <row r="20" spans="1:5" ht="15" thickTop="1" x14ac:dyDescent="0.3">
      <c r="A20" s="124"/>
      <c r="C20" s="138"/>
      <c r="D20" s="138"/>
      <c r="E20" s="139"/>
    </row>
    <row r="21" spans="1:5" x14ac:dyDescent="0.3">
      <c r="A21" s="124"/>
      <c r="C21" s="138"/>
      <c r="D21" s="138"/>
      <c r="E21" s="139"/>
    </row>
    <row r="22" spans="1:5" x14ac:dyDescent="0.3">
      <c r="A22" s="147" t="s">
        <v>923</v>
      </c>
      <c r="C22" s="138"/>
      <c r="D22" s="138"/>
      <c r="E22" s="139"/>
    </row>
    <row r="23" spans="1:5" x14ac:dyDescent="0.3">
      <c r="A23" s="124"/>
      <c r="C23" s="138"/>
      <c r="D23" s="138"/>
      <c r="E23" s="139"/>
    </row>
    <row r="24" spans="1:5" ht="15.6" x14ac:dyDescent="0.3">
      <c r="A24" s="146" t="s">
        <v>2461</v>
      </c>
      <c r="C24" s="138"/>
      <c r="D24" s="138"/>
      <c r="E24" s="139"/>
    </row>
    <row r="25" spans="1:5" ht="15" thickBot="1" x14ac:dyDescent="0.35">
      <c r="A25" s="122"/>
      <c r="B25" s="55"/>
      <c r="C25" s="107">
        <v>0</v>
      </c>
      <c r="D25" s="105">
        <f>+E25-C25</f>
        <v>0</v>
      </c>
      <c r="E25" s="142">
        <v>0</v>
      </c>
    </row>
    <row r="26" spans="1:5" x14ac:dyDescent="0.3">
      <c r="A26" s="137" t="s">
        <v>2462</v>
      </c>
      <c r="C26" s="106">
        <f>SUM(C25:C25)</f>
        <v>0</v>
      </c>
      <c r="D26" s="106">
        <f>SUM(D25:D25)</f>
        <v>0</v>
      </c>
      <c r="E26" s="141">
        <f>SUM(E25:E25)</f>
        <v>0</v>
      </c>
    </row>
    <row r="27" spans="1:5" x14ac:dyDescent="0.3">
      <c r="A27" s="137"/>
      <c r="C27" s="106"/>
      <c r="D27" s="106"/>
      <c r="E27" s="141"/>
    </row>
    <row r="28" spans="1:5" ht="15.6" x14ac:dyDescent="0.3">
      <c r="A28" s="146" t="s">
        <v>8</v>
      </c>
      <c r="C28" s="138"/>
      <c r="D28" s="138"/>
      <c r="E28" s="139"/>
    </row>
    <row r="29" spans="1:5" ht="15" thickBot="1" x14ac:dyDescent="0.35">
      <c r="A29" s="124"/>
      <c r="B29" s="55" t="s">
        <v>8</v>
      </c>
      <c r="C29" s="105">
        <v>319411.33</v>
      </c>
      <c r="D29" s="105">
        <f>+E29-C29</f>
        <v>-67661.890000000014</v>
      </c>
      <c r="E29" s="140">
        <v>251749.44</v>
      </c>
    </row>
    <row r="30" spans="1:5" x14ac:dyDescent="0.3">
      <c r="A30" s="137" t="s">
        <v>914</v>
      </c>
      <c r="C30" s="106">
        <f>SUM(C29:C29)</f>
        <v>319411.33</v>
      </c>
      <c r="D30" s="106">
        <f>SUM(D29:D29)</f>
        <v>-67661.890000000014</v>
      </c>
      <c r="E30" s="141">
        <f>SUM(E29:E29)</f>
        <v>251749.44</v>
      </c>
    </row>
    <row r="31" spans="1:5" x14ac:dyDescent="0.3">
      <c r="A31" s="124"/>
      <c r="E31" s="136"/>
    </row>
    <row r="32" spans="1:5" s="58" customFormat="1" ht="15" thickBot="1" x14ac:dyDescent="0.35">
      <c r="A32" s="143" t="s">
        <v>915</v>
      </c>
      <c r="C32" s="108">
        <f>+C30+C26</f>
        <v>319411.33</v>
      </c>
      <c r="D32" s="108">
        <f>+D30+D26</f>
        <v>-67661.890000000014</v>
      </c>
      <c r="E32" s="144">
        <f>+E30+E26</f>
        <v>251749.44</v>
      </c>
    </row>
    <row r="33" spans="1:5" ht="15.6" thickTop="1" thickBot="1" x14ac:dyDescent="0.35">
      <c r="A33" s="125"/>
      <c r="B33" s="126"/>
      <c r="C33" s="126"/>
      <c r="D33" s="126"/>
      <c r="E33" s="145"/>
    </row>
  </sheetData>
  <pageMargins left="1.18" right="0.7" top="0.75" bottom="0.75" header="0.3" footer="0.3"/>
  <pageSetup paperSize="9" scale="9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46CEE-D832-4292-A791-8829DFA03A5C}">
  <sheetPr>
    <tabColor theme="5" tint="-0.249977111117893"/>
    <pageSetUpPr fitToPage="1"/>
  </sheetPr>
  <dimension ref="A1:T50"/>
  <sheetViews>
    <sheetView zoomScale="110" zoomScaleNormal="11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1" width="16.44140625" style="1" hidden="1" customWidth="1"/>
    <col min="12" max="12" width="16.44140625" style="1" customWidth="1"/>
    <col min="13" max="13" width="18" style="1" customWidth="1"/>
    <col min="14" max="17" width="16.44140625" style="1" customWidth="1"/>
    <col min="18" max="18" width="18.5546875" style="1" customWidth="1"/>
    <col min="19" max="19" width="12" style="155" customWidth="1"/>
    <col min="20" max="16384" width="9.109375" style="1"/>
  </cols>
  <sheetData>
    <row r="1" spans="1:19" ht="31.8" thickBot="1" x14ac:dyDescent="0.65">
      <c r="A1" s="211" t="s">
        <v>486</v>
      </c>
      <c r="C1" s="224"/>
      <c r="D1" s="224"/>
      <c r="I1" s="4"/>
      <c r="J1" s="4"/>
      <c r="K1" s="289"/>
      <c r="L1" s="289"/>
      <c r="M1" s="289"/>
      <c r="N1" s="293" t="s">
        <v>2811</v>
      </c>
      <c r="O1" s="293"/>
      <c r="P1" s="293"/>
    </row>
    <row r="2" spans="1:19" ht="16.2" thickBot="1" x14ac:dyDescent="0.35"/>
    <row r="3" spans="1:19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227">
        <v>2023</v>
      </c>
      <c r="R3" s="240" t="s">
        <v>2638</v>
      </c>
      <c r="S3" s="156"/>
    </row>
    <row r="4" spans="1:19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110"/>
      <c r="R4" s="209"/>
      <c r="S4" s="156"/>
    </row>
    <row r="5" spans="1:19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37"/>
      <c r="R5" s="8"/>
    </row>
    <row r="6" spans="1:19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38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10">
        <v>225734</v>
      </c>
      <c r="Q6" s="9">
        <v>252983</v>
      </c>
      <c r="R6" s="190">
        <v>220000</v>
      </c>
    </row>
    <row r="7" spans="1:19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38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10">
        <v>187000</v>
      </c>
      <c r="Q7" s="9">
        <v>181250</v>
      </c>
      <c r="R7" s="190">
        <v>185000</v>
      </c>
    </row>
    <row r="8" spans="1:19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38">
        <v>96525</v>
      </c>
      <c r="L8" s="10">
        <v>71440</v>
      </c>
      <c r="M8" s="10">
        <v>94105</v>
      </c>
      <c r="N8" s="10">
        <v>36227</v>
      </c>
      <c r="O8" s="10">
        <v>38377</v>
      </c>
      <c r="P8" s="10">
        <v>83434</v>
      </c>
      <c r="Q8" s="9">
        <v>177917</v>
      </c>
      <c r="R8" s="190">
        <v>85000</v>
      </c>
    </row>
    <row r="9" spans="1:19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38">
        <v>13700</v>
      </c>
      <c r="L9" s="10">
        <v>18200</v>
      </c>
      <c r="M9" s="10">
        <v>12988</v>
      </c>
      <c r="N9" s="10">
        <v>20320</v>
      </c>
      <c r="O9" s="10">
        <v>16440</v>
      </c>
      <c r="P9" s="10">
        <v>33422</v>
      </c>
      <c r="Q9" s="9">
        <v>14330</v>
      </c>
      <c r="R9" s="190">
        <v>30000</v>
      </c>
    </row>
    <row r="10" spans="1:19" ht="57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38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10">
        <v>109900</v>
      </c>
      <c r="Q10" s="9">
        <v>137850</v>
      </c>
      <c r="R10" s="190">
        <v>80000</v>
      </c>
    </row>
    <row r="11" spans="1:19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38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10">
        <v>145695</v>
      </c>
      <c r="Q11" s="9">
        <v>163300</v>
      </c>
      <c r="R11" s="190">
        <v>150000</v>
      </c>
    </row>
    <row r="12" spans="1:19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38">
        <v>5455</v>
      </c>
      <c r="L12" s="10">
        <v>0</v>
      </c>
      <c r="M12" s="10">
        <v>0</v>
      </c>
      <c r="N12" s="10">
        <v>0</v>
      </c>
      <c r="O12" s="10"/>
      <c r="P12" s="10"/>
      <c r="Q12" s="9"/>
      <c r="R12" s="190">
        <v>0</v>
      </c>
    </row>
    <row r="13" spans="1:19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38">
        <v>0</v>
      </c>
      <c r="L13" s="10">
        <v>0</v>
      </c>
      <c r="M13" s="10">
        <v>0</v>
      </c>
      <c r="N13" s="10">
        <v>0</v>
      </c>
      <c r="O13" s="10"/>
      <c r="P13" s="10"/>
      <c r="Q13" s="9"/>
      <c r="R13" s="190">
        <v>0</v>
      </c>
    </row>
    <row r="14" spans="1:19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38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10">
        <v>46439</v>
      </c>
      <c r="Q14" s="9">
        <v>11035</v>
      </c>
      <c r="R14" s="190">
        <v>50000</v>
      </c>
    </row>
    <row r="15" spans="1:19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39">
        <f t="shared" si="0"/>
        <v>650124</v>
      </c>
      <c r="L15" s="12">
        <f t="shared" ref="L15:R15" si="2">SUM(L6:L14)</f>
        <v>602111</v>
      </c>
      <c r="M15" s="12">
        <f t="shared" si="2"/>
        <v>627974</v>
      </c>
      <c r="N15" s="12">
        <f t="shared" si="2"/>
        <v>667900</v>
      </c>
      <c r="O15" s="12">
        <f t="shared" si="2"/>
        <v>701882</v>
      </c>
      <c r="P15" s="12">
        <f t="shared" si="2"/>
        <v>831624</v>
      </c>
      <c r="Q15" s="11">
        <f t="shared" si="2"/>
        <v>938665</v>
      </c>
      <c r="R15" s="191">
        <f t="shared" si="2"/>
        <v>800000</v>
      </c>
    </row>
    <row r="16" spans="1:19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K16" s="40"/>
      <c r="Q16" s="111"/>
      <c r="R16" s="190"/>
    </row>
    <row r="17" spans="1:20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K17" s="41"/>
      <c r="Q17" s="112"/>
      <c r="R17" s="190"/>
      <c r="S17" s="159"/>
    </row>
    <row r="18" spans="1:20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38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10">
        <v>-181432</v>
      </c>
      <c r="Q18" s="9">
        <v>-220492</v>
      </c>
      <c r="R18" s="190">
        <v>-180000</v>
      </c>
      <c r="S18" s="197"/>
    </row>
    <row r="19" spans="1:20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38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10">
        <v>-133504</v>
      </c>
      <c r="Q19" s="9">
        <v>-140769</v>
      </c>
      <c r="R19" s="190">
        <v>-130000</v>
      </c>
      <c r="S19" s="197"/>
      <c r="T19" s="55"/>
    </row>
    <row r="20" spans="1:20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38">
        <v>-17887</v>
      </c>
      <c r="L20" s="10">
        <v>-4522</v>
      </c>
      <c r="M20" s="10">
        <v>0</v>
      </c>
      <c r="N20" s="10">
        <v>-469</v>
      </c>
      <c r="O20" s="10">
        <v>-225</v>
      </c>
      <c r="P20" s="10">
        <v>-519</v>
      </c>
      <c r="Q20" s="9">
        <v>-58306</v>
      </c>
      <c r="R20" s="190">
        <v>-8000</v>
      </c>
      <c r="S20" s="197"/>
    </row>
    <row r="21" spans="1:20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38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10">
        <v>-29952</v>
      </c>
      <c r="Q21" s="9">
        <v>-42358</v>
      </c>
      <c r="R21" s="190">
        <v>-30000</v>
      </c>
      <c r="S21" s="197"/>
    </row>
    <row r="22" spans="1:20" ht="33.6" customHeight="1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38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10">
        <v>-92029</v>
      </c>
      <c r="Q22" s="9">
        <v>-99926</v>
      </c>
      <c r="R22" s="190">
        <v>-90000</v>
      </c>
      <c r="S22" s="197"/>
    </row>
    <row r="23" spans="1:20" ht="28.2" customHeight="1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38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10">
        <v>-79144</v>
      </c>
      <c r="Q23" s="9">
        <v>-104788</v>
      </c>
      <c r="R23" s="190">
        <v>-80000</v>
      </c>
      <c r="S23" s="197"/>
    </row>
    <row r="24" spans="1:20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38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10">
        <v>-1231</v>
      </c>
      <c r="Q24" s="9">
        <v>-13700</v>
      </c>
      <c r="R24" s="190">
        <v>-5000</v>
      </c>
      <c r="S24" s="197"/>
    </row>
    <row r="25" spans="1:20" ht="26.4" customHeight="1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38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10">
        <v>-22800</v>
      </c>
      <c r="Q25" s="9">
        <v>-34900</v>
      </c>
      <c r="R25" s="190">
        <v>-25000</v>
      </c>
      <c r="S25" s="197"/>
    </row>
    <row r="26" spans="1:20" ht="22.8" customHeight="1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38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10">
        <v>-30440</v>
      </c>
      <c r="Q26" s="9">
        <v>-32200</v>
      </c>
      <c r="R26" s="190">
        <v>-35000</v>
      </c>
      <c r="S26" s="197"/>
    </row>
    <row r="27" spans="1:20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38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10">
        <v>-5340</v>
      </c>
      <c r="Q27" s="9">
        <v>-4080</v>
      </c>
      <c r="R27" s="190">
        <v>-10000</v>
      </c>
      <c r="S27" s="197"/>
    </row>
    <row r="28" spans="1:20" ht="34.799999999999997" customHeight="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38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10">
        <f>-55750</f>
        <v>-55750</v>
      </c>
      <c r="Q28" s="9">
        <v>-66350</v>
      </c>
      <c r="R28" s="190">
        <v>-75000</v>
      </c>
      <c r="S28" s="197"/>
    </row>
    <row r="29" spans="1:20" ht="27" customHeight="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38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10">
        <f>-19000-4000</f>
        <v>-23000</v>
      </c>
      <c r="Q29" s="9">
        <v>-19850</v>
      </c>
      <c r="R29" s="190">
        <v>-20000</v>
      </c>
    </row>
    <row r="30" spans="1:20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38">
        <v>-3000</v>
      </c>
      <c r="L30" s="10">
        <v>-500</v>
      </c>
      <c r="M30" s="10">
        <v>-500</v>
      </c>
      <c r="N30" s="10">
        <v>-500</v>
      </c>
      <c r="O30" s="10">
        <v>-500</v>
      </c>
      <c r="P30" s="10">
        <v>-500</v>
      </c>
      <c r="Q30" s="9">
        <v>-500</v>
      </c>
      <c r="R30" s="190">
        <v>-500</v>
      </c>
    </row>
    <row r="31" spans="1:20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38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10">
        <v>-166907</v>
      </c>
      <c r="Q31" s="9">
        <v>-161843</v>
      </c>
      <c r="R31" s="190">
        <v>-170000</v>
      </c>
      <c r="S31" s="197"/>
    </row>
    <row r="32" spans="1:20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38">
        <v>0</v>
      </c>
      <c r="L32" s="10">
        <v>0</v>
      </c>
      <c r="M32" s="10">
        <v>0</v>
      </c>
      <c r="N32" s="10">
        <v>0</v>
      </c>
      <c r="O32" s="10"/>
      <c r="P32" s="10"/>
      <c r="Q32" s="9"/>
      <c r="R32" s="190">
        <v>0</v>
      </c>
      <c r="S32" s="197"/>
    </row>
    <row r="33" spans="1:20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38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10">
        <v>-5059</v>
      </c>
      <c r="Q33" s="9">
        <f>-750-1134-300-1094-78-365-350-711-1000-295-148</f>
        <v>-6225</v>
      </c>
      <c r="R33" s="190">
        <v>-5000</v>
      </c>
      <c r="S33" s="197"/>
    </row>
    <row r="34" spans="1:20" x14ac:dyDescent="0.3">
      <c r="A34" s="7" t="s">
        <v>2555</v>
      </c>
      <c r="B34" s="39">
        <f t="shared" ref="B34:Q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39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2">
        <f t="shared" si="3"/>
        <v>-827607</v>
      </c>
      <c r="Q34" s="11">
        <f t="shared" si="3"/>
        <v>-1006287</v>
      </c>
      <c r="R34" s="191">
        <f>SUM(R18:R33)</f>
        <v>-863500</v>
      </c>
      <c r="S34" s="206"/>
    </row>
    <row r="35" spans="1:20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46"/>
      <c r="Q35" s="113"/>
      <c r="R35" s="191"/>
      <c r="S35" s="207"/>
    </row>
    <row r="36" spans="1:20" s="13" customFormat="1" ht="38.25" hidden="1" customHeight="1" x14ac:dyDescent="0.3">
      <c r="A36" s="7" t="s">
        <v>48</v>
      </c>
      <c r="B36" s="39">
        <f t="shared" ref="B36:Q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12">
        <f t="shared" si="5"/>
        <v>10177</v>
      </c>
      <c r="J36" s="12">
        <f t="shared" si="5"/>
        <v>36557</v>
      </c>
      <c r="K36" s="12">
        <f t="shared" si="5"/>
        <v>-84874</v>
      </c>
      <c r="L36" s="12">
        <f t="shared" si="5"/>
        <v>8025</v>
      </c>
      <c r="M36" s="12">
        <f t="shared" si="5"/>
        <v>-10322</v>
      </c>
      <c r="N36" s="12">
        <f t="shared" si="5"/>
        <v>122284</v>
      </c>
      <c r="O36" s="12">
        <f t="shared" si="5"/>
        <v>104927</v>
      </c>
      <c r="P36" s="12">
        <f t="shared" si="5"/>
        <v>4017</v>
      </c>
      <c r="Q36" s="11">
        <f t="shared" si="5"/>
        <v>-67622</v>
      </c>
      <c r="R36" s="191">
        <f>R15+R34</f>
        <v>-63500</v>
      </c>
      <c r="S36" s="207"/>
    </row>
    <row r="37" spans="1:20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2"/>
      <c r="Q37" s="11"/>
      <c r="R37" s="191"/>
      <c r="S37" s="207"/>
    </row>
    <row r="38" spans="1:20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1">
        <v>0</v>
      </c>
      <c r="R38" s="191">
        <v>0</v>
      </c>
      <c r="S38" s="206"/>
    </row>
    <row r="39" spans="1:20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4"/>
      <c r="R39" s="210"/>
      <c r="S39" s="206"/>
    </row>
    <row r="40" spans="1:20" s="13" customFormat="1" ht="16.2" thickBot="1" x14ac:dyDescent="0.35">
      <c r="A40" s="7" t="s">
        <v>2557</v>
      </c>
      <c r="B40" s="39">
        <f t="shared" ref="B40:Q40" si="6">+B38+B36</f>
        <v>-34674</v>
      </c>
      <c r="C40" s="39">
        <f t="shared" si="6"/>
        <v>76791</v>
      </c>
      <c r="D40" s="39">
        <f t="shared" si="6"/>
        <v>22713</v>
      </c>
      <c r="E40" s="39">
        <f t="shared" si="6"/>
        <v>-15009.140000000043</v>
      </c>
      <c r="F40" s="39">
        <f t="shared" si="6"/>
        <v>-35959.489999999991</v>
      </c>
      <c r="G40" s="39">
        <f t="shared" si="6"/>
        <v>-181974</v>
      </c>
      <c r="H40" s="39">
        <f t="shared" si="6"/>
        <v>13685</v>
      </c>
      <c r="I40" s="12">
        <f t="shared" si="6"/>
        <v>10177</v>
      </c>
      <c r="J40" s="12">
        <f>+J38+J36</f>
        <v>36557</v>
      </c>
      <c r="K40" s="12">
        <f t="shared" si="6"/>
        <v>-84874</v>
      </c>
      <c r="L40" s="12">
        <f t="shared" si="6"/>
        <v>8025</v>
      </c>
      <c r="M40" s="12">
        <f t="shared" si="6"/>
        <v>-10322</v>
      </c>
      <c r="N40" s="12">
        <f t="shared" si="6"/>
        <v>122284</v>
      </c>
      <c r="O40" s="12">
        <f t="shared" si="6"/>
        <v>104927</v>
      </c>
      <c r="P40" s="12">
        <f t="shared" si="6"/>
        <v>4017</v>
      </c>
      <c r="Q40" s="154">
        <f t="shared" si="6"/>
        <v>-67622</v>
      </c>
      <c r="R40" s="192">
        <f>+R38+R36</f>
        <v>-63500</v>
      </c>
      <c r="S40" s="208"/>
    </row>
    <row r="41" spans="1:20" s="13" customFormat="1" x14ac:dyDescent="0.3">
      <c r="A41" s="4"/>
      <c r="B41" s="4"/>
      <c r="C41" s="4"/>
      <c r="D41" s="4"/>
      <c r="E41" s="4"/>
      <c r="F41" s="4"/>
      <c r="G41" s="4"/>
      <c r="H41" s="4"/>
      <c r="R41" s="58"/>
      <c r="S41" s="155"/>
    </row>
    <row r="42" spans="1:20" x14ac:dyDescent="0.3">
      <c r="O42" s="13"/>
      <c r="Q42" s="99"/>
    </row>
    <row r="43" spans="1:20" x14ac:dyDescent="0.3">
      <c r="Q43" s="99"/>
    </row>
    <row r="44" spans="1:20" x14ac:dyDescent="0.3">
      <c r="Q44" s="99"/>
    </row>
    <row r="45" spans="1:20" x14ac:dyDescent="0.3">
      <c r="Q45" s="99"/>
    </row>
    <row r="46" spans="1:20" x14ac:dyDescent="0.3">
      <c r="Q46" s="99"/>
    </row>
    <row r="47" spans="1:20" s="4" customFormat="1" x14ac:dyDescent="0.3">
      <c r="P47" s="1"/>
      <c r="Q47" s="269"/>
      <c r="S47" s="155"/>
      <c r="T47" s="1"/>
    </row>
    <row r="48" spans="1:20" s="4" customFormat="1" x14ac:dyDescent="0.3">
      <c r="S48" s="155"/>
      <c r="T48" s="1"/>
    </row>
    <row r="49" spans="19:20" s="4" customFormat="1" x14ac:dyDescent="0.3">
      <c r="S49" s="155"/>
      <c r="T49" s="1"/>
    </row>
    <row r="50" spans="19:20" s="4" customFormat="1" x14ac:dyDescent="0.3">
      <c r="S50" s="155"/>
      <c r="T50" s="1"/>
    </row>
  </sheetData>
  <mergeCells count="2">
    <mergeCell ref="K1:M1"/>
    <mergeCell ref="N1:P1"/>
  </mergeCells>
  <pageMargins left="0.7" right="0.7" top="0.75" bottom="0.75" header="0.3" footer="0.3"/>
  <pageSetup paperSize="9" scale="58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3E68C-8B11-4561-BF02-F8B90289AAE1}">
  <sheetPr>
    <tabColor theme="5" tint="-0.249977111117893"/>
    <pageSetUpPr fitToPage="1"/>
  </sheetPr>
  <dimension ref="A1:V52"/>
  <sheetViews>
    <sheetView zoomScale="110" zoomScaleNormal="110" workbookViewId="0">
      <pane xSplit="1" ySplit="3" topLeftCell="K7" activePane="bottomRight" state="frozen"/>
      <selection pane="topRight" activeCell="B1" sqref="B1"/>
      <selection pane="bottomLeft" activeCell="A4" sqref="A4"/>
      <selection pane="bottomRight" activeCell="T14" sqref="T14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2" width="16.44140625" style="1" hidden="1" customWidth="1"/>
    <col min="13" max="13" width="18" style="1" hidden="1" customWidth="1"/>
    <col min="14" max="17" width="16.44140625" style="1" customWidth="1"/>
    <col min="18" max="19" width="18.5546875" style="1" customWidth="1"/>
    <col min="20" max="20" width="27" style="217" customWidth="1"/>
    <col min="21" max="21" width="12" style="155" customWidth="1"/>
    <col min="22" max="16384" width="9.109375" style="1"/>
  </cols>
  <sheetData>
    <row r="1" spans="1:21" ht="31.8" thickBot="1" x14ac:dyDescent="0.65">
      <c r="A1" s="211" t="s">
        <v>486</v>
      </c>
      <c r="C1" s="224"/>
      <c r="D1" s="224"/>
      <c r="I1" s="4"/>
      <c r="J1" s="4"/>
      <c r="K1" s="289"/>
      <c r="L1" s="289"/>
      <c r="M1" s="289"/>
      <c r="N1" s="293" t="s">
        <v>487</v>
      </c>
      <c r="O1" s="293"/>
      <c r="P1" s="293"/>
    </row>
    <row r="2" spans="1:21" ht="16.2" thickBot="1" x14ac:dyDescent="0.35"/>
    <row r="3" spans="1:21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227">
        <v>2023</v>
      </c>
      <c r="R3" s="253" t="s">
        <v>809</v>
      </c>
      <c r="S3" s="240" t="s">
        <v>2638</v>
      </c>
      <c r="T3" s="270"/>
      <c r="U3" s="156"/>
    </row>
    <row r="4" spans="1:21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110">
        <v>45291</v>
      </c>
      <c r="R4" s="110">
        <v>45291</v>
      </c>
      <c r="S4" s="209"/>
      <c r="T4" s="270"/>
      <c r="U4" s="156"/>
    </row>
    <row r="5" spans="1:21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37"/>
      <c r="R5" s="111"/>
      <c r="S5" s="8"/>
    </row>
    <row r="6" spans="1:21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10">
        <v>225734</v>
      </c>
      <c r="Q6" s="9">
        <v>252983</v>
      </c>
      <c r="R6" s="249">
        <v>252983</v>
      </c>
      <c r="S6" s="190">
        <v>220000</v>
      </c>
      <c r="T6" s="217" t="s">
        <v>2626</v>
      </c>
    </row>
    <row r="7" spans="1:21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10">
        <v>187000</v>
      </c>
      <c r="Q7" s="9">
        <v>181250</v>
      </c>
      <c r="R7" s="249">
        <v>181250</v>
      </c>
      <c r="S7" s="190">
        <v>185000</v>
      </c>
      <c r="T7" s="236" t="s">
        <v>2687</v>
      </c>
    </row>
    <row r="8" spans="1:21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10">
        <v>83434</v>
      </c>
      <c r="Q8" s="9">
        <v>177917</v>
      </c>
      <c r="R8" s="249">
        <v>177917</v>
      </c>
      <c r="S8" s="190">
        <v>85000</v>
      </c>
      <c r="T8" s="236" t="s">
        <v>2688</v>
      </c>
    </row>
    <row r="9" spans="1:21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10">
        <v>33422</v>
      </c>
      <c r="Q9" s="9">
        <v>14330</v>
      </c>
      <c r="R9" s="249">
        <v>14330</v>
      </c>
      <c r="S9" s="190">
        <v>30000</v>
      </c>
      <c r="T9" s="236" t="s">
        <v>2689</v>
      </c>
    </row>
    <row r="10" spans="1:21" ht="57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10">
        <v>109900</v>
      </c>
      <c r="Q10" s="9">
        <v>137850</v>
      </c>
      <c r="R10" s="249">
        <v>137850</v>
      </c>
      <c r="S10" s="190">
        <v>80000</v>
      </c>
      <c r="T10" s="236" t="s">
        <v>2690</v>
      </c>
    </row>
    <row r="11" spans="1:21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10">
        <v>145695</v>
      </c>
      <c r="Q11" s="9">
        <v>163300</v>
      </c>
      <c r="R11" s="249">
        <v>163300</v>
      </c>
      <c r="S11" s="190">
        <v>150000</v>
      </c>
    </row>
    <row r="12" spans="1:21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10"/>
      <c r="Q12" s="9"/>
      <c r="R12" s="249">
        <v>0</v>
      </c>
      <c r="S12" s="190">
        <v>0</v>
      </c>
    </row>
    <row r="13" spans="1:21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10"/>
      <c r="Q13" s="9"/>
      <c r="R13" s="249">
        <v>0</v>
      </c>
      <c r="S13" s="190">
        <v>0</v>
      </c>
    </row>
    <row r="14" spans="1:21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10">
        <v>46439</v>
      </c>
      <c r="Q14" s="9">
        <v>11035</v>
      </c>
      <c r="R14" s="249">
        <v>11035</v>
      </c>
      <c r="S14" s="190">
        <v>50000</v>
      </c>
      <c r="T14" s="236" t="s">
        <v>2691</v>
      </c>
    </row>
    <row r="15" spans="1:21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 t="shared" ref="L15:S15" si="2">SUM(L6:L14)</f>
        <v>602111</v>
      </c>
      <c r="M15" s="12">
        <f t="shared" si="2"/>
        <v>627974</v>
      </c>
      <c r="N15" s="12">
        <f t="shared" si="2"/>
        <v>667900</v>
      </c>
      <c r="O15" s="12">
        <f t="shared" si="2"/>
        <v>701882</v>
      </c>
      <c r="P15" s="12">
        <f t="shared" si="2"/>
        <v>831624</v>
      </c>
      <c r="Q15" s="11">
        <f t="shared" si="2"/>
        <v>938665</v>
      </c>
      <c r="R15" s="250">
        <f t="shared" si="2"/>
        <v>938665</v>
      </c>
      <c r="S15" s="191">
        <f t="shared" si="2"/>
        <v>800000</v>
      </c>
    </row>
    <row r="16" spans="1:21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Q16" s="111"/>
      <c r="R16" s="249"/>
      <c r="S16" s="190"/>
    </row>
    <row r="17" spans="1:22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Q17" s="112"/>
      <c r="R17" s="249"/>
      <c r="S17" s="190"/>
      <c r="T17" s="271"/>
      <c r="U17" s="159"/>
    </row>
    <row r="18" spans="1:22" ht="21.6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10">
        <v>-181432</v>
      </c>
      <c r="Q18" s="9">
        <v>-220492</v>
      </c>
      <c r="R18" s="249">
        <v>-220492</v>
      </c>
      <c r="S18" s="190">
        <v>-180000</v>
      </c>
      <c r="T18" s="236" t="s">
        <v>2692</v>
      </c>
      <c r="U18" s="197"/>
    </row>
    <row r="19" spans="1:22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10">
        <v>-133504</v>
      </c>
      <c r="Q19" s="9">
        <v>-140769</v>
      </c>
      <c r="R19" s="249">
        <v>-140769</v>
      </c>
      <c r="S19" s="190">
        <v>-130000</v>
      </c>
      <c r="U19" s="197"/>
      <c r="V19" s="55"/>
    </row>
    <row r="20" spans="1:22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10">
        <v>-519</v>
      </c>
      <c r="Q20" s="9">
        <v>-58306</v>
      </c>
      <c r="R20" s="249">
        <v>-58306</v>
      </c>
      <c r="S20" s="190">
        <v>-8000</v>
      </c>
      <c r="T20" s="217" t="s">
        <v>2693</v>
      </c>
      <c r="U20" s="197"/>
    </row>
    <row r="21" spans="1:22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10">
        <v>-29952</v>
      </c>
      <c r="Q21" s="9">
        <v>-42358</v>
      </c>
      <c r="R21" s="249">
        <v>-42358</v>
      </c>
      <c r="S21" s="190">
        <v>-30000</v>
      </c>
      <c r="T21" s="217" t="s">
        <v>2529</v>
      </c>
      <c r="U21" s="197"/>
    </row>
    <row r="22" spans="1:22" ht="33.6" customHeight="1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10">
        <v>-92029</v>
      </c>
      <c r="Q22" s="9">
        <v>-99926</v>
      </c>
      <c r="R22" s="249">
        <v>-99926</v>
      </c>
      <c r="S22" s="190">
        <v>-90000</v>
      </c>
      <c r="T22" s="217" t="s">
        <v>2694</v>
      </c>
      <c r="U22" s="197"/>
    </row>
    <row r="23" spans="1:22" ht="28.2" customHeight="1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10">
        <v>-79144</v>
      </c>
      <c r="Q23" s="9">
        <v>-104788</v>
      </c>
      <c r="R23" s="249">
        <v>-104788</v>
      </c>
      <c r="S23" s="190">
        <v>-80000</v>
      </c>
      <c r="T23" s="217" t="s">
        <v>2695</v>
      </c>
      <c r="U23" s="197"/>
    </row>
    <row r="24" spans="1:22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10">
        <v>-1231</v>
      </c>
      <c r="Q24" s="9">
        <v>-13700</v>
      </c>
      <c r="R24" s="249">
        <v>-13700</v>
      </c>
      <c r="S24" s="190">
        <v>-5000</v>
      </c>
      <c r="U24" s="197"/>
    </row>
    <row r="25" spans="1:22" ht="26.4" customHeight="1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10">
        <v>-22800</v>
      </c>
      <c r="Q25" s="9">
        <v>-34900</v>
      </c>
      <c r="R25" s="249">
        <v>-34900</v>
      </c>
      <c r="S25" s="190">
        <v>-25000</v>
      </c>
      <c r="T25" s="217" t="s">
        <v>2696</v>
      </c>
      <c r="U25" s="197"/>
    </row>
    <row r="26" spans="1:22" ht="22.8" customHeight="1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10">
        <v>-30440</v>
      </c>
      <c r="Q26" s="9">
        <v>-32200</v>
      </c>
      <c r="R26" s="249">
        <v>-32200</v>
      </c>
      <c r="S26" s="190">
        <v>-35000</v>
      </c>
      <c r="T26" s="217" t="s">
        <v>2697</v>
      </c>
      <c r="U26" s="197"/>
    </row>
    <row r="27" spans="1:22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10">
        <v>-5340</v>
      </c>
      <c r="Q27" s="9">
        <v>-4080</v>
      </c>
      <c r="R27" s="249">
        <v>-4080</v>
      </c>
      <c r="S27" s="190">
        <v>-10000</v>
      </c>
      <c r="U27" s="197"/>
    </row>
    <row r="28" spans="1:22" ht="34.799999999999997" customHeight="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10">
        <f>-55750</f>
        <v>-55750</v>
      </c>
      <c r="Q28" s="9">
        <v>-66350</v>
      </c>
      <c r="R28" s="249">
        <v>-66350</v>
      </c>
      <c r="S28" s="190">
        <v>-75000</v>
      </c>
      <c r="T28" s="217" t="s">
        <v>2681</v>
      </c>
      <c r="U28" s="197"/>
    </row>
    <row r="29" spans="1:22" ht="27" customHeight="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10">
        <f>-19000-4000</f>
        <v>-23000</v>
      </c>
      <c r="Q29" s="9">
        <v>-19850</v>
      </c>
      <c r="R29" s="249">
        <v>-19850</v>
      </c>
      <c r="S29" s="190">
        <v>-20000</v>
      </c>
      <c r="T29" s="217" t="s">
        <v>2679</v>
      </c>
    </row>
    <row r="30" spans="1:22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10">
        <v>-500</v>
      </c>
      <c r="Q30" s="9">
        <v>-500</v>
      </c>
      <c r="R30" s="249">
        <v>-500</v>
      </c>
      <c r="S30" s="190">
        <v>-500</v>
      </c>
    </row>
    <row r="31" spans="1:22" ht="21.6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10">
        <v>-166907</v>
      </c>
      <c r="Q31" s="9">
        <v>-161843</v>
      </c>
      <c r="R31" s="249">
        <v>-161843</v>
      </c>
      <c r="S31" s="190">
        <v>-170000</v>
      </c>
      <c r="T31" s="217" t="s">
        <v>2698</v>
      </c>
      <c r="U31" s="197"/>
    </row>
    <row r="32" spans="1:22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10"/>
      <c r="Q32" s="9"/>
      <c r="R32" s="249">
        <v>0</v>
      </c>
      <c r="S32" s="190">
        <v>0</v>
      </c>
      <c r="U32" s="197"/>
    </row>
    <row r="33" spans="1:22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10">
        <v>-5059</v>
      </c>
      <c r="Q33" s="9">
        <f>-750-1134-300-1094-78-365-350-711-1000-295-148</f>
        <v>-6225</v>
      </c>
      <c r="R33" s="249">
        <v>-6225</v>
      </c>
      <c r="S33" s="190">
        <v>-5000</v>
      </c>
      <c r="T33" s="217" t="s">
        <v>2699</v>
      </c>
      <c r="U33" s="197"/>
    </row>
    <row r="34" spans="1:22" x14ac:dyDescent="0.3">
      <c r="A34" s="7" t="s">
        <v>2555</v>
      </c>
      <c r="B34" s="39">
        <f t="shared" ref="B34:Q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2">
        <f t="shared" si="3"/>
        <v>-827607</v>
      </c>
      <c r="Q34" s="11">
        <f t="shared" si="3"/>
        <v>-1006287</v>
      </c>
      <c r="R34" s="250">
        <f>SUM(R18:R33)</f>
        <v>-1006287</v>
      </c>
      <c r="S34" s="191">
        <f>SUM(S18:S33)</f>
        <v>-863500</v>
      </c>
      <c r="T34" s="272"/>
      <c r="U34" s="206"/>
    </row>
    <row r="35" spans="1:22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46"/>
      <c r="Q35" s="113"/>
      <c r="R35" s="250"/>
      <c r="S35" s="191"/>
      <c r="U35" s="207"/>
    </row>
    <row r="36" spans="1:22" s="13" customFormat="1" ht="38.25" hidden="1" customHeight="1" x14ac:dyDescent="0.3">
      <c r="A36" s="7" t="s">
        <v>48</v>
      </c>
      <c r="B36" s="39">
        <f t="shared" ref="B36:Q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12">
        <f t="shared" si="5"/>
        <v>10177</v>
      </c>
      <c r="J36" s="12">
        <f t="shared" si="5"/>
        <v>36557</v>
      </c>
      <c r="K36" s="12">
        <f t="shared" si="5"/>
        <v>-84874</v>
      </c>
      <c r="L36" s="12">
        <f t="shared" si="5"/>
        <v>8025</v>
      </c>
      <c r="M36" s="12">
        <f t="shared" si="5"/>
        <v>-10322</v>
      </c>
      <c r="N36" s="12">
        <f t="shared" si="5"/>
        <v>122284</v>
      </c>
      <c r="O36" s="12">
        <f t="shared" si="5"/>
        <v>104927</v>
      </c>
      <c r="P36" s="12">
        <f t="shared" si="5"/>
        <v>4017</v>
      </c>
      <c r="Q36" s="11">
        <f t="shared" si="5"/>
        <v>-67622</v>
      </c>
      <c r="R36" s="250">
        <f>R15+R34</f>
        <v>-67622</v>
      </c>
      <c r="S36" s="191">
        <f>S15+S34</f>
        <v>-63500</v>
      </c>
      <c r="T36" s="217"/>
      <c r="U36" s="207"/>
    </row>
    <row r="37" spans="1:22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2"/>
      <c r="Q37" s="11"/>
      <c r="R37" s="250"/>
      <c r="S37" s="191"/>
      <c r="T37" s="217"/>
      <c r="U37" s="207"/>
    </row>
    <row r="38" spans="1:22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1">
        <v>0</v>
      </c>
      <c r="R38" s="250">
        <v>0</v>
      </c>
      <c r="S38" s="191">
        <v>0</v>
      </c>
      <c r="T38" s="217"/>
      <c r="U38" s="206"/>
    </row>
    <row r="39" spans="1:22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4"/>
      <c r="R39" s="251"/>
      <c r="S39" s="210"/>
      <c r="T39" s="272"/>
      <c r="U39" s="206"/>
    </row>
    <row r="40" spans="1:22" s="13" customFormat="1" ht="16.2" thickBot="1" x14ac:dyDescent="0.35">
      <c r="A40" s="7" t="s">
        <v>2557</v>
      </c>
      <c r="B40" s="39">
        <f t="shared" ref="B40:R40" si="6">+B38+B36</f>
        <v>-34674</v>
      </c>
      <c r="C40" s="39">
        <f t="shared" si="6"/>
        <v>76791</v>
      </c>
      <c r="D40" s="39">
        <f t="shared" si="6"/>
        <v>22713</v>
      </c>
      <c r="E40" s="39">
        <f t="shared" si="6"/>
        <v>-15009.140000000043</v>
      </c>
      <c r="F40" s="39">
        <f t="shared" si="6"/>
        <v>-35959.489999999991</v>
      </c>
      <c r="G40" s="39">
        <f t="shared" si="6"/>
        <v>-181974</v>
      </c>
      <c r="H40" s="39">
        <f t="shared" si="6"/>
        <v>13685</v>
      </c>
      <c r="I40" s="12">
        <f t="shared" si="6"/>
        <v>10177</v>
      </c>
      <c r="J40" s="12">
        <f>+J38+J36</f>
        <v>36557</v>
      </c>
      <c r="K40" s="12">
        <f t="shared" si="6"/>
        <v>-84874</v>
      </c>
      <c r="L40" s="12">
        <f t="shared" si="6"/>
        <v>8025</v>
      </c>
      <c r="M40" s="12">
        <f t="shared" si="6"/>
        <v>-10322</v>
      </c>
      <c r="N40" s="12">
        <f t="shared" si="6"/>
        <v>122284</v>
      </c>
      <c r="O40" s="12">
        <f t="shared" si="6"/>
        <v>104927</v>
      </c>
      <c r="P40" s="12">
        <f t="shared" si="6"/>
        <v>4017</v>
      </c>
      <c r="Q40" s="154">
        <f t="shared" si="6"/>
        <v>-67622</v>
      </c>
      <c r="R40" s="252">
        <f t="shared" si="6"/>
        <v>-67622</v>
      </c>
      <c r="S40" s="192">
        <f>+S38+S36</f>
        <v>-63500</v>
      </c>
      <c r="T40" s="217"/>
      <c r="U40" s="208"/>
    </row>
    <row r="41" spans="1:22" s="13" customFormat="1" x14ac:dyDescent="0.3">
      <c r="A41" s="4"/>
      <c r="B41" s="4"/>
      <c r="C41" s="4"/>
      <c r="D41" s="4"/>
      <c r="E41" s="4"/>
      <c r="F41" s="4"/>
      <c r="G41" s="4"/>
      <c r="H41" s="4"/>
      <c r="R41" s="58"/>
      <c r="S41" s="58"/>
      <c r="T41" s="217"/>
      <c r="U41" s="155"/>
    </row>
    <row r="42" spans="1:22" x14ac:dyDescent="0.3">
      <c r="O42" s="13"/>
      <c r="Q42" s="99"/>
      <c r="R42" s="222"/>
    </row>
    <row r="43" spans="1:22" x14ac:dyDescent="0.3">
      <c r="Q43" s="99"/>
      <c r="R43" s="207"/>
    </row>
    <row r="44" spans="1:22" x14ac:dyDescent="0.3">
      <c r="Q44" s="99"/>
      <c r="R44" s="222"/>
    </row>
    <row r="45" spans="1:22" x14ac:dyDescent="0.3">
      <c r="Q45" s="99"/>
      <c r="R45" s="207"/>
    </row>
    <row r="46" spans="1:22" x14ac:dyDescent="0.3">
      <c r="Q46" s="99"/>
      <c r="R46" s="222"/>
    </row>
    <row r="47" spans="1:22" s="4" customFormat="1" x14ac:dyDescent="0.3">
      <c r="P47" s="1"/>
      <c r="Q47" s="269"/>
      <c r="R47" s="222"/>
      <c r="T47" s="217"/>
      <c r="U47" s="155"/>
      <c r="V47" s="1"/>
    </row>
    <row r="48" spans="1:22" s="4" customFormat="1" x14ac:dyDescent="0.3">
      <c r="R48" s="99"/>
      <c r="T48" s="217"/>
      <c r="U48" s="155"/>
      <c r="V48" s="1"/>
    </row>
    <row r="49" spans="18:22" s="4" customFormat="1" x14ac:dyDescent="0.3">
      <c r="R49" s="99"/>
      <c r="T49" s="217"/>
      <c r="U49" s="155"/>
      <c r="V49" s="1"/>
    </row>
    <row r="50" spans="18:22" s="4" customFormat="1" x14ac:dyDescent="0.3">
      <c r="R50" s="99"/>
      <c r="T50" s="217"/>
      <c r="U50" s="155"/>
      <c r="V50" s="1"/>
    </row>
    <row r="51" spans="18:22" x14ac:dyDescent="0.3">
      <c r="R51" s="99"/>
    </row>
    <row r="52" spans="18:22" x14ac:dyDescent="0.3">
      <c r="R52" s="223"/>
    </row>
  </sheetData>
  <mergeCells count="2">
    <mergeCell ref="K1:M1"/>
    <mergeCell ref="N1:P1"/>
  </mergeCells>
  <pageMargins left="0.7" right="0.7" top="0.75" bottom="0.75" header="0.3" footer="0.3"/>
  <pageSetup paperSize="9" scale="58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D421F-7CA2-4D8E-8375-B7598C91494E}">
  <sheetPr>
    <tabColor theme="5" tint="-0.249977111117893"/>
    <pageSetUpPr fitToPage="1"/>
  </sheetPr>
  <dimension ref="A1:V52"/>
  <sheetViews>
    <sheetView zoomScale="110" zoomScaleNormal="110" workbookViewId="0">
      <pane xSplit="1" ySplit="3" topLeftCell="K31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2" width="16.44140625" style="1" hidden="1" customWidth="1"/>
    <col min="13" max="13" width="18" style="1" hidden="1" customWidth="1"/>
    <col min="14" max="17" width="16.44140625" style="1" customWidth="1"/>
    <col min="18" max="19" width="18.5546875" style="1" customWidth="1"/>
    <col min="20" max="20" width="27" style="196" customWidth="1"/>
    <col min="21" max="21" width="12" style="155" customWidth="1"/>
    <col min="22" max="16384" width="9.109375" style="1"/>
  </cols>
  <sheetData>
    <row r="1" spans="1:21" ht="31.8" thickBot="1" x14ac:dyDescent="0.65">
      <c r="A1" s="211" t="s">
        <v>486</v>
      </c>
      <c r="C1" s="224"/>
      <c r="D1" s="224"/>
      <c r="I1" s="4"/>
      <c r="J1" s="4"/>
      <c r="K1" s="289"/>
      <c r="L1" s="289"/>
      <c r="M1" s="289"/>
      <c r="N1" s="293" t="s">
        <v>487</v>
      </c>
      <c r="O1" s="293"/>
      <c r="P1" s="293"/>
    </row>
    <row r="2" spans="1:21" ht="16.2" thickBot="1" x14ac:dyDescent="0.35"/>
    <row r="3" spans="1:21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227">
        <v>2023</v>
      </c>
      <c r="R3" s="253" t="s">
        <v>809</v>
      </c>
      <c r="S3" s="240" t="s">
        <v>2638</v>
      </c>
      <c r="T3" s="156"/>
      <c r="U3" s="156"/>
    </row>
    <row r="4" spans="1:21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110">
        <v>45238</v>
      </c>
      <c r="R4" s="110">
        <v>45291</v>
      </c>
      <c r="S4" s="209"/>
      <c r="T4" s="156"/>
      <c r="U4" s="156"/>
    </row>
    <row r="5" spans="1:21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37"/>
      <c r="R5" s="111"/>
      <c r="S5" s="8"/>
      <c r="T5" s="155"/>
    </row>
    <row r="6" spans="1:21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10">
        <v>225734</v>
      </c>
      <c r="Q6" s="9">
        <v>241449</v>
      </c>
      <c r="R6" s="249">
        <v>241449</v>
      </c>
      <c r="S6" s="190">
        <v>220000</v>
      </c>
      <c r="T6" s="217" t="s">
        <v>2626</v>
      </c>
    </row>
    <row r="7" spans="1:21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10">
        <v>187000</v>
      </c>
      <c r="Q7" s="9">
        <v>181250</v>
      </c>
      <c r="R7" s="249">
        <v>181250</v>
      </c>
      <c r="S7" s="190">
        <v>185000</v>
      </c>
      <c r="T7" s="258" t="s">
        <v>2680</v>
      </c>
    </row>
    <row r="8" spans="1:21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10">
        <v>83434</v>
      </c>
      <c r="Q8" s="9">
        <v>177917</v>
      </c>
      <c r="R8" s="249">
        <v>177917</v>
      </c>
      <c r="S8" s="190">
        <v>85000</v>
      </c>
      <c r="T8" s="236"/>
    </row>
    <row r="9" spans="1:21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10">
        <v>33422</v>
      </c>
      <c r="Q9" s="9">
        <v>14330</v>
      </c>
      <c r="R9" s="249">
        <v>14330</v>
      </c>
      <c r="S9" s="190">
        <v>30000</v>
      </c>
      <c r="T9" s="236" t="s">
        <v>2653</v>
      </c>
    </row>
    <row r="10" spans="1:21" ht="57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10">
        <v>109900</v>
      </c>
      <c r="Q10" s="9">
        <v>121000</v>
      </c>
      <c r="R10" s="249">
        <v>135000</v>
      </c>
      <c r="S10" s="190">
        <v>80000</v>
      </c>
      <c r="T10" s="217" t="s">
        <v>2677</v>
      </c>
    </row>
    <row r="11" spans="1:21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10">
        <v>145695</v>
      </c>
      <c r="Q11" s="9">
        <v>163300</v>
      </c>
      <c r="R11" s="249">
        <v>163300</v>
      </c>
      <c r="S11" s="190">
        <v>150000</v>
      </c>
      <c r="T11" s="155"/>
    </row>
    <row r="12" spans="1:21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10"/>
      <c r="Q12" s="9"/>
      <c r="R12" s="249">
        <v>0</v>
      </c>
      <c r="S12" s="190">
        <v>0</v>
      </c>
      <c r="T12" s="155"/>
    </row>
    <row r="13" spans="1:21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10"/>
      <c r="Q13" s="9"/>
      <c r="R13" s="249">
        <v>0</v>
      </c>
      <c r="S13" s="190">
        <v>0</v>
      </c>
      <c r="T13" s="155"/>
    </row>
    <row r="14" spans="1:21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10">
        <v>46439</v>
      </c>
      <c r="Q14" s="9">
        <v>7225</v>
      </c>
      <c r="R14" s="249">
        <v>13000</v>
      </c>
      <c r="S14" s="190">
        <v>50000</v>
      </c>
      <c r="T14" s="236" t="s">
        <v>2676</v>
      </c>
    </row>
    <row r="15" spans="1:21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 t="shared" ref="L15:S15" si="2">SUM(L6:L14)</f>
        <v>602111</v>
      </c>
      <c r="M15" s="12">
        <f t="shared" si="2"/>
        <v>627974</v>
      </c>
      <c r="N15" s="12">
        <f t="shared" si="2"/>
        <v>667900</v>
      </c>
      <c r="O15" s="12">
        <f t="shared" si="2"/>
        <v>701882</v>
      </c>
      <c r="P15" s="12">
        <f t="shared" si="2"/>
        <v>831624</v>
      </c>
      <c r="Q15" s="11">
        <f t="shared" si="2"/>
        <v>906471</v>
      </c>
      <c r="R15" s="250">
        <f t="shared" si="2"/>
        <v>926246</v>
      </c>
      <c r="S15" s="191">
        <f t="shared" si="2"/>
        <v>800000</v>
      </c>
      <c r="T15" s="155"/>
    </row>
    <row r="16" spans="1:21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Q16" s="111"/>
      <c r="R16" s="249"/>
      <c r="S16" s="190"/>
      <c r="T16" s="155"/>
    </row>
    <row r="17" spans="1:22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Q17" s="112"/>
      <c r="R17" s="249"/>
      <c r="S17" s="190"/>
      <c r="T17" s="159"/>
      <c r="U17" s="159"/>
    </row>
    <row r="18" spans="1:22" ht="21.6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10">
        <v>-181432</v>
      </c>
      <c r="Q18" s="9">
        <v>-216118</v>
      </c>
      <c r="R18" s="249">
        <v>-220000</v>
      </c>
      <c r="S18" s="190">
        <v>-180000</v>
      </c>
      <c r="T18" s="236" t="s">
        <v>2683</v>
      </c>
      <c r="U18" s="197"/>
    </row>
    <row r="19" spans="1:22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10">
        <v>-133504</v>
      </c>
      <c r="Q19" s="9">
        <v>-113620</v>
      </c>
      <c r="R19" s="249">
        <v>-133000</v>
      </c>
      <c r="S19" s="190">
        <v>-130000</v>
      </c>
      <c r="T19" s="157"/>
      <c r="U19" s="197"/>
      <c r="V19" s="55"/>
    </row>
    <row r="20" spans="1:22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10">
        <v>-519</v>
      </c>
      <c r="Q20" s="9">
        <v>-42132</v>
      </c>
      <c r="R20" s="249">
        <v>-57000</v>
      </c>
      <c r="S20" s="190">
        <v>-8000</v>
      </c>
      <c r="T20" s="157" t="s">
        <v>2664</v>
      </c>
      <c r="U20" s="197"/>
    </row>
    <row r="21" spans="1:22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10">
        <v>-29952</v>
      </c>
      <c r="Q21" s="9">
        <v>-41758</v>
      </c>
      <c r="R21" s="249">
        <v>-48000</v>
      </c>
      <c r="S21" s="190">
        <v>-30000</v>
      </c>
      <c r="T21" s="157" t="s">
        <v>2529</v>
      </c>
      <c r="U21" s="197"/>
    </row>
    <row r="22" spans="1:22" ht="33.6" customHeight="1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10">
        <v>-92029</v>
      </c>
      <c r="Q22" s="9">
        <v>-99926</v>
      </c>
      <c r="R22" s="249">
        <v>-100000</v>
      </c>
      <c r="S22" s="190">
        <v>-90000</v>
      </c>
      <c r="T22" s="217" t="s">
        <v>2682</v>
      </c>
      <c r="U22" s="197"/>
    </row>
    <row r="23" spans="1:22" ht="28.2" customHeight="1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10">
        <v>-79144</v>
      </c>
      <c r="Q23" s="9">
        <v>-103658</v>
      </c>
      <c r="R23" s="249">
        <v>-103658</v>
      </c>
      <c r="S23" s="190">
        <v>-80000</v>
      </c>
      <c r="T23" s="217" t="s">
        <v>2684</v>
      </c>
      <c r="U23" s="197"/>
    </row>
    <row r="24" spans="1:22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10">
        <v>-1231</v>
      </c>
      <c r="Q24" s="9">
        <v>-13700</v>
      </c>
      <c r="R24" s="249">
        <v>-13700</v>
      </c>
      <c r="S24" s="190">
        <v>-5000</v>
      </c>
      <c r="T24" s="155"/>
      <c r="U24" s="197"/>
    </row>
    <row r="25" spans="1:22" ht="26.4" customHeight="1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10">
        <v>-22800</v>
      </c>
      <c r="Q25" s="9">
        <v>-33650</v>
      </c>
      <c r="R25" s="249">
        <v>-35000</v>
      </c>
      <c r="S25" s="190">
        <v>-25000</v>
      </c>
      <c r="T25" s="217" t="s">
        <v>2685</v>
      </c>
      <c r="U25" s="197"/>
    </row>
    <row r="26" spans="1:22" ht="21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10">
        <v>-30440</v>
      </c>
      <c r="Q26" s="9">
        <v>-30700</v>
      </c>
      <c r="R26" s="249">
        <v>-35000</v>
      </c>
      <c r="S26" s="190">
        <v>-35000</v>
      </c>
      <c r="T26" s="217" t="s">
        <v>2678</v>
      </c>
      <c r="U26" s="197"/>
    </row>
    <row r="27" spans="1:22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10">
        <v>-5340</v>
      </c>
      <c r="Q27" s="9">
        <v>-2000</v>
      </c>
      <c r="R27" s="249">
        <v>-7500</v>
      </c>
      <c r="S27" s="190">
        <v>-10000</v>
      </c>
      <c r="T27" s="157"/>
      <c r="U27" s="197"/>
    </row>
    <row r="28" spans="1:22" ht="34.799999999999997" customHeight="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10">
        <f>-55750</f>
        <v>-55750</v>
      </c>
      <c r="Q28" s="9">
        <v>-66350</v>
      </c>
      <c r="R28" s="249">
        <v>-68000</v>
      </c>
      <c r="S28" s="190">
        <v>-75000</v>
      </c>
      <c r="T28" s="217" t="s">
        <v>2681</v>
      </c>
      <c r="U28" s="197"/>
    </row>
    <row r="29" spans="1:22" ht="27" customHeight="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10">
        <f>-19000-4000</f>
        <v>-23000</v>
      </c>
      <c r="Q29" s="9">
        <v>-19850</v>
      </c>
      <c r="R29" s="249">
        <v>-19850</v>
      </c>
      <c r="S29" s="190">
        <v>-20000</v>
      </c>
      <c r="T29" s="217" t="s">
        <v>2679</v>
      </c>
    </row>
    <row r="30" spans="1:22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10">
        <v>-500</v>
      </c>
      <c r="Q30" s="9">
        <v>-500</v>
      </c>
      <c r="R30" s="249">
        <v>-500</v>
      </c>
      <c r="S30" s="190">
        <v>-500</v>
      </c>
      <c r="T30" s="157"/>
    </row>
    <row r="31" spans="1:22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10">
        <v>-166907</v>
      </c>
      <c r="Q31" s="9">
        <v>-161843</v>
      </c>
      <c r="R31" s="249">
        <v>-161843</v>
      </c>
      <c r="S31" s="190">
        <v>-170000</v>
      </c>
      <c r="T31" s="217" t="s">
        <v>2662</v>
      </c>
      <c r="U31" s="197"/>
    </row>
    <row r="32" spans="1:22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10"/>
      <c r="Q32" s="9"/>
      <c r="R32" s="249">
        <v>0</v>
      </c>
      <c r="S32" s="190">
        <v>0</v>
      </c>
      <c r="T32" s="217"/>
      <c r="U32" s="197"/>
    </row>
    <row r="33" spans="1:22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10">
        <v>-5059</v>
      </c>
      <c r="Q33" s="9">
        <f>-750-1134-300-1094-78-365-350-711-1000</f>
        <v>-5782</v>
      </c>
      <c r="R33" s="249">
        <v>-6000</v>
      </c>
      <c r="S33" s="190">
        <v>-5000</v>
      </c>
      <c r="T33" s="217" t="s">
        <v>2615</v>
      </c>
      <c r="U33" s="197"/>
    </row>
    <row r="34" spans="1:22" x14ac:dyDescent="0.3">
      <c r="A34" s="7" t="s">
        <v>2555</v>
      </c>
      <c r="B34" s="39">
        <f t="shared" ref="B34:Q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2">
        <f t="shared" si="3"/>
        <v>-827607</v>
      </c>
      <c r="Q34" s="11">
        <f t="shared" si="3"/>
        <v>-951587</v>
      </c>
      <c r="R34" s="250">
        <f>SUM(R18:R33)</f>
        <v>-1009051</v>
      </c>
      <c r="S34" s="191">
        <f>SUM(S18:S33)</f>
        <v>-863500</v>
      </c>
      <c r="T34" s="205"/>
      <c r="U34" s="206"/>
    </row>
    <row r="35" spans="1:22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46"/>
      <c r="Q35" s="113"/>
      <c r="R35" s="250"/>
      <c r="S35" s="191"/>
      <c r="T35" s="158"/>
      <c r="U35" s="207"/>
    </row>
    <row r="36" spans="1:22" s="13" customFormat="1" ht="38.25" hidden="1" customHeight="1" x14ac:dyDescent="0.3">
      <c r="A36" s="7" t="s">
        <v>48</v>
      </c>
      <c r="B36" s="39">
        <f t="shared" ref="B36:Q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12">
        <f t="shared" si="5"/>
        <v>10177</v>
      </c>
      <c r="J36" s="12">
        <f t="shared" si="5"/>
        <v>36557</v>
      </c>
      <c r="K36" s="12">
        <f t="shared" si="5"/>
        <v>-84874</v>
      </c>
      <c r="L36" s="12">
        <f t="shared" si="5"/>
        <v>8025</v>
      </c>
      <c r="M36" s="12">
        <f t="shared" si="5"/>
        <v>-10322</v>
      </c>
      <c r="N36" s="12">
        <f t="shared" si="5"/>
        <v>122284</v>
      </c>
      <c r="O36" s="12">
        <f t="shared" si="5"/>
        <v>104927</v>
      </c>
      <c r="P36" s="12">
        <f t="shared" si="5"/>
        <v>4017</v>
      </c>
      <c r="Q36" s="11">
        <f t="shared" si="5"/>
        <v>-45116</v>
      </c>
      <c r="R36" s="250">
        <f>R15+R34</f>
        <v>-82805</v>
      </c>
      <c r="S36" s="191">
        <f>S15+S34</f>
        <v>-63500</v>
      </c>
      <c r="T36" s="158"/>
      <c r="U36" s="207"/>
    </row>
    <row r="37" spans="1:22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2"/>
      <c r="Q37" s="11"/>
      <c r="R37" s="250"/>
      <c r="S37" s="191"/>
      <c r="T37" s="158"/>
      <c r="U37" s="207"/>
    </row>
    <row r="38" spans="1:22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1">
        <v>0</v>
      </c>
      <c r="R38" s="250">
        <v>0</v>
      </c>
      <c r="S38" s="191">
        <v>0</v>
      </c>
      <c r="T38" s="155"/>
      <c r="U38" s="206"/>
    </row>
    <row r="39" spans="1:22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4"/>
      <c r="R39" s="251"/>
      <c r="S39" s="210"/>
      <c r="T39" s="205"/>
      <c r="U39" s="206"/>
    </row>
    <row r="40" spans="1:22" s="13" customFormat="1" ht="16.2" thickBot="1" x14ac:dyDescent="0.35">
      <c r="A40" s="7" t="s">
        <v>2557</v>
      </c>
      <c r="B40" s="39">
        <f t="shared" ref="B40:R40" si="6">+B38+B36</f>
        <v>-34674</v>
      </c>
      <c r="C40" s="39">
        <f t="shared" si="6"/>
        <v>76791</v>
      </c>
      <c r="D40" s="39">
        <f t="shared" si="6"/>
        <v>22713</v>
      </c>
      <c r="E40" s="39">
        <f t="shared" si="6"/>
        <v>-15009.140000000043</v>
      </c>
      <c r="F40" s="39">
        <f t="shared" si="6"/>
        <v>-35959.489999999991</v>
      </c>
      <c r="G40" s="39">
        <f t="shared" si="6"/>
        <v>-181974</v>
      </c>
      <c r="H40" s="39">
        <f t="shared" si="6"/>
        <v>13685</v>
      </c>
      <c r="I40" s="12">
        <f t="shared" si="6"/>
        <v>10177</v>
      </c>
      <c r="J40" s="12">
        <f>+J38+J36</f>
        <v>36557</v>
      </c>
      <c r="K40" s="12">
        <f t="shared" si="6"/>
        <v>-84874</v>
      </c>
      <c r="L40" s="12">
        <f t="shared" si="6"/>
        <v>8025</v>
      </c>
      <c r="M40" s="12">
        <f t="shared" si="6"/>
        <v>-10322</v>
      </c>
      <c r="N40" s="12">
        <f t="shared" si="6"/>
        <v>122284</v>
      </c>
      <c r="O40" s="12">
        <f t="shared" si="6"/>
        <v>104927</v>
      </c>
      <c r="P40" s="12">
        <f t="shared" si="6"/>
        <v>4017</v>
      </c>
      <c r="Q40" s="154">
        <f t="shared" si="6"/>
        <v>-45116</v>
      </c>
      <c r="R40" s="252">
        <f t="shared" si="6"/>
        <v>-82805</v>
      </c>
      <c r="S40" s="192">
        <f>+S38+S36</f>
        <v>-63500</v>
      </c>
      <c r="T40" s="155"/>
      <c r="U40" s="208"/>
    </row>
    <row r="41" spans="1:22" s="13" customFormat="1" x14ac:dyDescent="0.3">
      <c r="A41" s="4"/>
      <c r="B41" s="4"/>
      <c r="C41" s="4"/>
      <c r="D41" s="4"/>
      <c r="E41" s="4"/>
      <c r="F41" s="4"/>
      <c r="G41" s="4"/>
      <c r="H41" s="4"/>
      <c r="R41" s="58"/>
      <c r="S41" s="58"/>
      <c r="T41" s="196"/>
      <c r="U41" s="155"/>
    </row>
    <row r="42" spans="1:22" x14ac:dyDescent="0.3">
      <c r="O42" s="13" t="s">
        <v>2667</v>
      </c>
      <c r="P42" s="1" t="s">
        <v>508</v>
      </c>
      <c r="Q42" s="99">
        <v>-15000</v>
      </c>
      <c r="R42" s="222" t="s">
        <v>2658</v>
      </c>
      <c r="T42" s="155"/>
    </row>
    <row r="43" spans="1:22" x14ac:dyDescent="0.3">
      <c r="P43" s="1" t="s">
        <v>2675</v>
      </c>
      <c r="Q43" s="99">
        <v>-20000</v>
      </c>
      <c r="R43" s="207" t="s">
        <v>2658</v>
      </c>
    </row>
    <row r="44" spans="1:22" x14ac:dyDescent="0.3">
      <c r="P44" s="1" t="s">
        <v>2686</v>
      </c>
      <c r="Q44" s="99">
        <v>16000</v>
      </c>
      <c r="R44" s="222" t="s">
        <v>2658</v>
      </c>
    </row>
    <row r="45" spans="1:22" x14ac:dyDescent="0.3">
      <c r="Q45" s="99"/>
      <c r="R45" s="207"/>
    </row>
    <row r="46" spans="1:22" x14ac:dyDescent="0.3">
      <c r="Q46" s="99"/>
      <c r="R46" s="222"/>
    </row>
    <row r="47" spans="1:22" s="4" customFormat="1" x14ac:dyDescent="0.3">
      <c r="P47" s="1"/>
      <c r="Q47" s="269"/>
      <c r="R47" s="222"/>
      <c r="T47" s="196"/>
      <c r="U47" s="155"/>
      <c r="V47" s="1"/>
    </row>
    <row r="48" spans="1:22" s="4" customFormat="1" x14ac:dyDescent="0.3">
      <c r="R48" s="99"/>
      <c r="T48" s="196"/>
      <c r="U48" s="155"/>
      <c r="V48" s="1"/>
    </row>
    <row r="49" spans="18:22" s="4" customFormat="1" x14ac:dyDescent="0.3">
      <c r="R49" s="99"/>
      <c r="T49" s="196"/>
      <c r="U49" s="155"/>
      <c r="V49" s="1"/>
    </row>
    <row r="50" spans="18:22" s="4" customFormat="1" x14ac:dyDescent="0.3">
      <c r="R50" s="99"/>
      <c r="T50" s="196"/>
      <c r="U50" s="155"/>
      <c r="V50" s="1"/>
    </row>
    <row r="51" spans="18:22" x14ac:dyDescent="0.3">
      <c r="R51" s="99"/>
    </row>
    <row r="52" spans="18:22" x14ac:dyDescent="0.3">
      <c r="R52" s="223"/>
    </row>
  </sheetData>
  <mergeCells count="2">
    <mergeCell ref="K1:M1"/>
    <mergeCell ref="N1:P1"/>
  </mergeCells>
  <pageMargins left="0.7" right="0.7" top="0.75" bottom="0.75" header="0.3" footer="0.3"/>
  <pageSetup paperSize="9" scale="58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EDD48-2A50-4923-86BF-42DB97DF773E}">
  <sheetPr>
    <tabColor theme="5" tint="-0.249977111117893"/>
    <pageSetUpPr fitToPage="1"/>
  </sheetPr>
  <dimension ref="A1:V52"/>
  <sheetViews>
    <sheetView zoomScale="110" zoomScaleNormal="110" workbookViewId="0">
      <pane xSplit="1" ySplit="3" topLeftCell="M30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2" width="16.44140625" style="1" customWidth="1"/>
    <col min="13" max="13" width="18" style="1" customWidth="1"/>
    <col min="14" max="17" width="16.44140625" style="1" customWidth="1"/>
    <col min="18" max="19" width="18.5546875" style="1" customWidth="1"/>
    <col min="20" max="20" width="27" style="196" customWidth="1"/>
    <col min="21" max="21" width="12" style="155" customWidth="1"/>
    <col min="22" max="16384" width="9.109375" style="1"/>
  </cols>
  <sheetData>
    <row r="1" spans="1:21" ht="31.8" thickBot="1" x14ac:dyDescent="0.65">
      <c r="A1" s="211" t="s">
        <v>486</v>
      </c>
      <c r="C1" s="224"/>
      <c r="D1" s="224"/>
      <c r="I1" s="4"/>
      <c r="J1" s="4"/>
      <c r="K1" s="294" t="s">
        <v>487</v>
      </c>
      <c r="L1" s="294"/>
      <c r="M1" s="294"/>
    </row>
    <row r="2" spans="1:21" ht="16.2" thickBot="1" x14ac:dyDescent="0.35"/>
    <row r="3" spans="1:21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227">
        <v>2023</v>
      </c>
      <c r="R3" s="253" t="s">
        <v>809</v>
      </c>
      <c r="S3" s="240" t="s">
        <v>2638</v>
      </c>
      <c r="T3" s="156"/>
      <c r="U3" s="156"/>
    </row>
    <row r="4" spans="1:21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110">
        <v>45199</v>
      </c>
      <c r="R4" s="110">
        <v>45291</v>
      </c>
      <c r="S4" s="209"/>
      <c r="T4" s="156"/>
      <c r="U4" s="156"/>
    </row>
    <row r="5" spans="1:21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37"/>
      <c r="R5" s="111"/>
      <c r="S5" s="8"/>
      <c r="T5" s="155"/>
    </row>
    <row r="6" spans="1:21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10">
        <v>225734</v>
      </c>
      <c r="Q6" s="9">
        <v>193786</v>
      </c>
      <c r="R6" s="249">
        <v>240000</v>
      </c>
      <c r="S6" s="190">
        <v>220000</v>
      </c>
      <c r="T6" s="217" t="s">
        <v>2605</v>
      </c>
    </row>
    <row r="7" spans="1:21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10">
        <v>187000</v>
      </c>
      <c r="Q7" s="9">
        <v>181250</v>
      </c>
      <c r="R7" s="249">
        <v>181250</v>
      </c>
      <c r="S7" s="190">
        <v>185000</v>
      </c>
      <c r="T7" s="258" t="s">
        <v>2655</v>
      </c>
    </row>
    <row r="8" spans="1:21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10">
        <v>83434</v>
      </c>
      <c r="Q8" s="9">
        <v>134480</v>
      </c>
      <c r="R8" s="249">
        <v>175000</v>
      </c>
      <c r="S8" s="190">
        <v>85000</v>
      </c>
      <c r="T8" s="236"/>
    </row>
    <row r="9" spans="1:21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10">
        <v>33422</v>
      </c>
      <c r="Q9" s="9">
        <v>14330</v>
      </c>
      <c r="R9" s="249">
        <v>14330</v>
      </c>
      <c r="S9" s="190">
        <v>30000</v>
      </c>
      <c r="T9" s="236" t="s">
        <v>2653</v>
      </c>
    </row>
    <row r="10" spans="1:21" ht="57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10">
        <v>109900</v>
      </c>
      <c r="Q10" s="9">
        <v>53000</v>
      </c>
      <c r="R10" s="249">
        <v>130000</v>
      </c>
      <c r="S10" s="190">
        <v>80000</v>
      </c>
      <c r="T10" s="217" t="s">
        <v>2665</v>
      </c>
    </row>
    <row r="11" spans="1:21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10">
        <v>145695</v>
      </c>
      <c r="Q11" s="9">
        <v>162700</v>
      </c>
      <c r="R11" s="249">
        <v>162700</v>
      </c>
      <c r="S11" s="190">
        <v>150000</v>
      </c>
      <c r="T11" s="155"/>
    </row>
    <row r="12" spans="1:21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10"/>
      <c r="Q12" s="9"/>
      <c r="R12" s="249">
        <v>0</v>
      </c>
      <c r="S12" s="190">
        <v>0</v>
      </c>
      <c r="T12" s="155"/>
    </row>
    <row r="13" spans="1:21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10"/>
      <c r="Q13" s="9"/>
      <c r="R13" s="249">
        <v>0</v>
      </c>
      <c r="S13" s="190">
        <v>0</v>
      </c>
      <c r="T13" s="155"/>
    </row>
    <row r="14" spans="1:21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10">
        <v>46439</v>
      </c>
      <c r="Q14" s="9">
        <v>-6472</v>
      </c>
      <c r="R14" s="249">
        <v>20000</v>
      </c>
      <c r="S14" s="190">
        <v>50000</v>
      </c>
      <c r="T14" s="236" t="s">
        <v>2668</v>
      </c>
    </row>
    <row r="15" spans="1:21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 t="shared" ref="L15:S15" si="2">SUM(L6:L14)</f>
        <v>602111</v>
      </c>
      <c r="M15" s="12">
        <f t="shared" si="2"/>
        <v>627974</v>
      </c>
      <c r="N15" s="12">
        <f t="shared" si="2"/>
        <v>667900</v>
      </c>
      <c r="O15" s="12">
        <f t="shared" si="2"/>
        <v>701882</v>
      </c>
      <c r="P15" s="12">
        <f t="shared" si="2"/>
        <v>831624</v>
      </c>
      <c r="Q15" s="11">
        <f t="shared" si="2"/>
        <v>733074</v>
      </c>
      <c r="R15" s="250">
        <f t="shared" si="2"/>
        <v>923280</v>
      </c>
      <c r="S15" s="191">
        <f t="shared" si="2"/>
        <v>800000</v>
      </c>
      <c r="T15" s="155"/>
    </row>
    <row r="16" spans="1:21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Q16" s="111"/>
      <c r="R16" s="249"/>
      <c r="S16" s="190"/>
      <c r="T16" s="155"/>
    </row>
    <row r="17" spans="1:22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Q17" s="112"/>
      <c r="R17" s="249"/>
      <c r="S17" s="190"/>
      <c r="T17" s="159"/>
      <c r="U17" s="159"/>
    </row>
    <row r="18" spans="1:22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10">
        <v>-181432</v>
      </c>
      <c r="Q18" s="9">
        <v>-214670</v>
      </c>
      <c r="R18" s="249">
        <v>-220000</v>
      </c>
      <c r="S18" s="190">
        <v>-180000</v>
      </c>
      <c r="T18" s="157" t="s">
        <v>2572</v>
      </c>
      <c r="U18" s="197"/>
    </row>
    <row r="19" spans="1:22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10">
        <v>-133504</v>
      </c>
      <c r="Q19" s="9">
        <v>-113620</v>
      </c>
      <c r="R19" s="249">
        <v>-135000</v>
      </c>
      <c r="S19" s="190">
        <v>-130000</v>
      </c>
      <c r="T19" s="157"/>
      <c r="U19" s="197"/>
      <c r="V19" s="55"/>
    </row>
    <row r="20" spans="1:22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10">
        <v>-519</v>
      </c>
      <c r="Q20" s="9">
        <v>-42132</v>
      </c>
      <c r="R20" s="249">
        <v>-57000</v>
      </c>
      <c r="S20" s="190">
        <v>-8000</v>
      </c>
      <c r="T20" s="157" t="s">
        <v>2664</v>
      </c>
      <c r="U20" s="197"/>
    </row>
    <row r="21" spans="1:22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10">
        <v>-29952</v>
      </c>
      <c r="Q21" s="9">
        <v>-41758</v>
      </c>
      <c r="R21" s="249">
        <v>-48000</v>
      </c>
      <c r="S21" s="190">
        <v>-30000</v>
      </c>
      <c r="T21" s="157" t="s">
        <v>2529</v>
      </c>
      <c r="U21" s="197"/>
    </row>
    <row r="22" spans="1:22" ht="33.6" customHeight="1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10">
        <v>-92029</v>
      </c>
      <c r="Q22" s="9">
        <v>-84426</v>
      </c>
      <c r="R22" s="249">
        <v>-110000</v>
      </c>
      <c r="S22" s="190">
        <v>-90000</v>
      </c>
      <c r="T22" s="217" t="s">
        <v>2666</v>
      </c>
      <c r="U22" s="197"/>
    </row>
    <row r="23" spans="1:22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10">
        <v>-79144</v>
      </c>
      <c r="Q23" s="9">
        <v>-100886</v>
      </c>
      <c r="R23" s="249">
        <v>-103000</v>
      </c>
      <c r="S23" s="190">
        <v>-80000</v>
      </c>
      <c r="T23" s="157" t="s">
        <v>2572</v>
      </c>
      <c r="U23" s="197"/>
    </row>
    <row r="24" spans="1:22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10">
        <v>-1231</v>
      </c>
      <c r="Q24" s="9">
        <v>-13700</v>
      </c>
      <c r="R24" s="249">
        <v>-13700</v>
      </c>
      <c r="S24" s="190">
        <v>-5000</v>
      </c>
      <c r="T24" s="155"/>
      <c r="U24" s="197"/>
    </row>
    <row r="25" spans="1:22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10">
        <v>-22800</v>
      </c>
      <c r="Q25" s="9">
        <v>-30650</v>
      </c>
      <c r="R25" s="249">
        <v>-35000</v>
      </c>
      <c r="S25" s="190">
        <v>-25000</v>
      </c>
      <c r="T25" s="157" t="s">
        <v>2610</v>
      </c>
      <c r="U25" s="197"/>
    </row>
    <row r="26" spans="1:22" ht="24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10">
        <v>-30440</v>
      </c>
      <c r="Q26" s="9">
        <v>-30700</v>
      </c>
      <c r="R26" s="249">
        <v>-35000</v>
      </c>
      <c r="S26" s="190">
        <v>-35000</v>
      </c>
      <c r="T26" s="157" t="s">
        <v>2611</v>
      </c>
      <c r="U26" s="197"/>
    </row>
    <row r="27" spans="1:22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10">
        <v>-5340</v>
      </c>
      <c r="Q27" s="9">
        <v>-2000</v>
      </c>
      <c r="R27" s="249">
        <v>-7500</v>
      </c>
      <c r="S27" s="190">
        <v>-10000</v>
      </c>
      <c r="T27" s="157"/>
      <c r="U27" s="197"/>
    </row>
    <row r="28" spans="1:22" ht="34.799999999999997" customHeight="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10">
        <f>-55750</f>
        <v>-55750</v>
      </c>
      <c r="Q28" s="9">
        <v>-65500</v>
      </c>
      <c r="R28" s="249">
        <v>-70000</v>
      </c>
      <c r="S28" s="190">
        <v>-75000</v>
      </c>
      <c r="T28" s="217" t="s">
        <v>2663</v>
      </c>
      <c r="U28" s="197"/>
    </row>
    <row r="29" spans="1:22" ht="27" customHeight="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10">
        <f>-19000-4000</f>
        <v>-23000</v>
      </c>
      <c r="Q29" s="9">
        <v>-15000</v>
      </c>
      <c r="R29" s="249">
        <v>-20000</v>
      </c>
      <c r="S29" s="190">
        <v>-20000</v>
      </c>
      <c r="T29" s="217" t="s">
        <v>2661</v>
      </c>
    </row>
    <row r="30" spans="1:22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10">
        <v>-500</v>
      </c>
      <c r="Q30" s="9">
        <v>-500</v>
      </c>
      <c r="R30" s="249">
        <v>-500</v>
      </c>
      <c r="S30" s="190">
        <v>-500</v>
      </c>
      <c r="T30" s="157"/>
    </row>
    <row r="31" spans="1:22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10">
        <v>-166907</v>
      </c>
      <c r="Q31" s="9">
        <v>-98178</v>
      </c>
      <c r="R31" s="249">
        <v>-163000</v>
      </c>
      <c r="S31" s="190">
        <v>-170000</v>
      </c>
      <c r="T31" s="157" t="s">
        <v>2662</v>
      </c>
      <c r="U31" s="197"/>
    </row>
    <row r="32" spans="1:22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10"/>
      <c r="Q32" s="9"/>
      <c r="R32" s="249">
        <v>0</v>
      </c>
      <c r="S32" s="190">
        <v>0</v>
      </c>
      <c r="T32" s="155"/>
      <c r="U32" s="197"/>
    </row>
    <row r="33" spans="1:22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10">
        <v>-5059</v>
      </c>
      <c r="Q33" s="9">
        <f>-750-1134-300-1094-78-365-350-711</f>
        <v>-4782</v>
      </c>
      <c r="R33" s="249">
        <v>-5000</v>
      </c>
      <c r="S33" s="190">
        <v>-5000</v>
      </c>
      <c r="T33" s="157" t="s">
        <v>2615</v>
      </c>
      <c r="U33" s="197"/>
    </row>
    <row r="34" spans="1:22" x14ac:dyDescent="0.3">
      <c r="A34" s="7" t="s">
        <v>2555</v>
      </c>
      <c r="B34" s="39">
        <f t="shared" ref="B34:Q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2">
        <f t="shared" si="3"/>
        <v>-827607</v>
      </c>
      <c r="Q34" s="11">
        <f t="shared" si="3"/>
        <v>-858502</v>
      </c>
      <c r="R34" s="250">
        <f>SUM(R18:R33)</f>
        <v>-1022700</v>
      </c>
      <c r="S34" s="191">
        <f>SUM(S18:S33)</f>
        <v>-863500</v>
      </c>
      <c r="T34" s="205"/>
      <c r="U34" s="206"/>
    </row>
    <row r="35" spans="1:22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46"/>
      <c r="Q35" s="113"/>
      <c r="R35" s="250"/>
      <c r="S35" s="191"/>
      <c r="T35" s="158"/>
      <c r="U35" s="207"/>
    </row>
    <row r="36" spans="1:22" s="13" customFormat="1" ht="38.25" hidden="1" customHeight="1" x14ac:dyDescent="0.3">
      <c r="A36" s="7" t="s">
        <v>48</v>
      </c>
      <c r="B36" s="39">
        <f t="shared" ref="B36:Q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12">
        <f t="shared" si="5"/>
        <v>10177</v>
      </c>
      <c r="J36" s="12">
        <f t="shared" si="5"/>
        <v>36557</v>
      </c>
      <c r="K36" s="12">
        <f t="shared" si="5"/>
        <v>-84874</v>
      </c>
      <c r="L36" s="12">
        <f t="shared" si="5"/>
        <v>8025</v>
      </c>
      <c r="M36" s="12">
        <f t="shared" si="5"/>
        <v>-10322</v>
      </c>
      <c r="N36" s="12">
        <f t="shared" si="5"/>
        <v>122284</v>
      </c>
      <c r="O36" s="12">
        <f t="shared" si="5"/>
        <v>104927</v>
      </c>
      <c r="P36" s="12">
        <f t="shared" si="5"/>
        <v>4017</v>
      </c>
      <c r="Q36" s="11">
        <f t="shared" si="5"/>
        <v>-125428</v>
      </c>
      <c r="R36" s="250">
        <f>R15+R34</f>
        <v>-99420</v>
      </c>
      <c r="S36" s="191">
        <f>S15+S34</f>
        <v>-63500</v>
      </c>
      <c r="T36" s="158"/>
      <c r="U36" s="207"/>
    </row>
    <row r="37" spans="1:22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2"/>
      <c r="Q37" s="11"/>
      <c r="R37" s="250"/>
      <c r="S37" s="191"/>
      <c r="T37" s="158"/>
      <c r="U37" s="207"/>
    </row>
    <row r="38" spans="1:22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1">
        <v>0</v>
      </c>
      <c r="R38" s="250">
        <v>0</v>
      </c>
      <c r="S38" s="191">
        <v>0</v>
      </c>
      <c r="T38" s="155"/>
      <c r="U38" s="206"/>
    </row>
    <row r="39" spans="1:22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4"/>
      <c r="R39" s="251"/>
      <c r="S39" s="210"/>
      <c r="T39" s="205"/>
      <c r="U39" s="206"/>
    </row>
    <row r="40" spans="1:22" s="13" customFormat="1" ht="16.2" thickBot="1" x14ac:dyDescent="0.35">
      <c r="A40" s="7" t="s">
        <v>2557</v>
      </c>
      <c r="B40" s="39">
        <f t="shared" ref="B40:R40" si="6">+B38+B36</f>
        <v>-34674</v>
      </c>
      <c r="C40" s="39">
        <f t="shared" si="6"/>
        <v>76791</v>
      </c>
      <c r="D40" s="39">
        <f t="shared" si="6"/>
        <v>22713</v>
      </c>
      <c r="E40" s="39">
        <f t="shared" si="6"/>
        <v>-15009.140000000043</v>
      </c>
      <c r="F40" s="39">
        <f t="shared" si="6"/>
        <v>-35959.489999999991</v>
      </c>
      <c r="G40" s="39">
        <f t="shared" si="6"/>
        <v>-181974</v>
      </c>
      <c r="H40" s="39">
        <f t="shared" si="6"/>
        <v>13685</v>
      </c>
      <c r="I40" s="12">
        <f t="shared" si="6"/>
        <v>10177</v>
      </c>
      <c r="J40" s="12">
        <f>+J38+J36</f>
        <v>36557</v>
      </c>
      <c r="K40" s="12">
        <f t="shared" si="6"/>
        <v>-84874</v>
      </c>
      <c r="L40" s="12">
        <f t="shared" si="6"/>
        <v>8025</v>
      </c>
      <c r="M40" s="12">
        <f t="shared" si="6"/>
        <v>-10322</v>
      </c>
      <c r="N40" s="12">
        <f t="shared" si="6"/>
        <v>122284</v>
      </c>
      <c r="O40" s="12">
        <f t="shared" si="6"/>
        <v>104927</v>
      </c>
      <c r="P40" s="12">
        <f t="shared" si="6"/>
        <v>4017</v>
      </c>
      <c r="Q40" s="154">
        <f t="shared" si="6"/>
        <v>-125428</v>
      </c>
      <c r="R40" s="252">
        <f t="shared" si="6"/>
        <v>-99420</v>
      </c>
      <c r="S40" s="192">
        <f>+S38+S36</f>
        <v>-63500</v>
      </c>
      <c r="T40" s="155"/>
      <c r="U40" s="208"/>
    </row>
    <row r="41" spans="1:22" s="13" customFormat="1" x14ac:dyDescent="0.3">
      <c r="A41" s="4"/>
      <c r="B41" s="4"/>
      <c r="C41" s="4"/>
      <c r="D41" s="4"/>
      <c r="E41" s="4"/>
      <c r="F41" s="4"/>
      <c r="G41" s="4"/>
      <c r="H41" s="4"/>
      <c r="R41" s="58"/>
      <c r="S41" s="58"/>
      <c r="T41" s="196"/>
      <c r="U41" s="155"/>
    </row>
    <row r="42" spans="1:22" x14ac:dyDescent="0.3">
      <c r="O42" s="13" t="s">
        <v>2667</v>
      </c>
      <c r="P42" s="1" t="s">
        <v>2656</v>
      </c>
      <c r="Q42" s="99">
        <v>68000</v>
      </c>
      <c r="R42" s="55" t="s">
        <v>2660</v>
      </c>
      <c r="T42" s="155"/>
    </row>
    <row r="43" spans="1:22" x14ac:dyDescent="0.3">
      <c r="P43" s="1" t="s">
        <v>2657</v>
      </c>
      <c r="Q43" s="99">
        <v>-65000</v>
      </c>
      <c r="R43" s="99" t="s">
        <v>2674</v>
      </c>
    </row>
    <row r="44" spans="1:22" x14ac:dyDescent="0.3">
      <c r="P44" s="1" t="s">
        <v>508</v>
      </c>
      <c r="Q44" s="99">
        <v>-15000</v>
      </c>
      <c r="R44" s="222" t="s">
        <v>2658</v>
      </c>
    </row>
    <row r="45" spans="1:22" x14ac:dyDescent="0.3">
      <c r="P45" s="1" t="s">
        <v>2675</v>
      </c>
      <c r="Q45" s="99">
        <v>-20000</v>
      </c>
      <c r="R45" s="207"/>
    </row>
    <row r="46" spans="1:22" x14ac:dyDescent="0.3">
      <c r="P46" s="1" t="s">
        <v>2670</v>
      </c>
      <c r="Q46" s="99">
        <v>45000</v>
      </c>
      <c r="R46" s="222" t="s">
        <v>2672</v>
      </c>
    </row>
    <row r="47" spans="1:22" s="4" customFormat="1" x14ac:dyDescent="0.3">
      <c r="P47" s="1"/>
      <c r="Q47" s="269"/>
      <c r="R47" s="222"/>
      <c r="T47" s="196"/>
      <c r="U47" s="155"/>
      <c r="V47" s="1"/>
    </row>
    <row r="48" spans="1:22" s="4" customFormat="1" x14ac:dyDescent="0.3">
      <c r="R48" s="99"/>
      <c r="T48" s="196"/>
      <c r="U48" s="155"/>
      <c r="V48" s="1"/>
    </row>
    <row r="49" spans="18:22" s="4" customFormat="1" x14ac:dyDescent="0.3">
      <c r="R49" s="99"/>
      <c r="T49" s="196"/>
      <c r="U49" s="155"/>
      <c r="V49" s="1"/>
    </row>
    <row r="50" spans="18:22" s="4" customFormat="1" x14ac:dyDescent="0.3">
      <c r="R50" s="99"/>
      <c r="T50" s="196"/>
      <c r="U50" s="155"/>
      <c r="V50" s="1"/>
    </row>
    <row r="51" spans="18:22" x14ac:dyDescent="0.3">
      <c r="R51" s="99"/>
    </row>
    <row r="52" spans="18:22" x14ac:dyDescent="0.3">
      <c r="R52" s="223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9AE5B-C468-44C8-A363-35B7AD86911C}">
  <sheetPr>
    <tabColor theme="9" tint="-0.249977111117893"/>
    <pageSetUpPr fitToPage="1"/>
  </sheetPr>
  <dimension ref="A1:T53"/>
  <sheetViews>
    <sheetView zoomScale="110" zoomScaleNormal="110" workbookViewId="0">
      <pane xSplit="1" ySplit="3" topLeftCell="O4" activePane="bottomRight" state="frozen"/>
      <selection pane="topRight" activeCell="B1" sqref="B1"/>
      <selection pane="bottomLeft" activeCell="A4" sqref="A4"/>
      <selection pane="bottomRight" activeCell="S10" sqref="S10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2" width="16.44140625" style="1" hidden="1" customWidth="1"/>
    <col min="13" max="13" width="18" style="1" hidden="1" customWidth="1"/>
    <col min="14" max="14" width="16.44140625" style="1" hidden="1" customWidth="1"/>
    <col min="15" max="18" width="16.44140625" style="1" customWidth="1"/>
    <col min="19" max="19" width="17.6640625" style="1" customWidth="1"/>
    <col min="20" max="20" width="18.5546875" style="1" customWidth="1"/>
    <col min="21" max="16384" width="9.109375" style="1"/>
  </cols>
  <sheetData>
    <row r="1" spans="1:20" ht="31.8" thickBot="1" x14ac:dyDescent="0.65">
      <c r="A1" s="211" t="s">
        <v>486</v>
      </c>
      <c r="C1" s="224"/>
      <c r="D1" s="224"/>
      <c r="I1" s="4"/>
      <c r="J1" s="4"/>
      <c r="K1" s="289"/>
      <c r="L1" s="289"/>
      <c r="M1" s="289"/>
      <c r="O1" s="290" t="s">
        <v>2786</v>
      </c>
      <c r="P1" s="290"/>
    </row>
    <row r="2" spans="1:20" ht="16.2" thickBot="1" x14ac:dyDescent="0.35"/>
    <row r="3" spans="1:20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37">
        <v>2023</v>
      </c>
      <c r="R3" s="37">
        <v>2024</v>
      </c>
      <c r="S3" s="227">
        <v>2025</v>
      </c>
      <c r="T3" s="240" t="s">
        <v>2812</v>
      </c>
    </row>
    <row r="4" spans="1:20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42"/>
      <c r="R4" s="42"/>
      <c r="S4" s="110"/>
      <c r="T4" s="209"/>
    </row>
    <row r="5" spans="1:20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56"/>
      <c r="R5" s="256"/>
      <c r="S5" s="237"/>
      <c r="T5" s="8"/>
    </row>
    <row r="6" spans="1:20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10">
        <v>225734</v>
      </c>
      <c r="Q6" s="10">
        <v>252983</v>
      </c>
      <c r="R6" s="10">
        <v>209138</v>
      </c>
      <c r="S6" s="9">
        <v>212300</v>
      </c>
      <c r="T6" s="190">
        <v>210000</v>
      </c>
    </row>
    <row r="7" spans="1:20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10">
        <v>187000</v>
      </c>
      <c r="Q7" s="10">
        <v>181250</v>
      </c>
      <c r="R7" s="10">
        <v>211575</v>
      </c>
      <c r="S7" s="9">
        <v>343975</v>
      </c>
      <c r="T7" s="190">
        <v>350000</v>
      </c>
    </row>
    <row r="8" spans="1:20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10">
        <v>83434</v>
      </c>
      <c r="Q8" s="10">
        <v>177917</v>
      </c>
      <c r="R8" s="10">
        <v>112047</v>
      </c>
      <c r="S8" s="9">
        <v>130306</v>
      </c>
      <c r="T8" s="190">
        <v>115000</v>
      </c>
    </row>
    <row r="9" spans="1:20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10">
        <v>33422</v>
      </c>
      <c r="Q9" s="10">
        <v>14330</v>
      </c>
      <c r="R9" s="10">
        <v>27500</v>
      </c>
      <c r="S9" s="9">
        <v>106174</v>
      </c>
      <c r="T9" s="190">
        <v>105000</v>
      </c>
    </row>
    <row r="10" spans="1:20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10">
        <v>109900</v>
      </c>
      <c r="Q10" s="10">
        <v>137850</v>
      </c>
      <c r="R10" s="10">
        <v>125900</v>
      </c>
      <c r="S10" s="9">
        <v>198897</v>
      </c>
      <c r="T10" s="190">
        <v>100000</v>
      </c>
    </row>
    <row r="11" spans="1:20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10">
        <v>145695</v>
      </c>
      <c r="Q11" s="10">
        <v>163300</v>
      </c>
      <c r="R11" s="10">
        <v>203280</v>
      </c>
      <c r="S11" s="9">
        <v>218230</v>
      </c>
      <c r="T11" s="190">
        <v>200000</v>
      </c>
    </row>
    <row r="12" spans="1:20" x14ac:dyDescent="0.3">
      <c r="A12" s="4" t="s">
        <v>2823</v>
      </c>
      <c r="B12" s="38">
        <v>500</v>
      </c>
      <c r="C12" s="38">
        <v>85850</v>
      </c>
      <c r="D12" s="38">
        <v>62250</v>
      </c>
      <c r="E12" s="38">
        <v>66900</v>
      </c>
      <c r="F12" s="38">
        <v>91100</v>
      </c>
      <c r="G12" s="38">
        <v>83700</v>
      </c>
      <c r="H12" s="38">
        <v>94424</v>
      </c>
      <c r="I12" s="38">
        <f>99500</f>
        <v>99500</v>
      </c>
      <c r="J12" s="38">
        <f>81000</f>
        <v>81000</v>
      </c>
      <c r="K12" s="10">
        <v>85200</v>
      </c>
      <c r="L12" s="10">
        <v>69517</v>
      </c>
      <c r="M12" s="10">
        <v>89680</v>
      </c>
      <c r="N12" s="10">
        <v>95633</v>
      </c>
      <c r="O12" s="10"/>
      <c r="P12" s="10"/>
      <c r="Q12" s="10"/>
      <c r="R12" s="10"/>
      <c r="S12" s="9">
        <v>130789</v>
      </c>
      <c r="T12" s="190">
        <v>124000</v>
      </c>
    </row>
    <row r="13" spans="1:20" hidden="1" x14ac:dyDescent="0.3">
      <c r="A13" s="4" t="s">
        <v>2143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0</v>
      </c>
      <c r="G13" s="38">
        <v>0</v>
      </c>
      <c r="H13" s="38">
        <v>0</v>
      </c>
      <c r="I13" s="38">
        <v>0</v>
      </c>
      <c r="J13" s="38">
        <f>5750-1743-1743-1453-3486-4358-15750+10000+7640+840+1463+5660</f>
        <v>2820</v>
      </c>
      <c r="K13" s="10">
        <v>5455</v>
      </c>
      <c r="L13" s="10">
        <v>0</v>
      </c>
      <c r="M13" s="10">
        <v>0</v>
      </c>
      <c r="N13" s="10">
        <v>0</v>
      </c>
      <c r="O13" s="10"/>
      <c r="P13" s="10"/>
      <c r="Q13" s="10"/>
      <c r="R13" s="10"/>
      <c r="S13" s="9"/>
      <c r="T13" s="190">
        <v>0</v>
      </c>
    </row>
    <row r="14" spans="1:20" x14ac:dyDescent="0.3">
      <c r="A14" s="4" t="s">
        <v>27</v>
      </c>
      <c r="B14" s="38">
        <v>2474</v>
      </c>
      <c r="C14" s="38">
        <v>239</v>
      </c>
      <c r="D14" s="38">
        <v>450</v>
      </c>
      <c r="E14" s="38">
        <v>2470.9899999999998</v>
      </c>
      <c r="F14" s="38">
        <v>1824.88</v>
      </c>
      <c r="G14" s="38">
        <v>514</v>
      </c>
      <c r="H14" s="38">
        <v>101</v>
      </c>
      <c r="I14" s="38">
        <v>13</v>
      </c>
      <c r="J14" s="38">
        <v>0</v>
      </c>
      <c r="K14" s="10">
        <v>0</v>
      </c>
      <c r="L14" s="10">
        <v>0</v>
      </c>
      <c r="M14" s="10">
        <v>0</v>
      </c>
      <c r="N14" s="10">
        <v>0</v>
      </c>
      <c r="O14" s="10"/>
      <c r="P14" s="10"/>
      <c r="Q14" s="10"/>
      <c r="R14" s="10">
        <v>6206</v>
      </c>
      <c r="S14" s="9">
        <v>4209</v>
      </c>
      <c r="T14" s="190">
        <v>3000</v>
      </c>
    </row>
    <row r="15" spans="1:20" x14ac:dyDescent="0.3">
      <c r="A15" s="4" t="s">
        <v>490</v>
      </c>
      <c r="B15" s="38">
        <f>3455+2000</f>
        <v>5455</v>
      </c>
      <c r="C15" s="38">
        <f>400+10000+12000</f>
        <v>22400</v>
      </c>
      <c r="D15" s="38">
        <v>4112</v>
      </c>
      <c r="E15" s="38">
        <f>4135+5600</f>
        <v>9735</v>
      </c>
      <c r="F15" s="38">
        <f>1987+4050</f>
        <v>6037</v>
      </c>
      <c r="G15" s="38">
        <v>1630</v>
      </c>
      <c r="H15" s="38">
        <v>16554</v>
      </c>
      <c r="I15" s="38">
        <f>28269-19125+4390+6756</f>
        <v>20290</v>
      </c>
      <c r="J15" s="38">
        <f>2914+5838+4950+240+1000+6365+1880+2390</f>
        <v>25577</v>
      </c>
      <c r="K15" s="10">
        <v>29446</v>
      </c>
      <c r="L15" s="10">
        <v>56040</v>
      </c>
      <c r="M15" s="10">
        <v>21304</v>
      </c>
      <c r="N15" s="10">
        <v>93807</v>
      </c>
      <c r="O15" s="10">
        <v>61627</v>
      </c>
      <c r="P15" s="10">
        <v>46439</v>
      </c>
      <c r="Q15" s="10">
        <v>11035</v>
      </c>
      <c r="R15" s="10">
        <v>17071</v>
      </c>
      <c r="S15" s="9">
        <v>21649</v>
      </c>
      <c r="T15" s="190">
        <v>15000</v>
      </c>
    </row>
    <row r="16" spans="1:20" x14ac:dyDescent="0.3">
      <c r="A16" s="7" t="s">
        <v>2554</v>
      </c>
      <c r="B16" s="39">
        <f t="shared" ref="B16:K16" si="0">SUM(B6:B15)</f>
        <v>194703</v>
      </c>
      <c r="C16" s="39">
        <f t="shared" si="0"/>
        <v>431575</v>
      </c>
      <c r="D16" s="39">
        <f t="shared" si="0"/>
        <v>282807</v>
      </c>
      <c r="E16" s="39">
        <f t="shared" si="0"/>
        <v>308979.27999999997</v>
      </c>
      <c r="F16" s="39">
        <f t="shared" si="0"/>
        <v>390713.28</v>
      </c>
      <c r="G16" s="39">
        <f t="shared" si="0"/>
        <v>373620</v>
      </c>
      <c r="H16" s="39">
        <f t="shared" si="0"/>
        <v>575175</v>
      </c>
      <c r="I16" s="39">
        <f>SUM(I6:I15)</f>
        <v>727836</v>
      </c>
      <c r="J16" s="39">
        <f t="shared" ref="J16" si="1">SUM(J6:J15)</f>
        <v>702290</v>
      </c>
      <c r="K16" s="12">
        <f t="shared" si="0"/>
        <v>735324</v>
      </c>
      <c r="L16" s="12">
        <f t="shared" ref="L16:R16" si="2">SUM(L6:L15)</f>
        <v>671628</v>
      </c>
      <c r="M16" s="12">
        <f t="shared" si="2"/>
        <v>717654</v>
      </c>
      <c r="N16" s="12">
        <f t="shared" si="2"/>
        <v>763533</v>
      </c>
      <c r="O16" s="12">
        <f t="shared" si="2"/>
        <v>701882</v>
      </c>
      <c r="P16" s="12">
        <f t="shared" si="2"/>
        <v>831624</v>
      </c>
      <c r="Q16" s="12">
        <f t="shared" si="2"/>
        <v>938665</v>
      </c>
      <c r="R16" s="12">
        <f t="shared" si="2"/>
        <v>912717</v>
      </c>
      <c r="S16" s="11">
        <f>SUM(S6:S15)</f>
        <v>1366529</v>
      </c>
      <c r="T16" s="191">
        <f>SUM(T6:T15)</f>
        <v>1222000</v>
      </c>
    </row>
    <row r="17" spans="1:20" ht="16.2" thickBot="1" x14ac:dyDescent="0.35">
      <c r="B17" s="38"/>
      <c r="C17" s="40"/>
      <c r="D17" s="40"/>
      <c r="E17" s="38"/>
      <c r="F17" s="40"/>
      <c r="G17" s="40"/>
      <c r="H17" s="40"/>
      <c r="I17" s="40"/>
      <c r="J17" s="40"/>
      <c r="S17" s="111"/>
      <c r="T17" s="190"/>
    </row>
    <row r="18" spans="1:20" s="13" customFormat="1" ht="16.2" thickBot="1" x14ac:dyDescent="0.35">
      <c r="A18" s="32" t="s">
        <v>30</v>
      </c>
      <c r="B18" s="38"/>
      <c r="C18" s="41"/>
      <c r="D18" s="41"/>
      <c r="E18" s="38"/>
      <c r="F18" s="41"/>
      <c r="G18" s="41"/>
      <c r="H18" s="41"/>
      <c r="I18" s="41"/>
      <c r="J18" s="41"/>
      <c r="S18" s="112"/>
      <c r="T18" s="190"/>
    </row>
    <row r="19" spans="1:20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10">
        <v>-70226</v>
      </c>
      <c r="M19" s="10">
        <v>-120875</v>
      </c>
      <c r="N19" s="10">
        <v>-81372</v>
      </c>
      <c r="O19" s="10">
        <v>-159842</v>
      </c>
      <c r="P19" s="10">
        <v>-181432</v>
      </c>
      <c r="Q19" s="10">
        <v>-220492</v>
      </c>
      <c r="R19" s="10">
        <v>-95687</v>
      </c>
      <c r="S19" s="9">
        <f>-230672-15302-25000-15540</f>
        <v>-286514</v>
      </c>
      <c r="T19" s="190">
        <v>-130000</v>
      </c>
    </row>
    <row r="20" spans="1:20" x14ac:dyDescent="0.3">
      <c r="A20" s="4" t="s">
        <v>45</v>
      </c>
      <c r="B20" s="38">
        <v>-32646</v>
      </c>
      <c r="C20" s="38">
        <v>-42437</v>
      </c>
      <c r="D20" s="38">
        <v>-26923</v>
      </c>
      <c r="E20" s="38">
        <v>-32572</v>
      </c>
      <c r="F20" s="38">
        <v>-50743</v>
      </c>
      <c r="G20" s="38">
        <v>-52811</v>
      </c>
      <c r="H20" s="38">
        <v>-126816</v>
      </c>
      <c r="I20" s="38">
        <f>-953-23023-1120-3576-498-29220-3576-3576-48894</f>
        <v>-114436</v>
      </c>
      <c r="J20" s="38">
        <f>-975-3576-25151+2412-26894-7152-45412</f>
        <v>-106748</v>
      </c>
      <c r="K20" s="10">
        <v>-134562</v>
      </c>
      <c r="L20" s="10">
        <v>-150140</v>
      </c>
      <c r="M20" s="10">
        <v>-104717</v>
      </c>
      <c r="N20" s="10">
        <v>-122818</v>
      </c>
      <c r="O20" s="10">
        <v>-100638</v>
      </c>
      <c r="P20" s="10">
        <v>-133504</v>
      </c>
      <c r="Q20" s="10">
        <v>-140769</v>
      </c>
      <c r="R20" s="10">
        <v>-121835</v>
      </c>
      <c r="S20" s="9">
        <f>-140633</f>
        <v>-140633</v>
      </c>
      <c r="T20" s="190">
        <v>-120000</v>
      </c>
    </row>
    <row r="21" spans="1:20" x14ac:dyDescent="0.3">
      <c r="A21" s="4" t="s">
        <v>508</v>
      </c>
      <c r="B21" s="38">
        <v>-11755</v>
      </c>
      <c r="C21" s="38">
        <v>-20024</v>
      </c>
      <c r="D21" s="38">
        <v>-13297</v>
      </c>
      <c r="E21" s="38">
        <v>-14853.42</v>
      </c>
      <c r="F21" s="38">
        <v>-18717</v>
      </c>
      <c r="G21" s="38">
        <v>-4027</v>
      </c>
      <c r="H21" s="38">
        <v>-20624</v>
      </c>
      <c r="I21" s="38">
        <f>-3208-5440+2557-5729-1907+1985-874-1767-2130-3432-789-9120-114-867-1407-1435-38-5807-8282</f>
        <v>-47804</v>
      </c>
      <c r="J21" s="38">
        <f>-3760-1277-3685+3685-2253-17843-2444-4021-349-5145-111-368-279-322</f>
        <v>-38172</v>
      </c>
      <c r="K21" s="10">
        <v>-17887</v>
      </c>
      <c r="L21" s="10">
        <v>-4522</v>
      </c>
      <c r="M21" s="10">
        <v>0</v>
      </c>
      <c r="N21" s="10">
        <v>-469</v>
      </c>
      <c r="O21" s="10">
        <v>-225</v>
      </c>
      <c r="P21" s="10">
        <v>-519</v>
      </c>
      <c r="Q21" s="10">
        <v>-58306</v>
      </c>
      <c r="R21" s="10">
        <v>-29423</v>
      </c>
      <c r="S21" s="9">
        <v>-31254</v>
      </c>
      <c r="T21" s="190">
        <v>-45000</v>
      </c>
    </row>
    <row r="22" spans="1:20" x14ac:dyDescent="0.3">
      <c r="A22" s="4" t="s">
        <v>1633</v>
      </c>
      <c r="B22" s="38">
        <v>-4800</v>
      </c>
      <c r="C22" s="38">
        <v>-3398</v>
      </c>
      <c r="D22" s="38">
        <v>0</v>
      </c>
      <c r="E22" s="38">
        <v>-7138</v>
      </c>
      <c r="F22" s="38">
        <v>-3450</v>
      </c>
      <c r="G22" s="38">
        <v>-8100</v>
      </c>
      <c r="H22" s="38">
        <v>-6790</v>
      </c>
      <c r="I22" s="38">
        <f>-2940-7000-2500-2800-185+23111-23111-31150-1700-495-1000</f>
        <v>-49770</v>
      </c>
      <c r="J22" s="38">
        <f>-2100-1969-5000-500-15500-1440-629-7355</f>
        <v>-34493</v>
      </c>
      <c r="K22" s="10">
        <v>-38345</v>
      </c>
      <c r="L22" s="10">
        <v>-52120</v>
      </c>
      <c r="M22" s="10">
        <v>-70704</v>
      </c>
      <c r="N22" s="10">
        <v>-10498</v>
      </c>
      <c r="O22" s="10">
        <v>-17059</v>
      </c>
      <c r="P22" s="10">
        <v>-29952</v>
      </c>
      <c r="Q22" s="10">
        <v>-42358</v>
      </c>
      <c r="R22" s="10">
        <v>-52555</v>
      </c>
      <c r="S22" s="9">
        <f>-88520</f>
        <v>-88520</v>
      </c>
      <c r="T22" s="190">
        <v>-90000</v>
      </c>
    </row>
    <row r="23" spans="1:20" x14ac:dyDescent="0.3">
      <c r="A23" s="4" t="s">
        <v>940</v>
      </c>
      <c r="B23" s="38">
        <v>0</v>
      </c>
      <c r="C23" s="38">
        <v>-1700</v>
      </c>
      <c r="D23" s="38">
        <v>0</v>
      </c>
      <c r="E23" s="38">
        <v>-3400</v>
      </c>
      <c r="F23" s="38">
        <v>-3900</v>
      </c>
      <c r="G23" s="38">
        <v>-4550</v>
      </c>
      <c r="H23" s="38">
        <v>-7520</v>
      </c>
      <c r="I23" s="38">
        <f>-4500-4000-682-4000-1110</f>
        <v>-14292</v>
      </c>
      <c r="J23" s="38">
        <f>-4000-5500-4000-407</f>
        <v>-13907</v>
      </c>
      <c r="K23" s="10">
        <v>-40515</v>
      </c>
      <c r="L23" s="10">
        <v>-23150</v>
      </c>
      <c r="M23" s="10">
        <v>-39500</v>
      </c>
      <c r="N23" s="10">
        <v>-35192</v>
      </c>
      <c r="O23" s="10">
        <v>-26250</v>
      </c>
      <c r="P23" s="10">
        <v>-92029</v>
      </c>
      <c r="Q23" s="10">
        <v>-99926</v>
      </c>
      <c r="R23" s="10">
        <v>-108845</v>
      </c>
      <c r="S23" s="9">
        <f>-97977</f>
        <v>-97977</v>
      </c>
      <c r="T23" s="190">
        <v>-210000</v>
      </c>
    </row>
    <row r="24" spans="1:20" x14ac:dyDescent="0.3">
      <c r="A24" s="4" t="s">
        <v>39</v>
      </c>
      <c r="B24" s="38">
        <v>-18016</v>
      </c>
      <c r="C24" s="38">
        <v>-18105</v>
      </c>
      <c r="D24" s="38">
        <v>-14387</v>
      </c>
      <c r="E24" s="38">
        <v>-7915</v>
      </c>
      <c r="F24" s="38">
        <v>-13828</v>
      </c>
      <c r="G24" s="38">
        <v>-24118</v>
      </c>
      <c r="H24" s="38">
        <v>-30770</v>
      </c>
      <c r="I24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4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4" s="10">
        <v>-76389</v>
      </c>
      <c r="L24" s="10">
        <v>-81515</v>
      </c>
      <c r="M24" s="10">
        <v>-88679</v>
      </c>
      <c r="N24" s="10">
        <v>-72732</v>
      </c>
      <c r="O24" s="10">
        <v>-58100</v>
      </c>
      <c r="P24" s="10">
        <v>-79144</v>
      </c>
      <c r="Q24" s="10">
        <v>-104788</v>
      </c>
      <c r="R24" s="10">
        <v>-88174</v>
      </c>
      <c r="S24" s="9">
        <f>-100989</f>
        <v>-100989</v>
      </c>
      <c r="T24" s="190">
        <v>-95000</v>
      </c>
    </row>
    <row r="25" spans="1:20" x14ac:dyDescent="0.3">
      <c r="A25" s="4" t="s">
        <v>40</v>
      </c>
      <c r="B25" s="38">
        <v>0</v>
      </c>
      <c r="C25" s="38">
        <v>-850</v>
      </c>
      <c r="D25" s="38">
        <v>-625</v>
      </c>
      <c r="E25" s="38">
        <v>-8200</v>
      </c>
      <c r="F25" s="38">
        <v>0</v>
      </c>
      <c r="G25" s="38">
        <v>0</v>
      </c>
      <c r="H25" s="38">
        <v>-2100</v>
      </c>
      <c r="I25" s="38">
        <f>-3950</f>
        <v>-3950</v>
      </c>
      <c r="J25" s="38">
        <f>-2750</f>
        <v>-2750</v>
      </c>
      <c r="K25" s="10">
        <v>-2500</v>
      </c>
      <c r="L25" s="10">
        <v>-3050</v>
      </c>
      <c r="M25" s="10">
        <v>-3860</v>
      </c>
      <c r="N25" s="10">
        <v>-7420</v>
      </c>
      <c r="O25" s="10">
        <v>-4750</v>
      </c>
      <c r="P25" s="10">
        <v>-1231</v>
      </c>
      <c r="Q25" s="10">
        <v>-13700</v>
      </c>
      <c r="R25" s="10">
        <v>-14628</v>
      </c>
      <c r="S25" s="9">
        <v>-18771</v>
      </c>
      <c r="T25" s="190">
        <v>-15000</v>
      </c>
    </row>
    <row r="26" spans="1:20" x14ac:dyDescent="0.3">
      <c r="A26" s="4" t="s">
        <v>36</v>
      </c>
      <c r="B26" s="38">
        <v>-5000</v>
      </c>
      <c r="C26" s="38">
        <v>-350</v>
      </c>
      <c r="D26" s="38">
        <v>0</v>
      </c>
      <c r="E26" s="38">
        <v>-3550</v>
      </c>
      <c r="F26" s="38">
        <v>-10190</v>
      </c>
      <c r="G26" s="38">
        <v>-27295</v>
      </c>
      <c r="H26" s="38">
        <v>-13550</v>
      </c>
      <c r="I26" s="38">
        <f>-1400-1400-2700-3000-1500-1200-1400-1000-1200-1300-1500-800-1200-1400-1400-1190</f>
        <v>-23590</v>
      </c>
      <c r="J26" s="38">
        <f>-800-1200-1100-3350-1400-1000-2000-1000-1400-300-1200-1400-1800-1500-1500-1600-1400-1400</f>
        <v>-25350</v>
      </c>
      <c r="K26" s="10">
        <v>-23700</v>
      </c>
      <c r="L26" s="10">
        <v>-23490</v>
      </c>
      <c r="M26" s="10">
        <v>-20500</v>
      </c>
      <c r="N26" s="10">
        <v>-6700</v>
      </c>
      <c r="O26" s="10">
        <v>-4050</v>
      </c>
      <c r="P26" s="10">
        <v>-22800</v>
      </c>
      <c r="Q26" s="10">
        <v>-34900</v>
      </c>
      <c r="R26" s="10">
        <v>-31665</v>
      </c>
      <c r="S26" s="9">
        <v>-43100</v>
      </c>
      <c r="T26" s="190">
        <v>-30000</v>
      </c>
    </row>
    <row r="27" spans="1:20" x14ac:dyDescent="0.3">
      <c r="A27" s="4" t="s">
        <v>154</v>
      </c>
      <c r="B27" s="38">
        <v>-19050</v>
      </c>
      <c r="C27" s="38">
        <f>-13250-1750</f>
        <v>-15000</v>
      </c>
      <c r="D27" s="38">
        <v>-19650</v>
      </c>
      <c r="E27" s="38">
        <v>-15750</v>
      </c>
      <c r="F27" s="38">
        <v>-21750</v>
      </c>
      <c r="G27" s="38">
        <v>-30300</v>
      </c>
      <c r="H27" s="38">
        <v>-23520</v>
      </c>
      <c r="I27" s="38">
        <f>950+4008-3900-500-15200+1000-500-1000-2000+1000-250-7000-600-7500</f>
        <v>-31492</v>
      </c>
      <c r="J27" s="38">
        <f>-1000-3000-6600-9700-4500-1900-1200-2000-2400-2000-400-500-2000</f>
        <v>-37200</v>
      </c>
      <c r="K27" s="10">
        <v>-30550</v>
      </c>
      <c r="L27" s="10">
        <v>-32750</v>
      </c>
      <c r="M27" s="10">
        <v>-41400</v>
      </c>
      <c r="N27" s="10">
        <v>-35920</v>
      </c>
      <c r="O27" s="10">
        <v>-14840</v>
      </c>
      <c r="P27" s="10">
        <v>-30440</v>
      </c>
      <c r="Q27" s="10">
        <v>-32200</v>
      </c>
      <c r="R27" s="10">
        <v>-24300</v>
      </c>
      <c r="S27" s="9">
        <v>-32650</v>
      </c>
      <c r="T27" s="190">
        <v>-25000</v>
      </c>
    </row>
    <row r="28" spans="1:20" x14ac:dyDescent="0.3">
      <c r="A28" s="4" t="s">
        <v>43</v>
      </c>
      <c r="B28" s="38">
        <v>-14470</v>
      </c>
      <c r="C28" s="38">
        <v>-10300</v>
      </c>
      <c r="D28" s="38">
        <v>-4860</v>
      </c>
      <c r="E28" s="38">
        <v>0</v>
      </c>
      <c r="F28" s="38">
        <v>-18405</v>
      </c>
      <c r="G28" s="38">
        <v>-10950</v>
      </c>
      <c r="H28" s="38">
        <v>-9515</v>
      </c>
      <c r="I28" s="38">
        <f>-300-8900+850-1250-3500</f>
        <v>-13100</v>
      </c>
      <c r="J28" s="38">
        <f>-4700-2390-8400</f>
        <v>-15490</v>
      </c>
      <c r="K28" s="10">
        <v>-14710</v>
      </c>
      <c r="L28" s="10">
        <v>-18980</v>
      </c>
      <c r="M28" s="10">
        <v>-15500</v>
      </c>
      <c r="N28" s="10">
        <v>-14350</v>
      </c>
      <c r="O28" s="10">
        <v>-15370</v>
      </c>
      <c r="P28" s="10">
        <v>-5340</v>
      </c>
      <c r="Q28" s="10">
        <v>-4080</v>
      </c>
      <c r="R28" s="10">
        <v>-23540</v>
      </c>
      <c r="S28" s="9">
        <v>-18610</v>
      </c>
      <c r="T28" s="190">
        <v>-10000</v>
      </c>
    </row>
    <row r="29" spans="1:20" x14ac:dyDescent="0.3">
      <c r="A29" s="4" t="s">
        <v>44</v>
      </c>
      <c r="B29" s="38">
        <v>-25000</v>
      </c>
      <c r="C29" s="38">
        <v>-15000</v>
      </c>
      <c r="D29" s="38">
        <v>-17500</v>
      </c>
      <c r="E29" s="38">
        <v>-30416</v>
      </c>
      <c r="F29" s="38">
        <v>-16000</v>
      </c>
      <c r="G29" s="38">
        <v>-34000</v>
      </c>
      <c r="H29" s="38">
        <v>-27000</v>
      </c>
      <c r="I29" s="38">
        <f>-12500-1000-2000-5000-3000</f>
        <v>-23500</v>
      </c>
      <c r="J29" s="38">
        <f>-1500-10000-500-4000</f>
        <v>-16000</v>
      </c>
      <c r="K29" s="10">
        <v>-39400</v>
      </c>
      <c r="L29" s="10">
        <v>-28600</v>
      </c>
      <c r="M29" s="10">
        <v>-18000</v>
      </c>
      <c r="N29" s="10">
        <v>-25600</v>
      </c>
      <c r="O29" s="10">
        <v>-53500</v>
      </c>
      <c r="P29" s="10">
        <f>-55750</f>
        <v>-55750</v>
      </c>
      <c r="Q29" s="10">
        <v>-66350</v>
      </c>
      <c r="R29" s="10">
        <v>-80025</v>
      </c>
      <c r="S29" s="9">
        <f>-74825</f>
        <v>-74825</v>
      </c>
      <c r="T29" s="190">
        <v>-80000</v>
      </c>
    </row>
    <row r="30" spans="1:20" x14ac:dyDescent="0.3">
      <c r="A30" s="4" t="s">
        <v>56</v>
      </c>
      <c r="B30" s="38">
        <v>-4459</v>
      </c>
      <c r="C30" s="38">
        <v>-12173</v>
      </c>
      <c r="D30" s="38">
        <v>0</v>
      </c>
      <c r="E30" s="38">
        <v>-180</v>
      </c>
      <c r="F30" s="38">
        <v>-1887</v>
      </c>
      <c r="G30" s="38">
        <v>0</v>
      </c>
      <c r="H30" s="38">
        <v>0</v>
      </c>
      <c r="I30" s="38">
        <v>0</v>
      </c>
      <c r="J30" s="38">
        <f>-500-2500-500-1000</f>
        <v>-4500</v>
      </c>
      <c r="K30" s="10">
        <v>-10000</v>
      </c>
      <c r="L30" s="10">
        <v>-14500</v>
      </c>
      <c r="M30" s="10">
        <v>-12500</v>
      </c>
      <c r="N30" s="10">
        <v>-14000</v>
      </c>
      <c r="O30" s="10">
        <v>-9500</v>
      </c>
      <c r="P30" s="10">
        <f>-19000-4000</f>
        <v>-23000</v>
      </c>
      <c r="Q30" s="10">
        <v>-19850</v>
      </c>
      <c r="R30" s="10">
        <v>-27630</v>
      </c>
      <c r="S30" s="9">
        <v>-36000</v>
      </c>
      <c r="T30" s="190">
        <v>-36000</v>
      </c>
    </row>
    <row r="31" spans="1:20" x14ac:dyDescent="0.3">
      <c r="A31" s="4" t="s">
        <v>32</v>
      </c>
      <c r="B31" s="38">
        <f>-2650-3100-1600</f>
        <v>-7350</v>
      </c>
      <c r="C31" s="38">
        <f>-250-2500-1842</f>
        <v>-4592</v>
      </c>
      <c r="D31" s="38">
        <f>-250-4500-1899</f>
        <v>-6649</v>
      </c>
      <c r="E31" s="38">
        <v>-6338</v>
      </c>
      <c r="F31" s="38">
        <v>-6643</v>
      </c>
      <c r="G31" s="38">
        <v>-3530</v>
      </c>
      <c r="H31" s="38">
        <v>-1024</v>
      </c>
      <c r="I31" s="38">
        <f>-774-250</f>
        <v>-1024</v>
      </c>
      <c r="J31" s="38">
        <f>-771-500</f>
        <v>-1271</v>
      </c>
      <c r="K31" s="10">
        <v>-3000</v>
      </c>
      <c r="L31" s="10">
        <v>-500</v>
      </c>
      <c r="M31" s="10">
        <v>-500</v>
      </c>
      <c r="N31" s="10">
        <v>-500</v>
      </c>
      <c r="O31" s="10">
        <v>-500</v>
      </c>
      <c r="P31" s="10">
        <v>-500</v>
      </c>
      <c r="Q31" s="10">
        <v>-500</v>
      </c>
      <c r="R31" s="10">
        <v>-500</v>
      </c>
      <c r="S31" s="9">
        <v>-500</v>
      </c>
      <c r="T31" s="190">
        <v>-500</v>
      </c>
    </row>
    <row r="32" spans="1:20" x14ac:dyDescent="0.3">
      <c r="A32" s="4" t="s">
        <v>491</v>
      </c>
      <c r="B32" s="38">
        <v>0</v>
      </c>
      <c r="C32" s="38">
        <f>-75994-6425</f>
        <v>-82419</v>
      </c>
      <c r="D32" s="38">
        <f>-29362-12800</f>
        <v>-42162</v>
      </c>
      <c r="E32" s="38">
        <v>0</v>
      </c>
      <c r="F32" s="38">
        <v>0</v>
      </c>
      <c r="G32" s="38">
        <v>-102305</v>
      </c>
      <c r="H32" s="38">
        <v>-94393</v>
      </c>
      <c r="I32" s="38">
        <f>-1824-(23*800)-34400-1130-45448</f>
        <v>-101202</v>
      </c>
      <c r="J32" s="38">
        <f>-268-800-800-800-800-800-800-800-800-800-800-800-800-800-800-800-800-800-264-800-800-28998-800-800-800-36777</f>
        <v>-83907</v>
      </c>
      <c r="K32" s="10">
        <v>-90569</v>
      </c>
      <c r="L32" s="10">
        <v>-87302</v>
      </c>
      <c r="M32" s="10">
        <v>-94382</v>
      </c>
      <c r="N32" s="10">
        <v>-111217</v>
      </c>
      <c r="O32" s="10">
        <v>-128246</v>
      </c>
      <c r="P32" s="10">
        <v>-166907</v>
      </c>
      <c r="Q32" s="10">
        <v>-161843</v>
      </c>
      <c r="R32" s="10">
        <v>-202575</v>
      </c>
      <c r="S32" s="9">
        <f>-256550</f>
        <v>-256550</v>
      </c>
      <c r="T32" s="190">
        <v>-200000</v>
      </c>
    </row>
    <row r="33" spans="1:20" x14ac:dyDescent="0.3">
      <c r="A33" s="4" t="s">
        <v>2830</v>
      </c>
      <c r="B33" s="38">
        <v>0</v>
      </c>
      <c r="C33" s="38">
        <f>-75994-6425</f>
        <v>-82419</v>
      </c>
      <c r="D33" s="38">
        <f>-29362-12800</f>
        <v>-42162</v>
      </c>
      <c r="E33" s="38">
        <v>0</v>
      </c>
      <c r="F33" s="38">
        <v>0</v>
      </c>
      <c r="G33" s="38">
        <v>-102305</v>
      </c>
      <c r="H33" s="38">
        <v>-94393</v>
      </c>
      <c r="I33" s="38">
        <f>-1824-(23*800)-34400-1130-45448</f>
        <v>-101202</v>
      </c>
      <c r="J33" s="38">
        <f>-268-800-800-800-800-800-800-800-800-800-800-800-800-800-800-800-800-800-264-800-800-28998-800-800-800-36777</f>
        <v>-83907</v>
      </c>
      <c r="K33" s="10">
        <v>-90569</v>
      </c>
      <c r="L33" s="10">
        <v>-87302</v>
      </c>
      <c r="M33" s="10">
        <v>-94382</v>
      </c>
      <c r="N33" s="10">
        <v>-111217</v>
      </c>
      <c r="O33" s="10">
        <v>0</v>
      </c>
      <c r="P33" s="10">
        <v>0</v>
      </c>
      <c r="Q33" s="10">
        <v>0</v>
      </c>
      <c r="R33" s="10">
        <v>0</v>
      </c>
      <c r="S33" s="9">
        <v>-114703</v>
      </c>
      <c r="T33" s="190">
        <v>-120000</v>
      </c>
    </row>
    <row r="34" spans="1:20" hidden="1" x14ac:dyDescent="0.3">
      <c r="A34" s="4" t="s">
        <v>33</v>
      </c>
      <c r="B34" s="38">
        <v>0</v>
      </c>
      <c r="C34" s="38">
        <v>0</v>
      </c>
      <c r="D34" s="38">
        <v>0</v>
      </c>
      <c r="E34" s="38">
        <v>-741</v>
      </c>
      <c r="F34" s="38">
        <v>-547</v>
      </c>
      <c r="G34" s="38">
        <v>-154</v>
      </c>
      <c r="H34" s="38">
        <v>-510</v>
      </c>
      <c r="I34" s="38">
        <v>0</v>
      </c>
      <c r="J34" s="38">
        <f>-160</f>
        <v>-160</v>
      </c>
      <c r="K34" s="10">
        <v>0</v>
      </c>
      <c r="L34" s="10">
        <v>0</v>
      </c>
      <c r="M34" s="10">
        <v>0</v>
      </c>
      <c r="N34" s="10">
        <v>0</v>
      </c>
      <c r="O34" s="10"/>
      <c r="P34" s="10"/>
      <c r="Q34" s="10"/>
      <c r="R34" s="10"/>
      <c r="S34" s="9"/>
      <c r="T34" s="190">
        <v>0</v>
      </c>
    </row>
    <row r="35" spans="1:20" x14ac:dyDescent="0.3">
      <c r="A35" s="4" t="s">
        <v>493</v>
      </c>
      <c r="B35" s="38">
        <f>-635-7900</f>
        <v>-8535</v>
      </c>
      <c r="C35" s="38">
        <f>-1500-935-3800-2859-81</f>
        <v>-9175</v>
      </c>
      <c r="D35" s="38">
        <f>-755-1100</f>
        <v>-1855</v>
      </c>
      <c r="E35" s="38">
        <f>-2424-5850</f>
        <v>-8274</v>
      </c>
      <c r="F35" s="38">
        <v>-4637.7700000000004</v>
      </c>
      <c r="G35" s="38">
        <f>-2261-14329</f>
        <v>-16590</v>
      </c>
      <c r="H35" s="38">
        <v>-8129</v>
      </c>
      <c r="I35" s="38">
        <f>-469-740+140+140-4815-234</f>
        <v>-5978</v>
      </c>
      <c r="J35" s="38">
        <f>140-1170-608-2080-341</f>
        <v>-4059</v>
      </c>
      <c r="K35" s="10">
        <v>-11110</v>
      </c>
      <c r="L35" s="10">
        <f>-1688+-1553</f>
        <v>-3241</v>
      </c>
      <c r="M35" s="10">
        <f>-6416-763</f>
        <v>-7179</v>
      </c>
      <c r="N35" s="10">
        <f>-2226-250-4352</f>
        <v>-6828</v>
      </c>
      <c r="O35" s="10">
        <f>-2835-250-1000</f>
        <v>-4085</v>
      </c>
      <c r="P35" s="10">
        <v>-5059</v>
      </c>
      <c r="Q35" s="10">
        <f>-750-1134-300-1094-78-365-350-711-1000-295-148</f>
        <v>-6225</v>
      </c>
      <c r="R35" s="244">
        <f>-750-65-1368-1000-308-1600-90-74-1368-187-130-75-500-800-100-132-500</f>
        <v>-9047</v>
      </c>
      <c r="S35" s="9">
        <f>-10496-445</f>
        <v>-10941</v>
      </c>
      <c r="T35" s="190">
        <v>-5000</v>
      </c>
    </row>
    <row r="36" spans="1:20" x14ac:dyDescent="0.3">
      <c r="A36" s="7" t="s">
        <v>2555</v>
      </c>
      <c r="B36" s="39">
        <f t="shared" ref="B36:S36" si="3">SUM(B19:B35)</f>
        <v>-218877</v>
      </c>
      <c r="C36" s="39">
        <f t="shared" si="3"/>
        <v>-341353</v>
      </c>
      <c r="D36" s="39">
        <f t="shared" si="3"/>
        <v>-230006</v>
      </c>
      <c r="E36" s="39">
        <f t="shared" si="3"/>
        <v>-247088.42</v>
      </c>
      <c r="F36" s="39">
        <f t="shared" si="3"/>
        <v>-325572.77</v>
      </c>
      <c r="G36" s="39">
        <f t="shared" si="3"/>
        <v>-559750</v>
      </c>
      <c r="H36" s="39">
        <f t="shared" si="3"/>
        <v>-561459</v>
      </c>
      <c r="I36" s="39">
        <f t="shared" si="3"/>
        <v>-719361</v>
      </c>
      <c r="J36" s="39">
        <f t="shared" si="3"/>
        <v>-668640</v>
      </c>
      <c r="K36" s="12">
        <f t="shared" si="3"/>
        <v>-825567</v>
      </c>
      <c r="L36" s="12">
        <f t="shared" si="3"/>
        <v>-681388</v>
      </c>
      <c r="M36" s="12">
        <f t="shared" si="3"/>
        <v>-732678</v>
      </c>
      <c r="N36" s="12">
        <f t="shared" si="3"/>
        <v>-656833</v>
      </c>
      <c r="O36" s="12">
        <f t="shared" ref="O36" si="4">SUM(O19:O35)</f>
        <v>-596955</v>
      </c>
      <c r="P36" s="12">
        <f t="shared" si="3"/>
        <v>-827607</v>
      </c>
      <c r="Q36" s="12">
        <f t="shared" ref="Q36:R36" si="5">SUM(Q19:Q35)</f>
        <v>-1006287</v>
      </c>
      <c r="R36" s="12">
        <f t="shared" si="5"/>
        <v>-910429</v>
      </c>
      <c r="S36" s="11">
        <f t="shared" si="3"/>
        <v>-1352537</v>
      </c>
      <c r="T36" s="191">
        <f>SUM(T19:T35)</f>
        <v>-1211500</v>
      </c>
    </row>
    <row r="37" spans="1:20" hidden="1" x14ac:dyDescent="0.3">
      <c r="A37" s="7"/>
      <c r="B37" s="41"/>
      <c r="C37" s="41"/>
      <c r="D37" s="41"/>
      <c r="E37" s="39"/>
      <c r="F37" s="39"/>
      <c r="G37" s="39"/>
      <c r="H37" s="39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113"/>
      <c r="T37" s="191"/>
    </row>
    <row r="38" spans="1:20" s="13" customFormat="1" ht="38.25" hidden="1" customHeight="1" x14ac:dyDescent="0.3">
      <c r="A38" s="7" t="s">
        <v>48</v>
      </c>
      <c r="B38" s="39">
        <f t="shared" ref="B38:S38" si="6">+B36+B16</f>
        <v>-24174</v>
      </c>
      <c r="C38" s="39">
        <f t="shared" si="6"/>
        <v>90222</v>
      </c>
      <c r="D38" s="39">
        <f t="shared" si="6"/>
        <v>52801</v>
      </c>
      <c r="E38" s="39">
        <f t="shared" si="6"/>
        <v>61890.859999999957</v>
      </c>
      <c r="F38" s="39">
        <f t="shared" si="6"/>
        <v>65140.510000000009</v>
      </c>
      <c r="G38" s="39">
        <f t="shared" si="6"/>
        <v>-186130</v>
      </c>
      <c r="H38" s="39">
        <f t="shared" si="6"/>
        <v>13716</v>
      </c>
      <c r="I38" s="12">
        <f t="shared" si="6"/>
        <v>8475</v>
      </c>
      <c r="J38" s="12">
        <f t="shared" si="6"/>
        <v>33650</v>
      </c>
      <c r="K38" s="12">
        <f t="shared" si="6"/>
        <v>-90243</v>
      </c>
      <c r="L38" s="12">
        <f t="shared" si="6"/>
        <v>-9760</v>
      </c>
      <c r="M38" s="12">
        <f t="shared" si="6"/>
        <v>-15024</v>
      </c>
      <c r="N38" s="12">
        <f t="shared" si="6"/>
        <v>106700</v>
      </c>
      <c r="O38" s="12">
        <f t="shared" si="6"/>
        <v>104927</v>
      </c>
      <c r="P38" s="12">
        <f t="shared" si="6"/>
        <v>4017</v>
      </c>
      <c r="Q38" s="12">
        <f t="shared" si="6"/>
        <v>-67622</v>
      </c>
      <c r="R38" s="12">
        <f t="shared" si="6"/>
        <v>2288</v>
      </c>
      <c r="S38" s="11">
        <f t="shared" si="6"/>
        <v>13992</v>
      </c>
      <c r="T38" s="191">
        <f>T16+T36</f>
        <v>10500</v>
      </c>
    </row>
    <row r="39" spans="1:20" s="13" customFormat="1" hidden="1" x14ac:dyDescent="0.3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1"/>
      <c r="T39" s="191"/>
    </row>
    <row r="40" spans="1:20" s="13" customFormat="1" hidden="1" x14ac:dyDescent="0.3">
      <c r="A40" s="7" t="s">
        <v>1530</v>
      </c>
      <c r="B40" s="39">
        <v>-10000</v>
      </c>
      <c r="C40" s="39">
        <v>-10000</v>
      </c>
      <c r="D40" s="39">
        <v>-10000</v>
      </c>
      <c r="E40" s="39">
        <v>-10000</v>
      </c>
      <c r="F40" s="39">
        <v>-10000</v>
      </c>
      <c r="G40" s="39">
        <v>-14449</v>
      </c>
      <c r="H40" s="39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1">
        <v>0</v>
      </c>
      <c r="T40" s="191">
        <v>0</v>
      </c>
    </row>
    <row r="41" spans="1:20" s="13" customFormat="1" ht="16.2" thickBot="1" x14ac:dyDescent="0.35">
      <c r="A41" s="7"/>
      <c r="B41" s="41"/>
      <c r="C41" s="41"/>
      <c r="D41" s="41"/>
      <c r="E41" s="39"/>
      <c r="F41" s="39"/>
      <c r="G41" s="39"/>
      <c r="H41" s="39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4"/>
      <c r="T41" s="210"/>
    </row>
    <row r="42" spans="1:20" s="13" customFormat="1" ht="16.2" thickBot="1" x14ac:dyDescent="0.35">
      <c r="A42" s="7" t="s">
        <v>2557</v>
      </c>
      <c r="B42" s="39">
        <f t="shared" ref="B42:S42" si="7">+B40+B38</f>
        <v>-34174</v>
      </c>
      <c r="C42" s="39">
        <f t="shared" si="7"/>
        <v>80222</v>
      </c>
      <c r="D42" s="39">
        <f t="shared" si="7"/>
        <v>42801</v>
      </c>
      <c r="E42" s="39">
        <f t="shared" si="7"/>
        <v>51890.859999999957</v>
      </c>
      <c r="F42" s="39">
        <f t="shared" si="7"/>
        <v>55140.510000000009</v>
      </c>
      <c r="G42" s="39">
        <f t="shared" si="7"/>
        <v>-200579</v>
      </c>
      <c r="H42" s="39">
        <f t="shared" si="7"/>
        <v>13716</v>
      </c>
      <c r="I42" s="12">
        <f t="shared" si="7"/>
        <v>8475</v>
      </c>
      <c r="J42" s="12">
        <f>+J40+J38</f>
        <v>33650</v>
      </c>
      <c r="K42" s="12">
        <f t="shared" si="7"/>
        <v>-90243</v>
      </c>
      <c r="L42" s="12">
        <f t="shared" si="7"/>
        <v>-9760</v>
      </c>
      <c r="M42" s="12">
        <f t="shared" si="7"/>
        <v>-15024</v>
      </c>
      <c r="N42" s="12">
        <f t="shared" si="7"/>
        <v>106700</v>
      </c>
      <c r="O42" s="12">
        <f t="shared" si="7"/>
        <v>104927</v>
      </c>
      <c r="P42" s="12">
        <f t="shared" si="7"/>
        <v>4017</v>
      </c>
      <c r="Q42" s="12">
        <f t="shared" si="7"/>
        <v>-67622</v>
      </c>
      <c r="R42" s="12">
        <f t="shared" si="7"/>
        <v>2288</v>
      </c>
      <c r="S42" s="154">
        <f t="shared" si="7"/>
        <v>13992</v>
      </c>
      <c r="T42" s="192">
        <f>+T40+T38</f>
        <v>10500</v>
      </c>
    </row>
    <row r="43" spans="1:20" s="13" customFormat="1" x14ac:dyDescent="0.3">
      <c r="A43" s="4"/>
      <c r="B43" s="4"/>
      <c r="C43" s="4"/>
      <c r="D43" s="4"/>
      <c r="E43" s="4"/>
      <c r="F43" s="4"/>
      <c r="G43" s="4"/>
      <c r="H43" s="4"/>
      <c r="T43" s="58"/>
    </row>
    <row r="44" spans="1:20" s="13" customFormat="1" x14ac:dyDescent="0.3">
      <c r="A44" s="4"/>
      <c r="B44" s="4"/>
      <c r="C44" s="4"/>
      <c r="D44" s="4"/>
      <c r="E44" s="4"/>
      <c r="F44" s="4"/>
      <c r="G44" s="4"/>
      <c r="H44" s="4"/>
      <c r="Q44" s="281"/>
      <c r="R44" s="281"/>
      <c r="S44" s="1"/>
      <c r="T44" s="1"/>
    </row>
    <row r="45" spans="1:20" x14ac:dyDescent="0.3">
      <c r="O45" s="13"/>
      <c r="Q45" s="281"/>
      <c r="R45" s="281"/>
    </row>
    <row r="46" spans="1:20" x14ac:dyDescent="0.3">
      <c r="Q46" s="281"/>
      <c r="R46" s="281"/>
    </row>
    <row r="47" spans="1:20" x14ac:dyDescent="0.3">
      <c r="Q47" s="281"/>
      <c r="R47" s="281"/>
    </row>
    <row r="48" spans="1:20" x14ac:dyDescent="0.3">
      <c r="Q48" s="283"/>
      <c r="R48" s="283"/>
    </row>
    <row r="49" spans="16:20" x14ac:dyDescent="0.3">
      <c r="Q49" s="285"/>
      <c r="R49" s="285"/>
      <c r="T49" s="4"/>
    </row>
    <row r="50" spans="16:20" s="4" customFormat="1" x14ac:dyDescent="0.3">
      <c r="P50" s="1"/>
      <c r="S50" s="1"/>
    </row>
    <row r="51" spans="16:20" s="4" customFormat="1" x14ac:dyDescent="0.3">
      <c r="S51" s="1"/>
    </row>
    <row r="52" spans="16:20" s="4" customFormat="1" x14ac:dyDescent="0.3">
      <c r="S52" s="1"/>
    </row>
    <row r="53" spans="16:20" s="4" customFormat="1" x14ac:dyDescent="0.3">
      <c r="Q53" s="1"/>
      <c r="R53" s="1"/>
      <c r="S53" s="1"/>
      <c r="T53" s="1"/>
    </row>
  </sheetData>
  <mergeCells count="2">
    <mergeCell ref="K1:M1"/>
    <mergeCell ref="O1:P1"/>
  </mergeCells>
  <pageMargins left="0.7" right="0.7" top="0.75" bottom="0.75" header="0.3" footer="0.3"/>
  <pageSetup paperSize="9" scale="58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66FFE-9B76-47FE-8591-656CE242BBA2}">
  <sheetPr>
    <tabColor theme="5" tint="-0.249977111117893"/>
    <pageSetUpPr fitToPage="1"/>
  </sheetPr>
  <dimension ref="A1:V52"/>
  <sheetViews>
    <sheetView zoomScale="110" zoomScaleNormal="110" workbookViewId="0">
      <pane xSplit="1" ySplit="3" topLeftCell="M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2" width="16.44140625" style="1" customWidth="1"/>
    <col min="13" max="13" width="18" style="1" customWidth="1"/>
    <col min="14" max="17" width="16.44140625" style="1" customWidth="1"/>
    <col min="18" max="19" width="18.5546875" style="1" customWidth="1"/>
    <col min="20" max="20" width="27" style="196" customWidth="1"/>
    <col min="21" max="21" width="12" style="155" customWidth="1"/>
    <col min="22" max="16384" width="9.109375" style="1"/>
  </cols>
  <sheetData>
    <row r="1" spans="1:21" ht="31.8" thickBot="1" x14ac:dyDescent="0.65">
      <c r="A1" s="211" t="s">
        <v>486</v>
      </c>
      <c r="C1" s="224"/>
      <c r="D1" s="224"/>
      <c r="I1" s="4"/>
      <c r="J1" s="4"/>
      <c r="K1" s="294" t="s">
        <v>487</v>
      </c>
      <c r="L1" s="294"/>
      <c r="M1" s="294"/>
    </row>
    <row r="2" spans="1:21" ht="16.2" thickBot="1" x14ac:dyDescent="0.35"/>
    <row r="3" spans="1:21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227">
        <v>2023</v>
      </c>
      <c r="R3" s="253" t="s">
        <v>809</v>
      </c>
      <c r="S3" s="240" t="s">
        <v>2638</v>
      </c>
      <c r="T3" s="156"/>
      <c r="U3" s="156"/>
    </row>
    <row r="4" spans="1:21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110">
        <v>45181</v>
      </c>
      <c r="R4" s="110">
        <v>45291</v>
      </c>
      <c r="S4" s="209"/>
      <c r="T4" s="156"/>
      <c r="U4" s="156"/>
    </row>
    <row r="5" spans="1:21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37"/>
      <c r="R5" s="111"/>
      <c r="S5" s="8"/>
      <c r="T5" s="155"/>
    </row>
    <row r="6" spans="1:21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10">
        <v>225734</v>
      </c>
      <c r="Q6" s="9">
        <v>111124</v>
      </c>
      <c r="R6" s="249">
        <v>230000</v>
      </c>
      <c r="S6" s="190">
        <v>220000</v>
      </c>
      <c r="T6" s="217" t="s">
        <v>2605</v>
      </c>
    </row>
    <row r="7" spans="1:21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10">
        <v>187000</v>
      </c>
      <c r="Q7" s="9">
        <v>181250</v>
      </c>
      <c r="R7" s="249">
        <v>185000</v>
      </c>
      <c r="S7" s="190">
        <v>185000</v>
      </c>
      <c r="T7" s="258" t="s">
        <v>2655</v>
      </c>
    </row>
    <row r="8" spans="1:21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10">
        <v>83434</v>
      </c>
      <c r="Q8" s="9">
        <v>134480</v>
      </c>
      <c r="R8" s="249">
        <v>175000</v>
      </c>
      <c r="S8" s="190">
        <v>85000</v>
      </c>
      <c r="T8" s="236"/>
    </row>
    <row r="9" spans="1:21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10">
        <v>33422</v>
      </c>
      <c r="Q9" s="9">
        <v>14330</v>
      </c>
      <c r="R9" s="249">
        <v>15000</v>
      </c>
      <c r="S9" s="190">
        <v>30000</v>
      </c>
      <c r="T9" s="236" t="s">
        <v>2653</v>
      </c>
    </row>
    <row r="10" spans="1:21" ht="57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10">
        <v>109900</v>
      </c>
      <c r="Q10" s="9">
        <v>53000</v>
      </c>
      <c r="R10" s="249">
        <v>130000</v>
      </c>
      <c r="S10" s="190">
        <v>80000</v>
      </c>
      <c r="T10" s="217" t="s">
        <v>2665</v>
      </c>
    </row>
    <row r="11" spans="1:21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10">
        <v>145695</v>
      </c>
      <c r="Q11" s="9">
        <v>162700</v>
      </c>
      <c r="R11" s="249">
        <v>162700</v>
      </c>
      <c r="S11" s="190">
        <v>150000</v>
      </c>
      <c r="T11" s="155"/>
    </row>
    <row r="12" spans="1:21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10"/>
      <c r="Q12" s="9"/>
      <c r="R12" s="249">
        <v>0</v>
      </c>
      <c r="S12" s="190">
        <v>0</v>
      </c>
      <c r="T12" s="155"/>
    </row>
    <row r="13" spans="1:21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10"/>
      <c r="Q13" s="9"/>
      <c r="R13" s="249">
        <v>0</v>
      </c>
      <c r="S13" s="190">
        <v>0</v>
      </c>
      <c r="T13" s="155"/>
    </row>
    <row r="14" spans="1:21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10">
        <v>46439</v>
      </c>
      <c r="Q14" s="9">
        <v>-6472</v>
      </c>
      <c r="R14" s="249">
        <v>30000</v>
      </c>
      <c r="S14" s="190">
        <v>50000</v>
      </c>
      <c r="T14" s="236" t="s">
        <v>2668</v>
      </c>
    </row>
    <row r="15" spans="1:21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 t="shared" ref="L15:S15" si="2">SUM(L6:L14)</f>
        <v>602111</v>
      </c>
      <c r="M15" s="12">
        <f t="shared" si="2"/>
        <v>627974</v>
      </c>
      <c r="N15" s="12">
        <f t="shared" si="2"/>
        <v>667900</v>
      </c>
      <c r="O15" s="12">
        <f t="shared" si="2"/>
        <v>701882</v>
      </c>
      <c r="P15" s="12">
        <f t="shared" si="2"/>
        <v>831624</v>
      </c>
      <c r="Q15" s="11">
        <f t="shared" si="2"/>
        <v>650412</v>
      </c>
      <c r="R15" s="250">
        <f t="shared" si="2"/>
        <v>927700</v>
      </c>
      <c r="S15" s="191">
        <f t="shared" si="2"/>
        <v>800000</v>
      </c>
      <c r="T15" s="155"/>
    </row>
    <row r="16" spans="1:21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Q16" s="111"/>
      <c r="R16" s="249"/>
      <c r="S16" s="190"/>
      <c r="T16" s="155"/>
    </row>
    <row r="17" spans="1:22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Q17" s="112"/>
      <c r="R17" s="249"/>
      <c r="S17" s="190"/>
      <c r="T17" s="159"/>
      <c r="U17" s="159"/>
    </row>
    <row r="18" spans="1:22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10">
        <v>-181432</v>
      </c>
      <c r="Q18" s="9">
        <v>-210654</v>
      </c>
      <c r="R18" s="249">
        <v>-220000</v>
      </c>
      <c r="S18" s="190">
        <v>-180000</v>
      </c>
      <c r="T18" s="157" t="s">
        <v>2572</v>
      </c>
      <c r="U18" s="197"/>
    </row>
    <row r="19" spans="1:22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10">
        <v>-133504</v>
      </c>
      <c r="Q19" s="9">
        <v>-92800</v>
      </c>
      <c r="R19" s="249">
        <v>-135000</v>
      </c>
      <c r="S19" s="190">
        <v>-130000</v>
      </c>
      <c r="T19" s="157"/>
      <c r="U19" s="197"/>
      <c r="V19" s="55"/>
    </row>
    <row r="20" spans="1:22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10">
        <v>-519</v>
      </c>
      <c r="Q20" s="9">
        <v>-6358</v>
      </c>
      <c r="R20" s="249">
        <v>-55000</v>
      </c>
      <c r="S20" s="190">
        <v>-8000</v>
      </c>
      <c r="T20" s="157" t="s">
        <v>2664</v>
      </c>
      <c r="U20" s="197"/>
    </row>
    <row r="21" spans="1:22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10">
        <v>-29952</v>
      </c>
      <c r="Q21" s="9">
        <v>-41758</v>
      </c>
      <c r="R21" s="249">
        <v>-45000</v>
      </c>
      <c r="S21" s="190">
        <v>-30000</v>
      </c>
      <c r="T21" s="157" t="s">
        <v>2529</v>
      </c>
      <c r="U21" s="197"/>
    </row>
    <row r="22" spans="1:22" ht="33.6" customHeight="1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10">
        <v>-92029</v>
      </c>
      <c r="Q22" s="9">
        <v>-83826</v>
      </c>
      <c r="R22" s="249">
        <v>-100000</v>
      </c>
      <c r="S22" s="190">
        <v>-90000</v>
      </c>
      <c r="T22" s="217" t="s">
        <v>2666</v>
      </c>
      <c r="U22" s="197"/>
    </row>
    <row r="23" spans="1:22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10">
        <v>-79144</v>
      </c>
      <c r="Q23" s="9">
        <v>-79835</v>
      </c>
      <c r="R23" s="249">
        <v>-100000</v>
      </c>
      <c r="S23" s="190">
        <v>-80000</v>
      </c>
      <c r="T23" s="157" t="s">
        <v>2572</v>
      </c>
      <c r="U23" s="197"/>
    </row>
    <row r="24" spans="1:22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10">
        <v>-1231</v>
      </c>
      <c r="Q24" s="9">
        <v>-2700</v>
      </c>
      <c r="R24" s="249">
        <v>-5000</v>
      </c>
      <c r="S24" s="190">
        <v>-5000</v>
      </c>
      <c r="T24" s="155"/>
      <c r="U24" s="197"/>
    </row>
    <row r="25" spans="1:22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10">
        <v>-22800</v>
      </c>
      <c r="Q25" s="9">
        <v>-30650</v>
      </c>
      <c r="R25" s="249">
        <v>-35000</v>
      </c>
      <c r="S25" s="190">
        <v>-25000</v>
      </c>
      <c r="T25" s="157" t="s">
        <v>2610</v>
      </c>
      <c r="U25" s="197"/>
    </row>
    <row r="26" spans="1:22" ht="24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10">
        <v>-30440</v>
      </c>
      <c r="Q26" s="9">
        <v>-30700</v>
      </c>
      <c r="R26" s="249">
        <v>-35000</v>
      </c>
      <c r="S26" s="190">
        <v>-35000</v>
      </c>
      <c r="T26" s="157" t="s">
        <v>2611</v>
      </c>
      <c r="U26" s="197"/>
    </row>
    <row r="27" spans="1:22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10">
        <v>-5340</v>
      </c>
      <c r="Q27" s="9">
        <v>-2000</v>
      </c>
      <c r="R27" s="249">
        <v>-7500</v>
      </c>
      <c r="S27" s="190">
        <v>-10000</v>
      </c>
      <c r="T27" s="157"/>
      <c r="U27" s="197"/>
    </row>
    <row r="28" spans="1:22" ht="34.799999999999997" customHeight="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10">
        <f>-55750</f>
        <v>-55750</v>
      </c>
      <c r="Q28" s="9">
        <v>-65500</v>
      </c>
      <c r="R28" s="249">
        <v>-75000</v>
      </c>
      <c r="S28" s="190">
        <v>-75000</v>
      </c>
      <c r="T28" s="217" t="s">
        <v>2663</v>
      </c>
      <c r="U28" s="197"/>
    </row>
    <row r="29" spans="1:22" ht="27" customHeight="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10">
        <f>-19000-4000</f>
        <v>-23000</v>
      </c>
      <c r="Q29" s="9">
        <v>-15000</v>
      </c>
      <c r="R29" s="249">
        <v>-20000</v>
      </c>
      <c r="S29" s="190">
        <v>-20000</v>
      </c>
      <c r="T29" s="217" t="s">
        <v>2661</v>
      </c>
    </row>
    <row r="30" spans="1:22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10">
        <v>-500</v>
      </c>
      <c r="Q30" s="9">
        <v>-500</v>
      </c>
      <c r="R30" s="249">
        <v>-500</v>
      </c>
      <c r="S30" s="190">
        <v>-500</v>
      </c>
      <c r="T30" s="157"/>
    </row>
    <row r="31" spans="1:22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10">
        <v>-166907</v>
      </c>
      <c r="Q31" s="9">
        <v>-32178</v>
      </c>
      <c r="R31" s="249">
        <v>-160000</v>
      </c>
      <c r="S31" s="190">
        <v>-170000</v>
      </c>
      <c r="T31" s="157" t="s">
        <v>2662</v>
      </c>
      <c r="U31" s="197"/>
    </row>
    <row r="32" spans="1:22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10"/>
      <c r="Q32" s="9"/>
      <c r="R32" s="249">
        <v>0</v>
      </c>
      <c r="S32" s="190">
        <v>0</v>
      </c>
      <c r="T32" s="155"/>
      <c r="U32" s="197"/>
    </row>
    <row r="33" spans="1:22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10">
        <v>-5059</v>
      </c>
      <c r="Q33" s="9">
        <f>-750-1134-300-1094-78-365-350-711</f>
        <v>-4782</v>
      </c>
      <c r="R33" s="249">
        <v>-5000</v>
      </c>
      <c r="S33" s="190">
        <v>-5000</v>
      </c>
      <c r="T33" s="157" t="s">
        <v>2615</v>
      </c>
      <c r="U33" s="197"/>
    </row>
    <row r="34" spans="1:22" x14ac:dyDescent="0.3">
      <c r="A34" s="7" t="s">
        <v>2555</v>
      </c>
      <c r="B34" s="39">
        <f t="shared" ref="B34:Q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2">
        <f t="shared" si="3"/>
        <v>-827607</v>
      </c>
      <c r="Q34" s="11">
        <f t="shared" si="3"/>
        <v>-699241</v>
      </c>
      <c r="R34" s="250">
        <f>SUM(R18:R33)</f>
        <v>-998000</v>
      </c>
      <c r="S34" s="191">
        <f>SUM(S18:S33)</f>
        <v>-863500</v>
      </c>
      <c r="T34" s="205"/>
      <c r="U34" s="206"/>
    </row>
    <row r="35" spans="1:22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46"/>
      <c r="Q35" s="113"/>
      <c r="R35" s="250"/>
      <c r="S35" s="191"/>
      <c r="T35" s="158"/>
      <c r="U35" s="207"/>
    </row>
    <row r="36" spans="1:22" s="13" customFormat="1" ht="38.25" hidden="1" customHeight="1" x14ac:dyDescent="0.3">
      <c r="A36" s="7" t="s">
        <v>48</v>
      </c>
      <c r="B36" s="39">
        <f t="shared" ref="B36:Q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12">
        <f t="shared" si="5"/>
        <v>10177</v>
      </c>
      <c r="J36" s="12">
        <f t="shared" si="5"/>
        <v>36557</v>
      </c>
      <c r="K36" s="12">
        <f t="shared" si="5"/>
        <v>-84874</v>
      </c>
      <c r="L36" s="12">
        <f t="shared" si="5"/>
        <v>8025</v>
      </c>
      <c r="M36" s="12">
        <f t="shared" si="5"/>
        <v>-10322</v>
      </c>
      <c r="N36" s="12">
        <f t="shared" si="5"/>
        <v>122284</v>
      </c>
      <c r="O36" s="12">
        <f t="shared" si="5"/>
        <v>104927</v>
      </c>
      <c r="P36" s="12">
        <f t="shared" si="5"/>
        <v>4017</v>
      </c>
      <c r="Q36" s="11">
        <f t="shared" si="5"/>
        <v>-48829</v>
      </c>
      <c r="R36" s="250">
        <f>R15+R34</f>
        <v>-70300</v>
      </c>
      <c r="S36" s="191">
        <f>S15+S34</f>
        <v>-63500</v>
      </c>
      <c r="T36" s="158"/>
      <c r="U36" s="207"/>
    </row>
    <row r="37" spans="1:22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2"/>
      <c r="Q37" s="11"/>
      <c r="R37" s="250"/>
      <c r="S37" s="191"/>
      <c r="T37" s="158"/>
      <c r="U37" s="207"/>
    </row>
    <row r="38" spans="1:22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1">
        <v>0</v>
      </c>
      <c r="R38" s="250">
        <v>0</v>
      </c>
      <c r="S38" s="191">
        <v>0</v>
      </c>
      <c r="T38" s="155"/>
      <c r="U38" s="206"/>
    </row>
    <row r="39" spans="1:22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4"/>
      <c r="R39" s="251"/>
      <c r="S39" s="210"/>
      <c r="T39" s="205"/>
      <c r="U39" s="206"/>
    </row>
    <row r="40" spans="1:22" s="13" customFormat="1" ht="16.2" thickBot="1" x14ac:dyDescent="0.35">
      <c r="A40" s="7" t="s">
        <v>2557</v>
      </c>
      <c r="B40" s="39">
        <f t="shared" ref="B40:R40" si="6">+B38+B36</f>
        <v>-34674</v>
      </c>
      <c r="C40" s="39">
        <f t="shared" si="6"/>
        <v>76791</v>
      </c>
      <c r="D40" s="39">
        <f t="shared" si="6"/>
        <v>22713</v>
      </c>
      <c r="E40" s="39">
        <f t="shared" si="6"/>
        <v>-15009.140000000043</v>
      </c>
      <c r="F40" s="39">
        <f t="shared" si="6"/>
        <v>-35959.489999999991</v>
      </c>
      <c r="G40" s="39">
        <f t="shared" si="6"/>
        <v>-181974</v>
      </c>
      <c r="H40" s="39">
        <f t="shared" si="6"/>
        <v>13685</v>
      </c>
      <c r="I40" s="12">
        <f t="shared" si="6"/>
        <v>10177</v>
      </c>
      <c r="J40" s="12">
        <f>+J38+J36</f>
        <v>36557</v>
      </c>
      <c r="K40" s="12">
        <f t="shared" si="6"/>
        <v>-84874</v>
      </c>
      <c r="L40" s="12">
        <f t="shared" si="6"/>
        <v>8025</v>
      </c>
      <c r="M40" s="12">
        <f t="shared" si="6"/>
        <v>-10322</v>
      </c>
      <c r="N40" s="12">
        <f t="shared" si="6"/>
        <v>122284</v>
      </c>
      <c r="O40" s="12">
        <f t="shared" si="6"/>
        <v>104927</v>
      </c>
      <c r="P40" s="12">
        <f t="shared" si="6"/>
        <v>4017</v>
      </c>
      <c r="Q40" s="154">
        <f t="shared" si="6"/>
        <v>-48829</v>
      </c>
      <c r="R40" s="252">
        <f t="shared" si="6"/>
        <v>-70300</v>
      </c>
      <c r="S40" s="192">
        <f>+S38+S36</f>
        <v>-63500</v>
      </c>
      <c r="T40" s="155"/>
      <c r="U40" s="208"/>
    </row>
    <row r="41" spans="1:22" s="13" customFormat="1" x14ac:dyDescent="0.3">
      <c r="A41" s="4"/>
      <c r="B41" s="4"/>
      <c r="C41" s="4"/>
      <c r="D41" s="4"/>
      <c r="E41" s="4"/>
      <c r="F41" s="4"/>
      <c r="G41" s="4"/>
      <c r="H41" s="4"/>
      <c r="R41" s="58"/>
      <c r="S41" s="58"/>
      <c r="T41" s="196"/>
      <c r="U41" s="155"/>
    </row>
    <row r="42" spans="1:22" x14ac:dyDescent="0.3">
      <c r="O42" s="13" t="s">
        <v>2667</v>
      </c>
      <c r="P42" s="1" t="s">
        <v>2656</v>
      </c>
      <c r="Q42" s="99">
        <v>68000</v>
      </c>
      <c r="R42" s="55" t="s">
        <v>2660</v>
      </c>
      <c r="T42" s="155"/>
    </row>
    <row r="43" spans="1:22" x14ac:dyDescent="0.3">
      <c r="P43" s="1" t="s">
        <v>2657</v>
      </c>
      <c r="Q43" s="99">
        <v>-130000</v>
      </c>
      <c r="R43" s="99" t="s">
        <v>2659</v>
      </c>
    </row>
    <row r="44" spans="1:22" x14ac:dyDescent="0.3">
      <c r="P44" s="1" t="s">
        <v>508</v>
      </c>
      <c r="Q44" s="99">
        <v>-50000</v>
      </c>
      <c r="R44" s="222" t="s">
        <v>2658</v>
      </c>
    </row>
    <row r="45" spans="1:22" x14ac:dyDescent="0.3">
      <c r="P45" s="1" t="s">
        <v>2669</v>
      </c>
      <c r="Q45" s="99">
        <v>-20820</v>
      </c>
      <c r="R45" s="207"/>
    </row>
    <row r="46" spans="1:22" x14ac:dyDescent="0.3">
      <c r="P46" s="1" t="s">
        <v>2670</v>
      </c>
      <c r="Q46" s="99">
        <v>82662</v>
      </c>
      <c r="R46" s="222" t="s">
        <v>2671</v>
      </c>
    </row>
    <row r="47" spans="1:22" s="4" customFormat="1" x14ac:dyDescent="0.3">
      <c r="P47" s="1" t="s">
        <v>2670</v>
      </c>
      <c r="Q47" s="269" t="s">
        <v>2673</v>
      </c>
      <c r="R47" s="222" t="s">
        <v>2672</v>
      </c>
      <c r="T47" s="196"/>
      <c r="U47" s="155"/>
      <c r="V47" s="1"/>
    </row>
    <row r="48" spans="1:22" s="4" customFormat="1" x14ac:dyDescent="0.3">
      <c r="R48" s="99"/>
      <c r="T48" s="196"/>
      <c r="U48" s="155"/>
      <c r="V48" s="1"/>
    </row>
    <row r="49" spans="18:22" s="4" customFormat="1" x14ac:dyDescent="0.3">
      <c r="R49" s="99"/>
      <c r="T49" s="196"/>
      <c r="U49" s="155"/>
      <c r="V49" s="1"/>
    </row>
    <row r="50" spans="18:22" s="4" customFormat="1" x14ac:dyDescent="0.3">
      <c r="R50" s="99"/>
      <c r="T50" s="196"/>
      <c r="U50" s="155"/>
      <c r="V50" s="1"/>
    </row>
    <row r="51" spans="18:22" x14ac:dyDescent="0.3">
      <c r="R51" s="99"/>
    </row>
    <row r="52" spans="18:22" x14ac:dyDescent="0.3">
      <c r="R52" s="223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7C389-88AC-471E-BFEA-1BE364A6B2AA}">
  <sheetPr>
    <tabColor theme="5" tint="-0.249977111117893"/>
    <pageSetUpPr fitToPage="1"/>
  </sheetPr>
  <dimension ref="A1:V52"/>
  <sheetViews>
    <sheetView zoomScale="110" zoomScaleNormal="110" workbookViewId="0">
      <pane xSplit="1" ySplit="3" topLeftCell="M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2" width="16.44140625" style="1" customWidth="1"/>
    <col min="13" max="13" width="18" style="1" customWidth="1"/>
    <col min="14" max="17" width="16.44140625" style="1" customWidth="1"/>
    <col min="18" max="19" width="18.5546875" style="1" customWidth="1"/>
    <col min="20" max="20" width="27" style="196" customWidth="1"/>
    <col min="21" max="21" width="12" style="155" customWidth="1"/>
    <col min="22" max="16384" width="9.109375" style="1"/>
  </cols>
  <sheetData>
    <row r="1" spans="1:21" ht="31.8" thickBot="1" x14ac:dyDescent="0.65">
      <c r="A1" s="211" t="s">
        <v>486</v>
      </c>
      <c r="C1" s="224"/>
      <c r="D1" s="224"/>
      <c r="I1" s="4"/>
      <c r="J1" s="4"/>
      <c r="K1" s="294" t="s">
        <v>487</v>
      </c>
      <c r="L1" s="294"/>
      <c r="M1" s="294"/>
    </row>
    <row r="2" spans="1:21" ht="16.2" thickBot="1" x14ac:dyDescent="0.35"/>
    <row r="3" spans="1:21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227">
        <v>2023</v>
      </c>
      <c r="R3" s="253" t="s">
        <v>809</v>
      </c>
      <c r="S3" s="240" t="s">
        <v>2638</v>
      </c>
      <c r="T3" s="156"/>
      <c r="U3" s="156"/>
    </row>
    <row r="4" spans="1:21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110">
        <v>45150</v>
      </c>
      <c r="R4" s="110">
        <v>45291</v>
      </c>
      <c r="S4" s="209"/>
      <c r="T4" s="156"/>
      <c r="U4" s="156"/>
    </row>
    <row r="5" spans="1:21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37"/>
      <c r="R5" s="111"/>
      <c r="S5" s="8"/>
      <c r="T5" s="155"/>
    </row>
    <row r="6" spans="1:21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10">
        <v>225734</v>
      </c>
      <c r="Q6" s="9">
        <v>111124</v>
      </c>
      <c r="R6" s="249">
        <v>220000</v>
      </c>
      <c r="S6" s="190">
        <v>220000</v>
      </c>
      <c r="T6" s="217" t="s">
        <v>2605</v>
      </c>
    </row>
    <row r="7" spans="1:21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10">
        <v>187000</v>
      </c>
      <c r="Q7" s="9">
        <v>180150</v>
      </c>
      <c r="R7" s="249">
        <v>185000</v>
      </c>
      <c r="S7" s="190">
        <v>185000</v>
      </c>
      <c r="T7" s="258" t="s">
        <v>2655</v>
      </c>
    </row>
    <row r="8" spans="1:21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10">
        <v>83434</v>
      </c>
      <c r="Q8" s="9">
        <v>107695</v>
      </c>
      <c r="R8" s="249">
        <v>140000</v>
      </c>
      <c r="S8" s="190">
        <v>85000</v>
      </c>
      <c r="T8" s="236"/>
    </row>
    <row r="9" spans="1:21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10">
        <v>33422</v>
      </c>
      <c r="Q9" s="9">
        <v>14330</v>
      </c>
      <c r="R9" s="249">
        <v>15000</v>
      </c>
      <c r="S9" s="190">
        <v>30000</v>
      </c>
      <c r="T9" s="236" t="s">
        <v>2653</v>
      </c>
    </row>
    <row r="10" spans="1:21" ht="57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10">
        <v>109900</v>
      </c>
      <c r="Q10" s="9">
        <v>53000</v>
      </c>
      <c r="R10" s="249">
        <v>130000</v>
      </c>
      <c r="S10" s="190">
        <v>80000</v>
      </c>
      <c r="T10" s="217" t="s">
        <v>2665</v>
      </c>
    </row>
    <row r="11" spans="1:21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10">
        <v>145695</v>
      </c>
      <c r="Q11" s="9">
        <v>162700</v>
      </c>
      <c r="R11" s="249">
        <v>162700</v>
      </c>
      <c r="S11" s="190">
        <v>150000</v>
      </c>
      <c r="T11" s="155"/>
    </row>
    <row r="12" spans="1:21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10"/>
      <c r="Q12" s="9"/>
      <c r="R12" s="249">
        <v>0</v>
      </c>
      <c r="S12" s="190">
        <v>0</v>
      </c>
      <c r="T12" s="155"/>
    </row>
    <row r="13" spans="1:21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10"/>
      <c r="Q13" s="9"/>
      <c r="R13" s="249">
        <v>0</v>
      </c>
      <c r="S13" s="190">
        <v>0</v>
      </c>
      <c r="T13" s="155"/>
    </row>
    <row r="14" spans="1:21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10">
        <v>46439</v>
      </c>
      <c r="Q14" s="9">
        <v>-6472</v>
      </c>
      <c r="R14" s="249">
        <v>30000</v>
      </c>
      <c r="S14" s="190">
        <v>50000</v>
      </c>
      <c r="T14" s="236" t="s">
        <v>2668</v>
      </c>
    </row>
    <row r="15" spans="1:21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 t="shared" ref="L15:S15" si="2">SUM(L6:L14)</f>
        <v>602111</v>
      </c>
      <c r="M15" s="12">
        <f t="shared" si="2"/>
        <v>627974</v>
      </c>
      <c r="N15" s="12">
        <f t="shared" si="2"/>
        <v>667900</v>
      </c>
      <c r="O15" s="12">
        <f t="shared" si="2"/>
        <v>701882</v>
      </c>
      <c r="P15" s="12">
        <f t="shared" si="2"/>
        <v>831624</v>
      </c>
      <c r="Q15" s="11">
        <f t="shared" si="2"/>
        <v>622527</v>
      </c>
      <c r="R15" s="250">
        <f t="shared" si="2"/>
        <v>882700</v>
      </c>
      <c r="S15" s="191">
        <f t="shared" si="2"/>
        <v>800000</v>
      </c>
      <c r="T15" s="155"/>
    </row>
    <row r="16" spans="1:21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Q16" s="111"/>
      <c r="R16" s="249"/>
      <c r="S16" s="190"/>
      <c r="T16" s="155"/>
    </row>
    <row r="17" spans="1:22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Q17" s="112"/>
      <c r="R17" s="249"/>
      <c r="S17" s="190"/>
      <c r="T17" s="159"/>
      <c r="U17" s="159"/>
    </row>
    <row r="18" spans="1:22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10">
        <v>-181432</v>
      </c>
      <c r="Q18" s="9">
        <v>-207090</v>
      </c>
      <c r="R18" s="249">
        <v>-220000</v>
      </c>
      <c r="S18" s="190">
        <v>-180000</v>
      </c>
      <c r="T18" s="157" t="s">
        <v>2572</v>
      </c>
      <c r="U18" s="197"/>
    </row>
    <row r="19" spans="1:22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10">
        <v>-133504</v>
      </c>
      <c r="Q19" s="9">
        <v>-92800</v>
      </c>
      <c r="R19" s="249">
        <v>-135000</v>
      </c>
      <c r="S19" s="190">
        <v>-130000</v>
      </c>
      <c r="T19" s="157"/>
      <c r="U19" s="197"/>
      <c r="V19" s="55"/>
    </row>
    <row r="20" spans="1:22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10">
        <v>-519</v>
      </c>
      <c r="Q20" s="9">
        <v>-6358</v>
      </c>
      <c r="R20" s="249">
        <v>-45000</v>
      </c>
      <c r="S20" s="190">
        <v>-8000</v>
      </c>
      <c r="T20" s="157" t="s">
        <v>2664</v>
      </c>
      <c r="U20" s="197"/>
    </row>
    <row r="21" spans="1:22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10">
        <v>-29952</v>
      </c>
      <c r="Q21" s="9">
        <v>-40758</v>
      </c>
      <c r="R21" s="249">
        <v>-45000</v>
      </c>
      <c r="S21" s="190">
        <v>-30000</v>
      </c>
      <c r="T21" s="157" t="s">
        <v>2529</v>
      </c>
      <c r="U21" s="197"/>
    </row>
    <row r="22" spans="1:22" ht="33.6" customHeight="1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10">
        <v>-92029</v>
      </c>
      <c r="Q22" s="9">
        <v>-83826</v>
      </c>
      <c r="R22" s="249">
        <v>-100000</v>
      </c>
      <c r="S22" s="190">
        <v>-90000</v>
      </c>
      <c r="T22" s="217" t="s">
        <v>2666</v>
      </c>
      <c r="U22" s="197"/>
    </row>
    <row r="23" spans="1:22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10">
        <v>-79144</v>
      </c>
      <c r="Q23" s="9">
        <v>-66730</v>
      </c>
      <c r="R23" s="249">
        <v>-90000</v>
      </c>
      <c r="S23" s="190">
        <v>-80000</v>
      </c>
      <c r="T23" s="157" t="s">
        <v>2572</v>
      </c>
      <c r="U23" s="197"/>
    </row>
    <row r="24" spans="1:22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10">
        <v>-1231</v>
      </c>
      <c r="Q24" s="9">
        <v>-2700</v>
      </c>
      <c r="R24" s="249">
        <v>-5000</v>
      </c>
      <c r="S24" s="190">
        <v>-5000</v>
      </c>
      <c r="T24" s="155"/>
      <c r="U24" s="197"/>
    </row>
    <row r="25" spans="1:22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10">
        <v>-22800</v>
      </c>
      <c r="Q25" s="9">
        <v>-26750</v>
      </c>
      <c r="R25" s="249">
        <v>-35000</v>
      </c>
      <c r="S25" s="190">
        <v>-25000</v>
      </c>
      <c r="T25" s="157" t="s">
        <v>2610</v>
      </c>
      <c r="U25" s="197"/>
    </row>
    <row r="26" spans="1:22" ht="24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10">
        <v>-30440</v>
      </c>
      <c r="Q26" s="9">
        <v>-30700</v>
      </c>
      <c r="R26" s="249">
        <v>-35000</v>
      </c>
      <c r="S26" s="190">
        <v>-35000</v>
      </c>
      <c r="T26" s="157" t="s">
        <v>2611</v>
      </c>
      <c r="U26" s="197"/>
    </row>
    <row r="27" spans="1:22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10">
        <v>-5340</v>
      </c>
      <c r="Q27" s="9">
        <v>-2000</v>
      </c>
      <c r="R27" s="249">
        <v>-7500</v>
      </c>
      <c r="S27" s="190">
        <v>-10000</v>
      </c>
      <c r="T27" s="157"/>
      <c r="U27" s="197"/>
    </row>
    <row r="28" spans="1:22" ht="34.799999999999997" customHeight="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10">
        <f>-55750</f>
        <v>-55750</v>
      </c>
      <c r="Q28" s="9">
        <v>-65500</v>
      </c>
      <c r="R28" s="249">
        <v>-75000</v>
      </c>
      <c r="S28" s="190">
        <v>-75000</v>
      </c>
      <c r="T28" s="217" t="s">
        <v>2663</v>
      </c>
      <c r="U28" s="197"/>
    </row>
    <row r="29" spans="1:22" ht="27" customHeight="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10">
        <f>-19000-4000</f>
        <v>-23000</v>
      </c>
      <c r="Q29" s="9">
        <v>-15000</v>
      </c>
      <c r="R29" s="249">
        <v>-20000</v>
      </c>
      <c r="S29" s="190">
        <v>-20000</v>
      </c>
      <c r="T29" s="217" t="s">
        <v>2661</v>
      </c>
    </row>
    <row r="30" spans="1:22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10">
        <v>-500</v>
      </c>
      <c r="Q30" s="9">
        <v>-500</v>
      </c>
      <c r="R30" s="249">
        <v>-500</v>
      </c>
      <c r="S30" s="190">
        <v>-500</v>
      </c>
      <c r="T30" s="157"/>
    </row>
    <row r="31" spans="1:22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10">
        <v>-166907</v>
      </c>
      <c r="Q31" s="9">
        <v>-30808</v>
      </c>
      <c r="R31" s="249">
        <v>-160000</v>
      </c>
      <c r="S31" s="190">
        <v>-170000</v>
      </c>
      <c r="T31" s="157" t="s">
        <v>2662</v>
      </c>
      <c r="U31" s="197"/>
    </row>
    <row r="32" spans="1:22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10"/>
      <c r="Q32" s="9"/>
      <c r="R32" s="249">
        <v>0</v>
      </c>
      <c r="S32" s="190">
        <v>0</v>
      </c>
      <c r="T32" s="155"/>
      <c r="U32" s="197"/>
    </row>
    <row r="33" spans="1:22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10">
        <v>-5059</v>
      </c>
      <c r="Q33" s="9">
        <f>-750-1134-300-1094-78-365-350</f>
        <v>-4071</v>
      </c>
      <c r="R33" s="249">
        <v>-5000</v>
      </c>
      <c r="S33" s="190">
        <v>-5000</v>
      </c>
      <c r="T33" s="157" t="s">
        <v>2615</v>
      </c>
      <c r="U33" s="197"/>
    </row>
    <row r="34" spans="1:22" x14ac:dyDescent="0.3">
      <c r="A34" s="7" t="s">
        <v>2555</v>
      </c>
      <c r="B34" s="39">
        <f t="shared" ref="B34:Q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2">
        <f t="shared" si="3"/>
        <v>-827607</v>
      </c>
      <c r="Q34" s="11">
        <f t="shared" si="3"/>
        <v>-675591</v>
      </c>
      <c r="R34" s="250">
        <f>SUM(R18:R33)</f>
        <v>-978000</v>
      </c>
      <c r="S34" s="191">
        <f>SUM(S18:S33)</f>
        <v>-863500</v>
      </c>
      <c r="T34" s="205"/>
      <c r="U34" s="206"/>
    </row>
    <row r="35" spans="1:22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46"/>
      <c r="Q35" s="113"/>
      <c r="R35" s="250"/>
      <c r="S35" s="191"/>
      <c r="T35" s="158"/>
      <c r="U35" s="207"/>
    </row>
    <row r="36" spans="1:22" s="13" customFormat="1" ht="38.25" hidden="1" customHeight="1" x14ac:dyDescent="0.3">
      <c r="A36" s="7" t="s">
        <v>48</v>
      </c>
      <c r="B36" s="39">
        <f t="shared" ref="B36:Q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12">
        <f t="shared" si="5"/>
        <v>10177</v>
      </c>
      <c r="J36" s="12">
        <f t="shared" si="5"/>
        <v>36557</v>
      </c>
      <c r="K36" s="12">
        <f t="shared" si="5"/>
        <v>-84874</v>
      </c>
      <c r="L36" s="12">
        <f t="shared" si="5"/>
        <v>8025</v>
      </c>
      <c r="M36" s="12">
        <f t="shared" si="5"/>
        <v>-10322</v>
      </c>
      <c r="N36" s="12">
        <f t="shared" si="5"/>
        <v>122284</v>
      </c>
      <c r="O36" s="12">
        <f t="shared" si="5"/>
        <v>104927</v>
      </c>
      <c r="P36" s="12">
        <f t="shared" si="5"/>
        <v>4017</v>
      </c>
      <c r="Q36" s="11">
        <f t="shared" si="5"/>
        <v>-53064</v>
      </c>
      <c r="R36" s="250">
        <f>R15+R34</f>
        <v>-95300</v>
      </c>
      <c r="S36" s="191">
        <f>S15+S34</f>
        <v>-63500</v>
      </c>
      <c r="T36" s="158"/>
      <c r="U36" s="207"/>
    </row>
    <row r="37" spans="1:22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2"/>
      <c r="Q37" s="11"/>
      <c r="R37" s="250"/>
      <c r="S37" s="191"/>
      <c r="T37" s="158"/>
      <c r="U37" s="207"/>
    </row>
    <row r="38" spans="1:22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1">
        <v>0</v>
      </c>
      <c r="R38" s="250">
        <v>0</v>
      </c>
      <c r="S38" s="191">
        <v>0</v>
      </c>
      <c r="T38" s="155"/>
      <c r="U38" s="206"/>
    </row>
    <row r="39" spans="1:22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4"/>
      <c r="R39" s="251"/>
      <c r="S39" s="210"/>
      <c r="T39" s="205"/>
      <c r="U39" s="206"/>
    </row>
    <row r="40" spans="1:22" s="13" customFormat="1" ht="16.2" thickBot="1" x14ac:dyDescent="0.35">
      <c r="A40" s="7" t="s">
        <v>2557</v>
      </c>
      <c r="B40" s="39">
        <f t="shared" ref="B40:R40" si="6">+B38+B36</f>
        <v>-34674</v>
      </c>
      <c r="C40" s="39">
        <f t="shared" si="6"/>
        <v>76791</v>
      </c>
      <c r="D40" s="39">
        <f t="shared" si="6"/>
        <v>22713</v>
      </c>
      <c r="E40" s="39">
        <f t="shared" si="6"/>
        <v>-15009.140000000043</v>
      </c>
      <c r="F40" s="39">
        <f t="shared" si="6"/>
        <v>-35959.489999999991</v>
      </c>
      <c r="G40" s="39">
        <f t="shared" si="6"/>
        <v>-181974</v>
      </c>
      <c r="H40" s="39">
        <f t="shared" si="6"/>
        <v>13685</v>
      </c>
      <c r="I40" s="12">
        <f t="shared" si="6"/>
        <v>10177</v>
      </c>
      <c r="J40" s="12">
        <f>+J38+J36</f>
        <v>36557</v>
      </c>
      <c r="K40" s="12">
        <f t="shared" si="6"/>
        <v>-84874</v>
      </c>
      <c r="L40" s="12">
        <f t="shared" si="6"/>
        <v>8025</v>
      </c>
      <c r="M40" s="12">
        <f t="shared" si="6"/>
        <v>-10322</v>
      </c>
      <c r="N40" s="12">
        <f t="shared" si="6"/>
        <v>122284</v>
      </c>
      <c r="O40" s="12">
        <f t="shared" si="6"/>
        <v>104927</v>
      </c>
      <c r="P40" s="12">
        <f t="shared" si="6"/>
        <v>4017</v>
      </c>
      <c r="Q40" s="154">
        <f t="shared" si="6"/>
        <v>-53064</v>
      </c>
      <c r="R40" s="252">
        <f t="shared" si="6"/>
        <v>-95300</v>
      </c>
      <c r="S40" s="192">
        <f>+S38+S36</f>
        <v>-63500</v>
      </c>
      <c r="T40" s="155"/>
      <c r="U40" s="208"/>
    </row>
    <row r="41" spans="1:22" s="13" customFormat="1" x14ac:dyDescent="0.3">
      <c r="A41" s="4"/>
      <c r="B41" s="4"/>
      <c r="C41" s="4"/>
      <c r="D41" s="4"/>
      <c r="E41" s="4"/>
      <c r="F41" s="4"/>
      <c r="G41" s="4"/>
      <c r="H41" s="4"/>
      <c r="R41" s="58"/>
      <c r="S41" s="58"/>
      <c r="T41" s="196"/>
      <c r="U41" s="155"/>
    </row>
    <row r="42" spans="1:22" x14ac:dyDescent="0.3">
      <c r="O42" s="13" t="s">
        <v>2667</v>
      </c>
      <c r="P42" s="1" t="s">
        <v>2656</v>
      </c>
      <c r="Q42" s="1">
        <v>68000</v>
      </c>
      <c r="R42" s="55" t="s">
        <v>2660</v>
      </c>
      <c r="T42" s="155"/>
    </row>
    <row r="43" spans="1:22" x14ac:dyDescent="0.3">
      <c r="P43" s="1" t="s">
        <v>2657</v>
      </c>
      <c r="Q43" s="1">
        <v>-130000</v>
      </c>
      <c r="R43" s="99" t="s">
        <v>2659</v>
      </c>
    </row>
    <row r="44" spans="1:22" x14ac:dyDescent="0.3">
      <c r="P44" s="1" t="s">
        <v>508</v>
      </c>
      <c r="Q44" s="1">
        <v>-38000</v>
      </c>
      <c r="R44" s="222" t="s">
        <v>2658</v>
      </c>
    </row>
    <row r="45" spans="1:22" x14ac:dyDescent="0.3">
      <c r="R45" s="207"/>
    </row>
    <row r="46" spans="1:22" x14ac:dyDescent="0.3">
      <c r="R46" s="222"/>
    </row>
    <row r="47" spans="1:22" s="4" customFormat="1" x14ac:dyDescent="0.3">
      <c r="R47" s="99"/>
      <c r="T47" s="196"/>
      <c r="U47" s="155"/>
      <c r="V47" s="1"/>
    </row>
    <row r="48" spans="1:22" s="4" customFormat="1" x14ac:dyDescent="0.3">
      <c r="R48" s="99"/>
      <c r="T48" s="196"/>
      <c r="U48" s="155"/>
      <c r="V48" s="1"/>
    </row>
    <row r="49" spans="18:22" s="4" customFormat="1" x14ac:dyDescent="0.3">
      <c r="R49" s="99"/>
      <c r="T49" s="196"/>
      <c r="U49" s="155"/>
      <c r="V49" s="1"/>
    </row>
    <row r="50" spans="18:22" s="4" customFormat="1" x14ac:dyDescent="0.3">
      <c r="R50" s="99"/>
      <c r="T50" s="196"/>
      <c r="U50" s="155"/>
      <c r="V50" s="1"/>
    </row>
    <row r="51" spans="18:22" x14ac:dyDescent="0.3">
      <c r="R51" s="99"/>
    </row>
    <row r="52" spans="18:22" x14ac:dyDescent="0.3">
      <c r="R52" s="223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3718F-1192-4691-9551-EFC3CB9736AF}">
  <sheetPr>
    <tabColor theme="5" tint="-0.249977111117893"/>
    <pageSetUpPr fitToPage="1"/>
  </sheetPr>
  <dimension ref="A1:V52"/>
  <sheetViews>
    <sheetView zoomScale="110" zoomScaleNormal="110" workbookViewId="0">
      <pane xSplit="1" ySplit="3" topLeftCell="M4" activePane="bottomRight" state="frozen"/>
      <selection pane="topRight" activeCell="B1" sqref="B1"/>
      <selection pane="bottomLeft" activeCell="A4" sqref="A4"/>
      <selection pane="bottomRight" activeCell="Q4" sqref="Q4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2" width="16.44140625" style="1" customWidth="1"/>
    <col min="13" max="13" width="18" style="1" customWidth="1"/>
    <col min="14" max="17" width="16.44140625" style="1" customWidth="1"/>
    <col min="18" max="19" width="18.5546875" style="1" customWidth="1"/>
    <col min="20" max="20" width="27" style="196" customWidth="1"/>
    <col min="21" max="21" width="12" style="155" customWidth="1"/>
    <col min="22" max="16384" width="9.109375" style="1"/>
  </cols>
  <sheetData>
    <row r="1" spans="1:21" ht="31.8" thickBot="1" x14ac:dyDescent="0.65">
      <c r="A1" s="211" t="s">
        <v>486</v>
      </c>
      <c r="C1" s="224"/>
      <c r="D1" s="224"/>
      <c r="I1" s="4"/>
      <c r="J1" s="4"/>
      <c r="K1" s="294" t="s">
        <v>487</v>
      </c>
      <c r="L1" s="294"/>
      <c r="M1" s="294"/>
    </row>
    <row r="2" spans="1:21" ht="16.2" thickBot="1" x14ac:dyDescent="0.35"/>
    <row r="3" spans="1:21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227">
        <v>2023</v>
      </c>
      <c r="R3" s="253" t="s">
        <v>809</v>
      </c>
      <c r="S3" s="240" t="s">
        <v>2638</v>
      </c>
      <c r="T3" s="156"/>
      <c r="U3" s="156"/>
    </row>
    <row r="4" spans="1:21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110">
        <v>45143</v>
      </c>
      <c r="R4" s="110">
        <v>45291</v>
      </c>
      <c r="S4" s="209"/>
      <c r="T4" s="156"/>
      <c r="U4" s="156"/>
    </row>
    <row r="5" spans="1:21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37"/>
      <c r="R5" s="111"/>
      <c r="S5" s="8"/>
      <c r="T5" s="155"/>
    </row>
    <row r="6" spans="1:21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10">
        <v>225734</v>
      </c>
      <c r="Q6" s="9">
        <v>111124</v>
      </c>
      <c r="R6" s="249">
        <v>220000</v>
      </c>
      <c r="S6" s="190">
        <v>220000</v>
      </c>
      <c r="T6" s="217" t="s">
        <v>2605</v>
      </c>
    </row>
    <row r="7" spans="1:21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10">
        <v>187000</v>
      </c>
      <c r="Q7" s="9">
        <v>117650</v>
      </c>
      <c r="R7" s="249">
        <v>160000</v>
      </c>
      <c r="S7" s="190">
        <v>185000</v>
      </c>
      <c r="T7" s="258" t="s">
        <v>2655</v>
      </c>
    </row>
    <row r="8" spans="1:21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10">
        <v>83434</v>
      </c>
      <c r="Q8" s="9">
        <v>0</v>
      </c>
      <c r="R8" s="249">
        <v>85000</v>
      </c>
      <c r="S8" s="190">
        <v>85000</v>
      </c>
      <c r="T8" s="236"/>
    </row>
    <row r="9" spans="1:21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10">
        <v>33422</v>
      </c>
      <c r="Q9" s="9">
        <v>15080</v>
      </c>
      <c r="R9" s="249">
        <v>15000</v>
      </c>
      <c r="S9" s="190">
        <v>30000</v>
      </c>
      <c r="T9" s="236" t="s">
        <v>2653</v>
      </c>
    </row>
    <row r="10" spans="1:21" ht="57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10">
        <v>109900</v>
      </c>
      <c r="Q10" s="9">
        <v>30000</v>
      </c>
      <c r="R10" s="249">
        <v>120000</v>
      </c>
      <c r="S10" s="190">
        <v>80000</v>
      </c>
      <c r="T10" s="217" t="s">
        <v>2654</v>
      </c>
    </row>
    <row r="11" spans="1:21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10">
        <v>145695</v>
      </c>
      <c r="Q11" s="9">
        <v>74650</v>
      </c>
      <c r="R11" s="249">
        <v>160000</v>
      </c>
      <c r="S11" s="190">
        <v>150000</v>
      </c>
      <c r="T11" s="155"/>
    </row>
    <row r="12" spans="1:21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10"/>
      <c r="Q12" s="9"/>
      <c r="R12" s="249">
        <v>0</v>
      </c>
      <c r="S12" s="190">
        <v>0</v>
      </c>
      <c r="T12" s="155"/>
    </row>
    <row r="13" spans="1:21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10"/>
      <c r="Q13" s="9"/>
      <c r="R13" s="249">
        <v>0</v>
      </c>
      <c r="S13" s="190">
        <v>0</v>
      </c>
      <c r="T13" s="155"/>
    </row>
    <row r="14" spans="1:21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10">
        <v>46439</v>
      </c>
      <c r="Q14" s="9">
        <v>-6472</v>
      </c>
      <c r="R14" s="249">
        <v>40000</v>
      </c>
      <c r="S14" s="190">
        <v>50000</v>
      </c>
      <c r="T14" s="236" t="s">
        <v>2651</v>
      </c>
    </row>
    <row r="15" spans="1:21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 t="shared" ref="L15:S15" si="2">SUM(L6:L14)</f>
        <v>602111</v>
      </c>
      <c r="M15" s="12">
        <f t="shared" si="2"/>
        <v>627974</v>
      </c>
      <c r="N15" s="12">
        <f t="shared" si="2"/>
        <v>667900</v>
      </c>
      <c r="O15" s="12">
        <f t="shared" si="2"/>
        <v>701882</v>
      </c>
      <c r="P15" s="12">
        <f t="shared" si="2"/>
        <v>831624</v>
      </c>
      <c r="Q15" s="11">
        <f t="shared" si="2"/>
        <v>342032</v>
      </c>
      <c r="R15" s="250">
        <f t="shared" si="2"/>
        <v>800000</v>
      </c>
      <c r="S15" s="191">
        <f t="shared" si="2"/>
        <v>800000</v>
      </c>
      <c r="T15" s="155"/>
    </row>
    <row r="16" spans="1:21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Q16" s="111"/>
      <c r="R16" s="249"/>
      <c r="S16" s="190"/>
      <c r="T16" s="155"/>
    </row>
    <row r="17" spans="1:22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Q17" s="112"/>
      <c r="R17" s="249"/>
      <c r="S17" s="190"/>
      <c r="T17" s="159"/>
      <c r="U17" s="159"/>
    </row>
    <row r="18" spans="1:22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10">
        <v>-181432</v>
      </c>
      <c r="Q18" s="9">
        <v>-171103</v>
      </c>
      <c r="R18" s="249">
        <v>-200000</v>
      </c>
      <c r="S18" s="190">
        <v>-180000</v>
      </c>
      <c r="T18" s="157" t="s">
        <v>2572</v>
      </c>
      <c r="U18" s="197"/>
    </row>
    <row r="19" spans="1:22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10">
        <v>-133504</v>
      </c>
      <c r="Q19" s="9">
        <v>-38354</v>
      </c>
      <c r="R19" s="249">
        <v>-130000</v>
      </c>
      <c r="S19" s="190">
        <v>-130000</v>
      </c>
      <c r="T19" s="157"/>
      <c r="U19" s="197"/>
      <c r="V19" s="55"/>
    </row>
    <row r="20" spans="1:22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10">
        <v>-519</v>
      </c>
      <c r="Q20" s="9">
        <v>-6358</v>
      </c>
      <c r="R20" s="249">
        <v>-8000</v>
      </c>
      <c r="S20" s="190">
        <v>-8000</v>
      </c>
      <c r="T20" s="157"/>
      <c r="U20" s="197"/>
    </row>
    <row r="21" spans="1:22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10">
        <v>-29952</v>
      </c>
      <c r="Q21" s="9">
        <v>-10000</v>
      </c>
      <c r="R21" s="249">
        <v>-30000</v>
      </c>
      <c r="S21" s="190">
        <v>-30000</v>
      </c>
      <c r="T21" s="157" t="s">
        <v>2529</v>
      </c>
      <c r="U21" s="197"/>
    </row>
    <row r="22" spans="1:22" ht="36.6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10">
        <v>-92029</v>
      </c>
      <c r="Q22" s="9">
        <v>-34000</v>
      </c>
      <c r="R22" s="249">
        <v>-90000</v>
      </c>
      <c r="S22" s="190">
        <v>-90000</v>
      </c>
      <c r="T22" s="157" t="s">
        <v>2652</v>
      </c>
      <c r="U22" s="197"/>
    </row>
    <row r="23" spans="1:22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10">
        <v>-79144</v>
      </c>
      <c r="Q23" s="9">
        <v>-26071</v>
      </c>
      <c r="R23" s="249">
        <v>-80000</v>
      </c>
      <c r="S23" s="190">
        <v>-80000</v>
      </c>
      <c r="T23" s="157" t="s">
        <v>2572</v>
      </c>
      <c r="U23" s="197"/>
    </row>
    <row r="24" spans="1:22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10">
        <v>-1231</v>
      </c>
      <c r="Q24" s="9">
        <v>0</v>
      </c>
      <c r="R24" s="249">
        <v>-5000</v>
      </c>
      <c r="S24" s="190">
        <v>-5000</v>
      </c>
      <c r="T24" s="155"/>
      <c r="U24" s="197"/>
    </row>
    <row r="25" spans="1:22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10">
        <v>-22800</v>
      </c>
      <c r="Q25" s="9">
        <v>-19850</v>
      </c>
      <c r="R25" s="249">
        <v>-30000</v>
      </c>
      <c r="S25" s="190">
        <v>-25000</v>
      </c>
      <c r="T25" s="157" t="s">
        <v>2610</v>
      </c>
      <c r="U25" s="197"/>
    </row>
    <row r="26" spans="1:22" ht="24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10">
        <v>-30440</v>
      </c>
      <c r="Q26" s="9">
        <v>-5800</v>
      </c>
      <c r="R26" s="249">
        <v>-35000</v>
      </c>
      <c r="S26" s="190">
        <v>-35000</v>
      </c>
      <c r="T26" s="157" t="s">
        <v>2611</v>
      </c>
      <c r="U26" s="197"/>
    </row>
    <row r="27" spans="1:22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10">
        <v>-5340</v>
      </c>
      <c r="Q27" s="9">
        <v>-800</v>
      </c>
      <c r="R27" s="249">
        <v>-7500</v>
      </c>
      <c r="S27" s="190">
        <v>-10000</v>
      </c>
      <c r="T27" s="157"/>
      <c r="U27" s="197"/>
    </row>
    <row r="28" spans="1:22" ht="34.799999999999997" customHeight="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10">
        <f>-55750</f>
        <v>-55750</v>
      </c>
      <c r="Q28" s="9">
        <v>0</v>
      </c>
      <c r="R28" s="249">
        <v>-75000</v>
      </c>
      <c r="S28" s="190">
        <v>-75000</v>
      </c>
      <c r="T28" s="217" t="s">
        <v>2648</v>
      </c>
      <c r="U28" s="197"/>
    </row>
    <row r="29" spans="1:22" ht="24.6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10">
        <f>-19000-4000</f>
        <v>-23000</v>
      </c>
      <c r="Q29" s="9">
        <v>0</v>
      </c>
      <c r="R29" s="249">
        <v>-20000</v>
      </c>
      <c r="S29" s="190">
        <v>-20000</v>
      </c>
      <c r="T29" s="157" t="s">
        <v>2648</v>
      </c>
    </row>
    <row r="30" spans="1:22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10">
        <v>-500</v>
      </c>
      <c r="Q30" s="9">
        <v>-500</v>
      </c>
      <c r="R30" s="249">
        <v>-500</v>
      </c>
      <c r="S30" s="190">
        <v>-500</v>
      </c>
      <c r="T30" s="157"/>
    </row>
    <row r="31" spans="1:22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10">
        <v>-166907</v>
      </c>
      <c r="Q31" s="9">
        <v>0</v>
      </c>
      <c r="R31" s="249">
        <v>-170000</v>
      </c>
      <c r="S31" s="190">
        <v>-170000</v>
      </c>
      <c r="T31" s="157" t="s">
        <v>2649</v>
      </c>
      <c r="U31" s="197"/>
    </row>
    <row r="32" spans="1:22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10"/>
      <c r="Q32" s="9"/>
      <c r="R32" s="249">
        <v>0</v>
      </c>
      <c r="S32" s="190">
        <v>0</v>
      </c>
      <c r="T32" s="155"/>
      <c r="U32" s="197"/>
    </row>
    <row r="33" spans="1:22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10">
        <v>-5059</v>
      </c>
      <c r="Q33" s="9">
        <f>-750-1134-300-1094</f>
        <v>-3278</v>
      </c>
      <c r="R33" s="249">
        <v>-5000</v>
      </c>
      <c r="S33" s="190">
        <v>-5000</v>
      </c>
      <c r="T33" s="157" t="s">
        <v>2615</v>
      </c>
      <c r="U33" s="197"/>
    </row>
    <row r="34" spans="1:22" x14ac:dyDescent="0.3">
      <c r="A34" s="7" t="s">
        <v>2555</v>
      </c>
      <c r="B34" s="39">
        <f t="shared" ref="B34:Q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2">
        <f t="shared" si="3"/>
        <v>-827607</v>
      </c>
      <c r="Q34" s="11">
        <f t="shared" si="3"/>
        <v>-316114</v>
      </c>
      <c r="R34" s="250">
        <f>SUM(R18:R33)</f>
        <v>-886000</v>
      </c>
      <c r="S34" s="191">
        <f>SUM(S18:S33)</f>
        <v>-863500</v>
      </c>
      <c r="T34" s="205"/>
      <c r="U34" s="206"/>
    </row>
    <row r="35" spans="1:22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46"/>
      <c r="Q35" s="113"/>
      <c r="R35" s="250"/>
      <c r="S35" s="191"/>
      <c r="T35" s="158"/>
      <c r="U35" s="207"/>
    </row>
    <row r="36" spans="1:22" s="13" customFormat="1" ht="38.25" hidden="1" customHeight="1" x14ac:dyDescent="0.3">
      <c r="A36" s="7" t="s">
        <v>48</v>
      </c>
      <c r="B36" s="39">
        <f t="shared" ref="B36:Q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12">
        <f t="shared" si="5"/>
        <v>10177</v>
      </c>
      <c r="J36" s="12">
        <f t="shared" si="5"/>
        <v>36557</v>
      </c>
      <c r="K36" s="12">
        <f t="shared" si="5"/>
        <v>-84874</v>
      </c>
      <c r="L36" s="12">
        <f t="shared" si="5"/>
        <v>8025</v>
      </c>
      <c r="M36" s="12">
        <f t="shared" si="5"/>
        <v>-10322</v>
      </c>
      <c r="N36" s="12">
        <f t="shared" si="5"/>
        <v>122284</v>
      </c>
      <c r="O36" s="12">
        <f t="shared" si="5"/>
        <v>104927</v>
      </c>
      <c r="P36" s="12">
        <f t="shared" si="5"/>
        <v>4017</v>
      </c>
      <c r="Q36" s="11">
        <f t="shared" si="5"/>
        <v>25918</v>
      </c>
      <c r="R36" s="250">
        <f>R15+R34</f>
        <v>-86000</v>
      </c>
      <c r="S36" s="191">
        <f>S15+S34</f>
        <v>-63500</v>
      </c>
      <c r="T36" s="158"/>
      <c r="U36" s="207"/>
    </row>
    <row r="37" spans="1:22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2"/>
      <c r="Q37" s="11"/>
      <c r="R37" s="250"/>
      <c r="S37" s="191"/>
      <c r="T37" s="158"/>
      <c r="U37" s="207"/>
    </row>
    <row r="38" spans="1:22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1">
        <v>0</v>
      </c>
      <c r="R38" s="250">
        <v>0</v>
      </c>
      <c r="S38" s="191">
        <v>0</v>
      </c>
      <c r="T38" s="155"/>
      <c r="U38" s="206"/>
    </row>
    <row r="39" spans="1:22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4"/>
      <c r="R39" s="251"/>
      <c r="S39" s="210"/>
      <c r="T39" s="205"/>
      <c r="U39" s="206"/>
    </row>
    <row r="40" spans="1:22" s="13" customFormat="1" ht="16.2" thickBot="1" x14ac:dyDescent="0.35">
      <c r="A40" s="7" t="s">
        <v>2557</v>
      </c>
      <c r="B40" s="39">
        <f t="shared" ref="B40:R40" si="6">+B38+B36</f>
        <v>-34674</v>
      </c>
      <c r="C40" s="39">
        <f t="shared" si="6"/>
        <v>76791</v>
      </c>
      <c r="D40" s="39">
        <f t="shared" si="6"/>
        <v>22713</v>
      </c>
      <c r="E40" s="39">
        <f t="shared" si="6"/>
        <v>-15009.140000000043</v>
      </c>
      <c r="F40" s="39">
        <f t="shared" si="6"/>
        <v>-35959.489999999991</v>
      </c>
      <c r="G40" s="39">
        <f t="shared" si="6"/>
        <v>-181974</v>
      </c>
      <c r="H40" s="39">
        <f t="shared" si="6"/>
        <v>13685</v>
      </c>
      <c r="I40" s="12">
        <f t="shared" si="6"/>
        <v>10177</v>
      </c>
      <c r="J40" s="12">
        <f>+J38+J36</f>
        <v>36557</v>
      </c>
      <c r="K40" s="12">
        <f t="shared" si="6"/>
        <v>-84874</v>
      </c>
      <c r="L40" s="12">
        <f t="shared" si="6"/>
        <v>8025</v>
      </c>
      <c r="M40" s="12">
        <f t="shared" si="6"/>
        <v>-10322</v>
      </c>
      <c r="N40" s="12">
        <f t="shared" si="6"/>
        <v>122284</v>
      </c>
      <c r="O40" s="12">
        <f t="shared" si="6"/>
        <v>104927</v>
      </c>
      <c r="P40" s="12">
        <f t="shared" si="6"/>
        <v>4017</v>
      </c>
      <c r="Q40" s="154">
        <f t="shared" si="6"/>
        <v>25918</v>
      </c>
      <c r="R40" s="252">
        <f t="shared" si="6"/>
        <v>-86000</v>
      </c>
      <c r="S40" s="192">
        <f>+S38+S36</f>
        <v>-63500</v>
      </c>
      <c r="T40" s="155"/>
      <c r="U40" s="208"/>
    </row>
    <row r="41" spans="1:22" s="13" customFormat="1" x14ac:dyDescent="0.3">
      <c r="A41" s="4"/>
      <c r="B41" s="4"/>
      <c r="C41" s="4"/>
      <c r="D41" s="4"/>
      <c r="E41" s="4"/>
      <c r="F41" s="4"/>
      <c r="G41" s="4"/>
      <c r="H41" s="4"/>
      <c r="R41" s="58"/>
      <c r="S41" s="58"/>
      <c r="T41" s="196"/>
      <c r="U41" s="155"/>
    </row>
    <row r="42" spans="1:22" x14ac:dyDescent="0.3">
      <c r="R42" s="55"/>
      <c r="T42" s="155"/>
    </row>
    <row r="43" spans="1:22" x14ac:dyDescent="0.3">
      <c r="R43" s="99"/>
    </row>
    <row r="44" spans="1:22" x14ac:dyDescent="0.3">
      <c r="R44" s="222"/>
    </row>
    <row r="45" spans="1:22" x14ac:dyDescent="0.3">
      <c r="R45" s="207"/>
    </row>
    <row r="46" spans="1:22" x14ac:dyDescent="0.3">
      <c r="R46" s="222"/>
    </row>
    <row r="47" spans="1:22" s="4" customFormat="1" x14ac:dyDescent="0.3">
      <c r="R47" s="99"/>
      <c r="T47" s="196"/>
      <c r="U47" s="155"/>
      <c r="V47" s="1"/>
    </row>
    <row r="48" spans="1:22" s="4" customFormat="1" x14ac:dyDescent="0.3">
      <c r="R48" s="99"/>
      <c r="T48" s="196"/>
      <c r="U48" s="155"/>
      <c r="V48" s="1"/>
    </row>
    <row r="49" spans="18:22" s="4" customFormat="1" x14ac:dyDescent="0.3">
      <c r="R49" s="99"/>
      <c r="T49" s="196"/>
      <c r="U49" s="155"/>
      <c r="V49" s="1"/>
    </row>
    <row r="50" spans="18:22" s="4" customFormat="1" x14ac:dyDescent="0.3">
      <c r="R50" s="99"/>
      <c r="T50" s="196"/>
      <c r="U50" s="155"/>
      <c r="V50" s="1"/>
    </row>
    <row r="51" spans="18:22" x14ac:dyDescent="0.3">
      <c r="R51" s="99"/>
    </row>
    <row r="52" spans="18:22" x14ac:dyDescent="0.3">
      <c r="R52" s="223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A7EE6-E19F-4EBD-9D2B-15CBC77D803F}">
  <sheetPr>
    <tabColor theme="5" tint="-0.249977111117893"/>
    <pageSetUpPr fitToPage="1"/>
  </sheetPr>
  <dimension ref="A1:V52"/>
  <sheetViews>
    <sheetView zoomScale="110" zoomScaleNormal="110" workbookViewId="0">
      <pane xSplit="1" ySplit="3" topLeftCell="M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2" width="16.44140625" style="1" customWidth="1"/>
    <col min="13" max="13" width="18" style="1" customWidth="1"/>
    <col min="14" max="17" width="16.44140625" style="1" customWidth="1"/>
    <col min="18" max="19" width="18.5546875" style="1" customWidth="1"/>
    <col min="20" max="20" width="27" style="196" customWidth="1"/>
    <col min="21" max="21" width="12" style="155" customWidth="1"/>
    <col min="22" max="16384" width="9.109375" style="1"/>
  </cols>
  <sheetData>
    <row r="1" spans="1:21" ht="31.8" thickBot="1" x14ac:dyDescent="0.65">
      <c r="A1" s="211" t="s">
        <v>486</v>
      </c>
      <c r="C1" s="224"/>
      <c r="D1" s="224"/>
      <c r="I1" s="4"/>
      <c r="J1" s="4"/>
      <c r="K1" s="294" t="s">
        <v>487</v>
      </c>
      <c r="L1" s="294"/>
      <c r="M1" s="294"/>
    </row>
    <row r="2" spans="1:21" ht="16.2" thickBot="1" x14ac:dyDescent="0.35"/>
    <row r="3" spans="1:21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227">
        <v>2023</v>
      </c>
      <c r="R3" s="253" t="s">
        <v>809</v>
      </c>
      <c r="S3" s="240" t="s">
        <v>2638</v>
      </c>
      <c r="T3" s="156"/>
      <c r="U3" s="156"/>
    </row>
    <row r="4" spans="1:21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110">
        <v>45034</v>
      </c>
      <c r="R4" s="110">
        <v>45291</v>
      </c>
      <c r="S4" s="209"/>
      <c r="T4" s="156"/>
      <c r="U4" s="156"/>
    </row>
    <row r="5" spans="1:21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37"/>
      <c r="R5" s="111"/>
      <c r="S5" s="8"/>
      <c r="T5" s="155"/>
    </row>
    <row r="6" spans="1:21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10">
        <v>225734</v>
      </c>
      <c r="Q6" s="9">
        <v>76457</v>
      </c>
      <c r="R6" s="249">
        <v>220000</v>
      </c>
      <c r="S6" s="190">
        <v>220000</v>
      </c>
      <c r="T6" s="217" t="s">
        <v>2605</v>
      </c>
    </row>
    <row r="7" spans="1:21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10">
        <v>187000</v>
      </c>
      <c r="Q7" s="9">
        <v>14850</v>
      </c>
      <c r="R7" s="249">
        <v>185000</v>
      </c>
      <c r="S7" s="190">
        <v>185000</v>
      </c>
      <c r="T7" s="236" t="s">
        <v>2650</v>
      </c>
    </row>
    <row r="8" spans="1:21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10">
        <v>83434</v>
      </c>
      <c r="Q8" s="9">
        <v>0</v>
      </c>
      <c r="R8" s="249">
        <v>85000</v>
      </c>
      <c r="S8" s="190">
        <v>85000</v>
      </c>
      <c r="T8" s="236"/>
    </row>
    <row r="9" spans="1:21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10">
        <v>33422</v>
      </c>
      <c r="Q9" s="9">
        <v>0</v>
      </c>
      <c r="R9" s="249">
        <v>30000</v>
      </c>
      <c r="S9" s="190">
        <v>30000</v>
      </c>
      <c r="T9" s="236" t="s">
        <v>2621</v>
      </c>
    </row>
    <row r="10" spans="1:21" ht="57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10">
        <v>109900</v>
      </c>
      <c r="Q10" s="9">
        <v>0</v>
      </c>
      <c r="R10" s="249">
        <v>80000</v>
      </c>
      <c r="S10" s="190">
        <v>80000</v>
      </c>
      <c r="T10" s="217" t="s">
        <v>2645</v>
      </c>
    </row>
    <row r="11" spans="1:21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10">
        <v>145695</v>
      </c>
      <c r="Q11" s="9">
        <v>0</v>
      </c>
      <c r="R11" s="249">
        <v>150000</v>
      </c>
      <c r="S11" s="190">
        <v>150000</v>
      </c>
      <c r="T11" s="155"/>
    </row>
    <row r="12" spans="1:21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10"/>
      <c r="Q12" s="9"/>
      <c r="R12" s="249">
        <v>0</v>
      </c>
      <c r="S12" s="190">
        <v>0</v>
      </c>
      <c r="T12" s="155"/>
    </row>
    <row r="13" spans="1:21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10"/>
      <c r="Q13" s="9"/>
      <c r="R13" s="249">
        <v>0</v>
      </c>
      <c r="S13" s="190">
        <v>0</v>
      </c>
      <c r="T13" s="155"/>
    </row>
    <row r="14" spans="1:21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10">
        <v>46439</v>
      </c>
      <c r="Q14" s="9">
        <v>-6472</v>
      </c>
      <c r="R14" s="249">
        <v>50000</v>
      </c>
      <c r="S14" s="190">
        <v>50000</v>
      </c>
      <c r="T14" s="236" t="s">
        <v>2651</v>
      </c>
    </row>
    <row r="15" spans="1:21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 t="shared" ref="L15:S15" si="2">SUM(L6:L14)</f>
        <v>602111</v>
      </c>
      <c r="M15" s="12">
        <f t="shared" si="2"/>
        <v>627974</v>
      </c>
      <c r="N15" s="12">
        <f t="shared" si="2"/>
        <v>667900</v>
      </c>
      <c r="O15" s="12">
        <f t="shared" si="2"/>
        <v>701882</v>
      </c>
      <c r="P15" s="12">
        <f t="shared" si="2"/>
        <v>831624</v>
      </c>
      <c r="Q15" s="11">
        <f t="shared" si="2"/>
        <v>84835</v>
      </c>
      <c r="R15" s="250">
        <f t="shared" si="2"/>
        <v>800000</v>
      </c>
      <c r="S15" s="191">
        <f t="shared" si="2"/>
        <v>800000</v>
      </c>
      <c r="T15" s="155"/>
    </row>
    <row r="16" spans="1:21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Q16" s="111"/>
      <c r="R16" s="249"/>
      <c r="S16" s="190"/>
      <c r="T16" s="155"/>
    </row>
    <row r="17" spans="1:22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Q17" s="112"/>
      <c r="R17" s="249"/>
      <c r="S17" s="190"/>
      <c r="T17" s="159"/>
      <c r="U17" s="159"/>
    </row>
    <row r="18" spans="1:22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10">
        <v>-181432</v>
      </c>
      <c r="Q18" s="9">
        <v>-49944</v>
      </c>
      <c r="R18" s="249">
        <v>-180000</v>
      </c>
      <c r="S18" s="190">
        <v>-180000</v>
      </c>
      <c r="T18" s="157" t="s">
        <v>2572</v>
      </c>
      <c r="U18" s="197"/>
    </row>
    <row r="19" spans="1:22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10">
        <v>-133504</v>
      </c>
      <c r="Q19" s="9">
        <v>-13127</v>
      </c>
      <c r="R19" s="249">
        <v>-130000</v>
      </c>
      <c r="S19" s="190">
        <v>-130000</v>
      </c>
      <c r="T19" s="157"/>
      <c r="U19" s="197"/>
      <c r="V19" s="55"/>
    </row>
    <row r="20" spans="1:22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10">
        <v>-519</v>
      </c>
      <c r="Q20" s="9">
        <v>-6124</v>
      </c>
      <c r="R20" s="249">
        <v>-5000</v>
      </c>
      <c r="S20" s="190">
        <v>-8000</v>
      </c>
      <c r="T20" s="157"/>
      <c r="U20" s="197"/>
    </row>
    <row r="21" spans="1:22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10">
        <v>-29952</v>
      </c>
      <c r="Q21" s="9">
        <v>-10000</v>
      </c>
      <c r="R21" s="249">
        <v>-30000</v>
      </c>
      <c r="S21" s="190">
        <v>-30000</v>
      </c>
      <c r="T21" s="157" t="s">
        <v>2529</v>
      </c>
      <c r="U21" s="197"/>
    </row>
    <row r="22" spans="1:22" ht="36.6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10">
        <v>-92029</v>
      </c>
      <c r="Q22" s="9">
        <v>-34000</v>
      </c>
      <c r="R22" s="249">
        <v>-90000</v>
      </c>
      <c r="S22" s="190">
        <v>-90000</v>
      </c>
      <c r="T22" s="157" t="s">
        <v>2652</v>
      </c>
      <c r="U22" s="197"/>
    </row>
    <row r="23" spans="1:22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10">
        <v>-79144</v>
      </c>
      <c r="Q23" s="9">
        <v>-14017</v>
      </c>
      <c r="R23" s="249">
        <v>-80000</v>
      </c>
      <c r="S23" s="190">
        <v>-80000</v>
      </c>
      <c r="T23" s="157" t="s">
        <v>2572</v>
      </c>
      <c r="U23" s="197"/>
    </row>
    <row r="24" spans="1:22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10">
        <v>-1231</v>
      </c>
      <c r="Q24" s="9">
        <v>0</v>
      </c>
      <c r="R24" s="249">
        <v>-5000</v>
      </c>
      <c r="S24" s="190">
        <v>-5000</v>
      </c>
      <c r="T24" s="155"/>
      <c r="U24" s="197"/>
    </row>
    <row r="25" spans="1:22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10">
        <v>-22800</v>
      </c>
      <c r="Q25" s="9">
        <v>-18500</v>
      </c>
      <c r="R25" s="249">
        <v>-30000</v>
      </c>
      <c r="S25" s="190">
        <v>-25000</v>
      </c>
      <c r="T25" s="157" t="s">
        <v>2610</v>
      </c>
      <c r="U25" s="197"/>
    </row>
    <row r="26" spans="1:22" ht="24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10">
        <v>-30440</v>
      </c>
      <c r="Q26" s="9">
        <v>-2000</v>
      </c>
      <c r="R26" s="249">
        <v>-35000</v>
      </c>
      <c r="S26" s="190">
        <v>-35000</v>
      </c>
      <c r="T26" s="157" t="s">
        <v>2611</v>
      </c>
      <c r="U26" s="197"/>
    </row>
    <row r="27" spans="1:22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10">
        <v>-5340</v>
      </c>
      <c r="Q27" s="9">
        <v>-400</v>
      </c>
      <c r="R27" s="249">
        <v>-10000</v>
      </c>
      <c r="S27" s="190">
        <v>-10000</v>
      </c>
      <c r="T27" s="157"/>
      <c r="U27" s="197"/>
    </row>
    <row r="28" spans="1:22" ht="34.799999999999997" customHeight="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10">
        <f>-55750</f>
        <v>-55750</v>
      </c>
      <c r="Q28" s="9">
        <v>0</v>
      </c>
      <c r="R28" s="249">
        <v>-75000</v>
      </c>
      <c r="S28" s="190">
        <v>-75000</v>
      </c>
      <c r="T28" s="217" t="s">
        <v>2648</v>
      </c>
      <c r="U28" s="197"/>
    </row>
    <row r="29" spans="1:22" ht="24.6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10">
        <f>-19000-4000</f>
        <v>-23000</v>
      </c>
      <c r="Q29" s="9">
        <v>0</v>
      </c>
      <c r="R29" s="249">
        <v>-20000</v>
      </c>
      <c r="S29" s="190">
        <v>-20000</v>
      </c>
      <c r="T29" s="157" t="s">
        <v>2648</v>
      </c>
    </row>
    <row r="30" spans="1:22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10">
        <v>-500</v>
      </c>
      <c r="Q30" s="9">
        <v>0</v>
      </c>
      <c r="R30" s="249">
        <v>-500</v>
      </c>
      <c r="S30" s="190">
        <v>-500</v>
      </c>
      <c r="T30" s="157"/>
    </row>
    <row r="31" spans="1:22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10">
        <v>-166907</v>
      </c>
      <c r="Q31" s="9">
        <v>0</v>
      </c>
      <c r="R31" s="249">
        <v>-170000</v>
      </c>
      <c r="S31" s="190">
        <v>-170000</v>
      </c>
      <c r="T31" s="157" t="s">
        <v>2649</v>
      </c>
      <c r="U31" s="197"/>
    </row>
    <row r="32" spans="1:22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10"/>
      <c r="Q32" s="9"/>
      <c r="R32" s="249">
        <v>0</v>
      </c>
      <c r="S32" s="190">
        <v>0</v>
      </c>
      <c r="T32" s="155"/>
      <c r="U32" s="197"/>
    </row>
    <row r="33" spans="1:22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10">
        <v>-5059</v>
      </c>
      <c r="Q33" s="9">
        <f>-750-1634-300</f>
        <v>-2684</v>
      </c>
      <c r="R33" s="249">
        <v>-5000</v>
      </c>
      <c r="S33" s="190">
        <v>-5000</v>
      </c>
      <c r="T33" s="157" t="s">
        <v>2615</v>
      </c>
      <c r="U33" s="197"/>
    </row>
    <row r="34" spans="1:22" x14ac:dyDescent="0.3">
      <c r="A34" s="7" t="s">
        <v>2555</v>
      </c>
      <c r="B34" s="39">
        <f t="shared" ref="B34:Q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2">
        <f t="shared" si="3"/>
        <v>-827607</v>
      </c>
      <c r="Q34" s="11">
        <f t="shared" si="3"/>
        <v>-150796</v>
      </c>
      <c r="R34" s="250">
        <f>SUM(R18:R33)</f>
        <v>-865500</v>
      </c>
      <c r="S34" s="191">
        <f>SUM(S18:S33)</f>
        <v>-863500</v>
      </c>
      <c r="T34" s="205"/>
      <c r="U34" s="206"/>
    </row>
    <row r="35" spans="1:22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46"/>
      <c r="Q35" s="113"/>
      <c r="R35" s="250"/>
      <c r="S35" s="191"/>
      <c r="T35" s="158"/>
      <c r="U35" s="207"/>
    </row>
    <row r="36" spans="1:22" s="13" customFormat="1" ht="38.25" hidden="1" customHeight="1" x14ac:dyDescent="0.3">
      <c r="A36" s="7" t="s">
        <v>48</v>
      </c>
      <c r="B36" s="39">
        <f t="shared" ref="B36:Q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12">
        <f t="shared" si="5"/>
        <v>10177</v>
      </c>
      <c r="J36" s="12">
        <f t="shared" si="5"/>
        <v>36557</v>
      </c>
      <c r="K36" s="12">
        <f t="shared" si="5"/>
        <v>-84874</v>
      </c>
      <c r="L36" s="12">
        <f t="shared" si="5"/>
        <v>8025</v>
      </c>
      <c r="M36" s="12">
        <f t="shared" si="5"/>
        <v>-10322</v>
      </c>
      <c r="N36" s="12">
        <f t="shared" si="5"/>
        <v>122284</v>
      </c>
      <c r="O36" s="12">
        <f t="shared" si="5"/>
        <v>104927</v>
      </c>
      <c r="P36" s="12">
        <f t="shared" si="5"/>
        <v>4017</v>
      </c>
      <c r="Q36" s="11">
        <f t="shared" si="5"/>
        <v>-65961</v>
      </c>
      <c r="R36" s="250">
        <f>R15+R34</f>
        <v>-65500</v>
      </c>
      <c r="S36" s="191">
        <f>S15+S34</f>
        <v>-63500</v>
      </c>
      <c r="T36" s="158"/>
      <c r="U36" s="207"/>
    </row>
    <row r="37" spans="1:22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2"/>
      <c r="Q37" s="11"/>
      <c r="R37" s="250"/>
      <c r="S37" s="191"/>
      <c r="T37" s="158"/>
      <c r="U37" s="207"/>
    </row>
    <row r="38" spans="1:22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1">
        <v>0</v>
      </c>
      <c r="R38" s="250">
        <v>0</v>
      </c>
      <c r="S38" s="191">
        <v>0</v>
      </c>
      <c r="T38" s="155"/>
      <c r="U38" s="206"/>
    </row>
    <row r="39" spans="1:22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4"/>
      <c r="R39" s="251"/>
      <c r="S39" s="210"/>
      <c r="T39" s="205"/>
      <c r="U39" s="206"/>
    </row>
    <row r="40" spans="1:22" s="13" customFormat="1" ht="16.2" thickBot="1" x14ac:dyDescent="0.35">
      <c r="A40" s="7" t="s">
        <v>2557</v>
      </c>
      <c r="B40" s="39">
        <f t="shared" ref="B40:R40" si="6">+B38+B36</f>
        <v>-34674</v>
      </c>
      <c r="C40" s="39">
        <f t="shared" si="6"/>
        <v>76791</v>
      </c>
      <c r="D40" s="39">
        <f t="shared" si="6"/>
        <v>22713</v>
      </c>
      <c r="E40" s="39">
        <f t="shared" si="6"/>
        <v>-15009.140000000043</v>
      </c>
      <c r="F40" s="39">
        <f t="shared" si="6"/>
        <v>-35959.489999999991</v>
      </c>
      <c r="G40" s="39">
        <f t="shared" si="6"/>
        <v>-181974</v>
      </c>
      <c r="H40" s="39">
        <f t="shared" si="6"/>
        <v>13685</v>
      </c>
      <c r="I40" s="12">
        <f t="shared" si="6"/>
        <v>10177</v>
      </c>
      <c r="J40" s="12">
        <f>+J38+J36</f>
        <v>36557</v>
      </c>
      <c r="K40" s="12">
        <f t="shared" si="6"/>
        <v>-84874</v>
      </c>
      <c r="L40" s="12">
        <f t="shared" si="6"/>
        <v>8025</v>
      </c>
      <c r="M40" s="12">
        <f t="shared" si="6"/>
        <v>-10322</v>
      </c>
      <c r="N40" s="12">
        <f t="shared" si="6"/>
        <v>122284</v>
      </c>
      <c r="O40" s="12">
        <f t="shared" si="6"/>
        <v>104927</v>
      </c>
      <c r="P40" s="12">
        <f t="shared" si="6"/>
        <v>4017</v>
      </c>
      <c r="Q40" s="154">
        <f t="shared" si="6"/>
        <v>-65961</v>
      </c>
      <c r="R40" s="252">
        <f t="shared" si="6"/>
        <v>-65500</v>
      </c>
      <c r="S40" s="192">
        <f>+S38+S36</f>
        <v>-63500</v>
      </c>
      <c r="T40" s="155"/>
      <c r="U40" s="208"/>
    </row>
    <row r="41" spans="1:22" s="13" customFormat="1" x14ac:dyDescent="0.3">
      <c r="A41" s="4"/>
      <c r="B41" s="4"/>
      <c r="C41" s="4"/>
      <c r="D41" s="4"/>
      <c r="E41" s="4"/>
      <c r="F41" s="4"/>
      <c r="G41" s="4"/>
      <c r="H41" s="4"/>
      <c r="R41" s="58"/>
      <c r="S41" s="58"/>
      <c r="T41" s="196"/>
      <c r="U41" s="155"/>
    </row>
    <row r="42" spans="1:22" x14ac:dyDescent="0.3">
      <c r="R42" s="55"/>
      <c r="T42" s="155"/>
    </row>
    <row r="43" spans="1:22" x14ac:dyDescent="0.3">
      <c r="R43" s="99"/>
    </row>
    <row r="44" spans="1:22" x14ac:dyDescent="0.3">
      <c r="R44" s="222"/>
    </row>
    <row r="45" spans="1:22" x14ac:dyDescent="0.3">
      <c r="R45" s="207"/>
    </row>
    <row r="46" spans="1:22" x14ac:dyDescent="0.3">
      <c r="R46" s="222"/>
    </row>
    <row r="47" spans="1:22" s="4" customFormat="1" x14ac:dyDescent="0.3">
      <c r="R47" s="99"/>
      <c r="T47" s="196"/>
      <c r="U47" s="155"/>
      <c r="V47" s="1"/>
    </row>
    <row r="48" spans="1:22" s="4" customFormat="1" x14ac:dyDescent="0.3">
      <c r="R48" s="99"/>
      <c r="T48" s="196"/>
      <c r="U48" s="155"/>
      <c r="V48" s="1"/>
    </row>
    <row r="49" spans="18:22" s="4" customFormat="1" x14ac:dyDescent="0.3">
      <c r="R49" s="99"/>
      <c r="T49" s="196"/>
      <c r="U49" s="155"/>
      <c r="V49" s="1"/>
    </row>
    <row r="50" spans="18:22" s="4" customFormat="1" x14ac:dyDescent="0.3">
      <c r="R50" s="99"/>
      <c r="T50" s="196"/>
      <c r="U50" s="155"/>
      <c r="V50" s="1"/>
    </row>
    <row r="51" spans="18:22" x14ac:dyDescent="0.3">
      <c r="R51" s="99"/>
    </row>
    <row r="52" spans="18:22" x14ac:dyDescent="0.3">
      <c r="R52" s="223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AD486-CAF6-4CE6-9045-4B236981803B}">
  <sheetPr>
    <tabColor theme="5" tint="-0.249977111117893"/>
    <pageSetUpPr fitToPage="1"/>
  </sheetPr>
  <dimension ref="A1:V52"/>
  <sheetViews>
    <sheetView zoomScale="110" zoomScaleNormal="110" workbookViewId="0">
      <pane xSplit="1" ySplit="3" topLeftCell="M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2" width="16.44140625" style="1" customWidth="1"/>
    <col min="13" max="13" width="18" style="1" customWidth="1"/>
    <col min="14" max="17" width="16.44140625" style="1" customWidth="1"/>
    <col min="18" max="19" width="18.5546875" style="1" customWidth="1"/>
    <col min="20" max="20" width="27" style="196" customWidth="1"/>
    <col min="21" max="21" width="12" style="155" customWidth="1"/>
    <col min="22" max="16384" width="9.109375" style="1"/>
  </cols>
  <sheetData>
    <row r="1" spans="1:21" ht="31.8" thickBot="1" x14ac:dyDescent="0.65">
      <c r="A1" s="211" t="s">
        <v>486</v>
      </c>
      <c r="C1" s="224"/>
      <c r="D1" s="224"/>
      <c r="I1" s="4"/>
      <c r="J1" s="4"/>
      <c r="K1" s="294" t="s">
        <v>487</v>
      </c>
      <c r="L1" s="294"/>
      <c r="M1" s="294"/>
    </row>
    <row r="2" spans="1:21" ht="16.2" thickBot="1" x14ac:dyDescent="0.35"/>
    <row r="3" spans="1:21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227">
        <v>2023</v>
      </c>
      <c r="R3" s="253" t="s">
        <v>809</v>
      </c>
      <c r="S3" s="240" t="s">
        <v>2638</v>
      </c>
      <c r="T3" s="156"/>
      <c r="U3" s="156"/>
    </row>
    <row r="4" spans="1:21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110">
        <v>44964</v>
      </c>
      <c r="R4" s="110">
        <v>45291</v>
      </c>
      <c r="S4" s="209"/>
      <c r="T4" s="156"/>
      <c r="U4" s="156"/>
    </row>
    <row r="5" spans="1:21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37"/>
      <c r="R5" s="111"/>
      <c r="S5" s="8"/>
      <c r="T5" s="155"/>
    </row>
    <row r="6" spans="1:21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10">
        <v>225734</v>
      </c>
      <c r="Q6" s="9">
        <v>16281</v>
      </c>
      <c r="R6" s="249">
        <v>220000</v>
      </c>
      <c r="S6" s="190">
        <v>220000</v>
      </c>
      <c r="T6" s="217" t="s">
        <v>2605</v>
      </c>
    </row>
    <row r="7" spans="1:21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10">
        <v>187000</v>
      </c>
      <c r="Q7" s="9">
        <v>0</v>
      </c>
      <c r="R7" s="249">
        <v>185000</v>
      </c>
      <c r="S7" s="190">
        <v>185000</v>
      </c>
      <c r="T7" s="236" t="s">
        <v>2644</v>
      </c>
    </row>
    <row r="8" spans="1:21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10">
        <v>83434</v>
      </c>
      <c r="Q8" s="9">
        <v>0</v>
      </c>
      <c r="R8" s="249">
        <v>85000</v>
      </c>
      <c r="S8" s="190">
        <v>85000</v>
      </c>
      <c r="T8" s="236"/>
    </row>
    <row r="9" spans="1:21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10">
        <v>33422</v>
      </c>
      <c r="Q9" s="9">
        <v>0</v>
      </c>
      <c r="R9" s="249">
        <v>30000</v>
      </c>
      <c r="S9" s="190">
        <v>30000</v>
      </c>
      <c r="T9" s="236" t="s">
        <v>2621</v>
      </c>
    </row>
    <row r="10" spans="1:21" ht="57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10">
        <v>109900</v>
      </c>
      <c r="Q10" s="9">
        <v>0</v>
      </c>
      <c r="R10" s="249">
        <v>80000</v>
      </c>
      <c r="S10" s="190">
        <v>80000</v>
      </c>
      <c r="T10" s="217" t="s">
        <v>2645</v>
      </c>
    </row>
    <row r="11" spans="1:21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10">
        <v>145695</v>
      </c>
      <c r="Q11" s="9">
        <v>0</v>
      </c>
      <c r="R11" s="249">
        <v>150000</v>
      </c>
      <c r="S11" s="190">
        <v>150000</v>
      </c>
      <c r="T11" s="155"/>
    </row>
    <row r="12" spans="1:21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10"/>
      <c r="Q12" s="9"/>
      <c r="R12" s="249">
        <v>0</v>
      </c>
      <c r="S12" s="190">
        <v>0</v>
      </c>
      <c r="T12" s="155"/>
    </row>
    <row r="13" spans="1:21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10"/>
      <c r="Q13" s="9"/>
      <c r="R13" s="249">
        <v>0</v>
      </c>
      <c r="S13" s="190">
        <v>0</v>
      </c>
      <c r="T13" s="155"/>
    </row>
    <row r="14" spans="1:21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10">
        <v>46439</v>
      </c>
      <c r="Q14" s="9">
        <v>-6472</v>
      </c>
      <c r="R14" s="249">
        <v>50000</v>
      </c>
      <c r="S14" s="190">
        <v>50000</v>
      </c>
      <c r="T14" s="236" t="s">
        <v>2646</v>
      </c>
    </row>
    <row r="15" spans="1:21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 t="shared" ref="L15:Q15" si="2">SUM(L6:L14)</f>
        <v>602111</v>
      </c>
      <c r="M15" s="12">
        <f t="shared" si="2"/>
        <v>627974</v>
      </c>
      <c r="N15" s="12">
        <f t="shared" si="2"/>
        <v>667900</v>
      </c>
      <c r="O15" s="12">
        <f t="shared" si="2"/>
        <v>701882</v>
      </c>
      <c r="P15" s="12">
        <f t="shared" si="2"/>
        <v>831624</v>
      </c>
      <c r="Q15" s="11">
        <f t="shared" si="2"/>
        <v>9809</v>
      </c>
      <c r="R15" s="250">
        <f t="shared" ref="R15" si="3">SUM(R6:R14)</f>
        <v>800000</v>
      </c>
      <c r="S15" s="191">
        <f t="shared" ref="S15" si="4">SUM(S6:S14)</f>
        <v>800000</v>
      </c>
      <c r="T15" s="155"/>
    </row>
    <row r="16" spans="1:21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Q16" s="111"/>
      <c r="R16" s="249"/>
      <c r="S16" s="190"/>
      <c r="T16" s="155"/>
    </row>
    <row r="17" spans="1:22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Q17" s="112"/>
      <c r="R17" s="249"/>
      <c r="S17" s="190"/>
      <c r="T17" s="159"/>
      <c r="U17" s="159"/>
    </row>
    <row r="18" spans="1:22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10">
        <v>-181432</v>
      </c>
      <c r="Q18" s="9">
        <v>-38990</v>
      </c>
      <c r="R18" s="249">
        <v>-180000</v>
      </c>
      <c r="S18" s="190">
        <v>-180000</v>
      </c>
      <c r="T18" s="157" t="s">
        <v>2572</v>
      </c>
      <c r="U18" s="197"/>
    </row>
    <row r="19" spans="1:22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10">
        <v>-133504</v>
      </c>
      <c r="Q19" s="9">
        <v>-5813</v>
      </c>
      <c r="R19" s="249">
        <v>-130000</v>
      </c>
      <c r="S19" s="190">
        <v>-130000</v>
      </c>
      <c r="T19" s="157"/>
      <c r="U19" s="197"/>
      <c r="V19" s="55"/>
    </row>
    <row r="20" spans="1:22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10">
        <v>-519</v>
      </c>
      <c r="Q20" s="9">
        <v>0</v>
      </c>
      <c r="R20" s="249">
        <v>-5000</v>
      </c>
      <c r="S20" s="190">
        <v>-8000</v>
      </c>
      <c r="T20" s="157"/>
      <c r="U20" s="197"/>
    </row>
    <row r="21" spans="1:22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10">
        <v>-29952</v>
      </c>
      <c r="Q21" s="9">
        <v>0</v>
      </c>
      <c r="R21" s="249">
        <v>-30000</v>
      </c>
      <c r="S21" s="190">
        <v>-30000</v>
      </c>
      <c r="T21" s="157" t="s">
        <v>2529</v>
      </c>
      <c r="U21" s="197"/>
    </row>
    <row r="22" spans="1:22" ht="24.6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10">
        <v>-92029</v>
      </c>
      <c r="Q22" s="9">
        <v>0</v>
      </c>
      <c r="R22" s="249">
        <v>-90000</v>
      </c>
      <c r="S22" s="190">
        <v>-90000</v>
      </c>
      <c r="T22" s="157" t="s">
        <v>2647</v>
      </c>
      <c r="U22" s="197"/>
    </row>
    <row r="23" spans="1:22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10">
        <v>-79144</v>
      </c>
      <c r="Q23" s="9">
        <v>-250</v>
      </c>
      <c r="R23" s="249">
        <v>-80000</v>
      </c>
      <c r="S23" s="190">
        <v>-80000</v>
      </c>
      <c r="T23" s="157" t="s">
        <v>2572</v>
      </c>
      <c r="U23" s="197"/>
    </row>
    <row r="24" spans="1:22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10">
        <v>-1231</v>
      </c>
      <c r="Q24" s="9">
        <v>0</v>
      </c>
      <c r="R24" s="249">
        <v>-5000</v>
      </c>
      <c r="S24" s="190">
        <v>-5000</v>
      </c>
      <c r="T24" s="155"/>
      <c r="U24" s="197"/>
    </row>
    <row r="25" spans="1:22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10">
        <v>-22800</v>
      </c>
      <c r="Q25" s="9">
        <v>0</v>
      </c>
      <c r="R25" s="249">
        <v>-25000</v>
      </c>
      <c r="S25" s="190">
        <v>-25000</v>
      </c>
      <c r="T25" s="157" t="s">
        <v>2610</v>
      </c>
      <c r="U25" s="197"/>
    </row>
    <row r="26" spans="1:22" ht="24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10">
        <v>-30440</v>
      </c>
      <c r="Q26" s="9">
        <v>-2000</v>
      </c>
      <c r="R26" s="249">
        <v>-35000</v>
      </c>
      <c r="S26" s="190">
        <v>-35000</v>
      </c>
      <c r="T26" s="157" t="s">
        <v>2611</v>
      </c>
      <c r="U26" s="197"/>
    </row>
    <row r="27" spans="1:22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10">
        <v>-5340</v>
      </c>
      <c r="Q27" s="9">
        <v>0</v>
      </c>
      <c r="R27" s="249">
        <v>-10000</v>
      </c>
      <c r="S27" s="190">
        <v>-10000</v>
      </c>
      <c r="T27" s="157"/>
      <c r="U27" s="197"/>
    </row>
    <row r="28" spans="1:22" ht="34.799999999999997" customHeight="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10">
        <f>-55750</f>
        <v>-55750</v>
      </c>
      <c r="Q28" s="9">
        <v>0</v>
      </c>
      <c r="R28" s="249">
        <v>-75000</v>
      </c>
      <c r="S28" s="190">
        <v>-75000</v>
      </c>
      <c r="T28" s="217" t="s">
        <v>2648</v>
      </c>
      <c r="U28" s="197"/>
    </row>
    <row r="29" spans="1:22" ht="24.6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10">
        <f>-19000-4000</f>
        <v>-23000</v>
      </c>
      <c r="Q29" s="9">
        <v>0</v>
      </c>
      <c r="R29" s="249">
        <v>-20000</v>
      </c>
      <c r="S29" s="190">
        <v>-20000</v>
      </c>
      <c r="T29" s="157" t="s">
        <v>2648</v>
      </c>
    </row>
    <row r="30" spans="1:22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10">
        <v>-500</v>
      </c>
      <c r="Q30" s="9">
        <v>0</v>
      </c>
      <c r="R30" s="249">
        <v>-500</v>
      </c>
      <c r="S30" s="190">
        <v>-500</v>
      </c>
      <c r="T30" s="157"/>
    </row>
    <row r="31" spans="1:22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10">
        <v>-166907</v>
      </c>
      <c r="Q31" s="9">
        <v>0</v>
      </c>
      <c r="R31" s="249">
        <v>-170000</v>
      </c>
      <c r="S31" s="190">
        <v>-170000</v>
      </c>
      <c r="T31" s="157" t="s">
        <v>2649</v>
      </c>
      <c r="U31" s="197"/>
    </row>
    <row r="32" spans="1:22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10"/>
      <c r="Q32" s="9"/>
      <c r="R32" s="249">
        <v>0</v>
      </c>
      <c r="S32" s="190">
        <v>0</v>
      </c>
      <c r="T32" s="155"/>
      <c r="U32" s="197"/>
    </row>
    <row r="33" spans="1:22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10">
        <v>-5059</v>
      </c>
      <c r="Q33" s="9">
        <f>-750-1634</f>
        <v>-2384</v>
      </c>
      <c r="R33" s="249">
        <v>-5000</v>
      </c>
      <c r="S33" s="190">
        <v>-5000</v>
      </c>
      <c r="T33" s="157" t="s">
        <v>2615</v>
      </c>
      <c r="U33" s="197"/>
    </row>
    <row r="34" spans="1:22" x14ac:dyDescent="0.3">
      <c r="A34" s="7" t="s">
        <v>2555</v>
      </c>
      <c r="B34" s="39">
        <f t="shared" ref="B34:Q34" si="5">SUM(B18:B33)</f>
        <v>-218877</v>
      </c>
      <c r="C34" s="39">
        <f t="shared" si="5"/>
        <v>-258934</v>
      </c>
      <c r="D34" s="39">
        <f t="shared" si="5"/>
        <v>-187844</v>
      </c>
      <c r="E34" s="39">
        <f t="shared" si="5"/>
        <v>-247088.42</v>
      </c>
      <c r="F34" s="39">
        <f t="shared" si="5"/>
        <v>-325572.77</v>
      </c>
      <c r="G34" s="39">
        <f t="shared" si="5"/>
        <v>-457445</v>
      </c>
      <c r="H34" s="39">
        <f t="shared" si="5"/>
        <v>-467066</v>
      </c>
      <c r="I34" s="39">
        <f t="shared" si="5"/>
        <v>-618159</v>
      </c>
      <c r="J34" s="39">
        <f t="shared" si="5"/>
        <v>-584733</v>
      </c>
      <c r="K34" s="12">
        <f t="shared" si="5"/>
        <v>-734998</v>
      </c>
      <c r="L34" s="12">
        <f t="shared" si="5"/>
        <v>-594086</v>
      </c>
      <c r="M34" s="12">
        <f t="shared" si="5"/>
        <v>-638296</v>
      </c>
      <c r="N34" s="12">
        <f t="shared" si="5"/>
        <v>-545616</v>
      </c>
      <c r="O34" s="12">
        <f t="shared" ref="O34" si="6">SUM(O18:O33)</f>
        <v>-596955</v>
      </c>
      <c r="P34" s="12">
        <f t="shared" si="5"/>
        <v>-827607</v>
      </c>
      <c r="Q34" s="11">
        <f t="shared" si="5"/>
        <v>-49437</v>
      </c>
      <c r="R34" s="250">
        <f>SUM(R18:R33)</f>
        <v>-860500</v>
      </c>
      <c r="S34" s="191">
        <f>SUM(S18:S33)</f>
        <v>-863500</v>
      </c>
      <c r="T34" s="205"/>
      <c r="U34" s="206"/>
    </row>
    <row r="35" spans="1:22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46"/>
      <c r="Q35" s="113"/>
      <c r="R35" s="250"/>
      <c r="S35" s="191"/>
      <c r="T35" s="158"/>
      <c r="U35" s="207"/>
    </row>
    <row r="36" spans="1:22" s="13" customFormat="1" ht="38.25" hidden="1" customHeight="1" x14ac:dyDescent="0.3">
      <c r="A36" s="7" t="s">
        <v>48</v>
      </c>
      <c r="B36" s="39">
        <f t="shared" ref="B36:Q36" si="7">+B34+B15</f>
        <v>-24674</v>
      </c>
      <c r="C36" s="39">
        <f t="shared" si="7"/>
        <v>86791</v>
      </c>
      <c r="D36" s="39">
        <f t="shared" si="7"/>
        <v>32713</v>
      </c>
      <c r="E36" s="39">
        <f t="shared" si="7"/>
        <v>-5009.1400000000431</v>
      </c>
      <c r="F36" s="39">
        <f t="shared" si="7"/>
        <v>-25959.489999999991</v>
      </c>
      <c r="G36" s="39">
        <f t="shared" si="7"/>
        <v>-167525</v>
      </c>
      <c r="H36" s="39">
        <f t="shared" si="7"/>
        <v>13685</v>
      </c>
      <c r="I36" s="12">
        <f t="shared" si="7"/>
        <v>10177</v>
      </c>
      <c r="J36" s="12">
        <f t="shared" si="7"/>
        <v>36557</v>
      </c>
      <c r="K36" s="12">
        <f t="shared" si="7"/>
        <v>-84874</v>
      </c>
      <c r="L36" s="12">
        <f t="shared" si="7"/>
        <v>8025</v>
      </c>
      <c r="M36" s="12">
        <f t="shared" si="7"/>
        <v>-10322</v>
      </c>
      <c r="N36" s="12">
        <f t="shared" si="7"/>
        <v>122284</v>
      </c>
      <c r="O36" s="12">
        <f t="shared" si="7"/>
        <v>104927</v>
      </c>
      <c r="P36" s="12">
        <f t="shared" si="7"/>
        <v>4017</v>
      </c>
      <c r="Q36" s="11">
        <f t="shared" si="7"/>
        <v>-39628</v>
      </c>
      <c r="R36" s="250">
        <f>R15+R34</f>
        <v>-60500</v>
      </c>
      <c r="S36" s="191">
        <f>S15+S34</f>
        <v>-63500</v>
      </c>
      <c r="T36" s="158"/>
      <c r="U36" s="207"/>
    </row>
    <row r="37" spans="1:22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2"/>
      <c r="Q37" s="11"/>
      <c r="R37" s="250"/>
      <c r="S37" s="191"/>
      <c r="T37" s="158"/>
      <c r="U37" s="207"/>
    </row>
    <row r="38" spans="1:22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1">
        <v>0</v>
      </c>
      <c r="R38" s="250">
        <v>0</v>
      </c>
      <c r="S38" s="191">
        <v>0</v>
      </c>
      <c r="T38" s="155"/>
      <c r="U38" s="206"/>
    </row>
    <row r="39" spans="1:22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4"/>
      <c r="R39" s="251"/>
      <c r="S39" s="210"/>
      <c r="T39" s="205"/>
      <c r="U39" s="206"/>
    </row>
    <row r="40" spans="1:22" s="13" customFormat="1" ht="16.2" thickBot="1" x14ac:dyDescent="0.35">
      <c r="A40" s="7" t="s">
        <v>2557</v>
      </c>
      <c r="B40" s="39">
        <f t="shared" ref="B40:R40" si="8">+B38+B36</f>
        <v>-34674</v>
      </c>
      <c r="C40" s="39">
        <f t="shared" si="8"/>
        <v>76791</v>
      </c>
      <c r="D40" s="39">
        <f t="shared" si="8"/>
        <v>22713</v>
      </c>
      <c r="E40" s="39">
        <f t="shared" si="8"/>
        <v>-15009.140000000043</v>
      </c>
      <c r="F40" s="39">
        <f t="shared" si="8"/>
        <v>-35959.489999999991</v>
      </c>
      <c r="G40" s="39">
        <f t="shared" si="8"/>
        <v>-181974</v>
      </c>
      <c r="H40" s="39">
        <f t="shared" si="8"/>
        <v>13685</v>
      </c>
      <c r="I40" s="12">
        <f t="shared" si="8"/>
        <v>10177</v>
      </c>
      <c r="J40" s="12">
        <f>+J38+J36</f>
        <v>36557</v>
      </c>
      <c r="K40" s="12">
        <f t="shared" si="8"/>
        <v>-84874</v>
      </c>
      <c r="L40" s="12">
        <f t="shared" si="8"/>
        <v>8025</v>
      </c>
      <c r="M40" s="12">
        <f t="shared" si="8"/>
        <v>-10322</v>
      </c>
      <c r="N40" s="12">
        <f t="shared" si="8"/>
        <v>122284</v>
      </c>
      <c r="O40" s="12">
        <f t="shared" si="8"/>
        <v>104927</v>
      </c>
      <c r="P40" s="12">
        <f t="shared" si="8"/>
        <v>4017</v>
      </c>
      <c r="Q40" s="154">
        <f t="shared" si="8"/>
        <v>-39628</v>
      </c>
      <c r="R40" s="252">
        <f t="shared" si="8"/>
        <v>-60500</v>
      </c>
      <c r="S40" s="192">
        <f>+S38+S36</f>
        <v>-63500</v>
      </c>
      <c r="T40" s="155"/>
      <c r="U40" s="208"/>
    </row>
    <row r="41" spans="1:22" s="13" customFormat="1" x14ac:dyDescent="0.3">
      <c r="A41" s="4"/>
      <c r="B41" s="4"/>
      <c r="C41" s="4"/>
      <c r="D41" s="4"/>
      <c r="E41" s="4"/>
      <c r="F41" s="4"/>
      <c r="G41" s="4"/>
      <c r="H41" s="4"/>
      <c r="R41" s="58"/>
      <c r="S41" s="58"/>
      <c r="T41" s="196"/>
      <c r="U41" s="155"/>
    </row>
    <row r="42" spans="1:22" x14ac:dyDescent="0.3">
      <c r="R42" s="55"/>
      <c r="T42" s="155"/>
    </row>
    <row r="43" spans="1:22" x14ac:dyDescent="0.3">
      <c r="R43" s="99"/>
    </row>
    <row r="44" spans="1:22" x14ac:dyDescent="0.3">
      <c r="R44" s="222"/>
    </row>
    <row r="45" spans="1:22" x14ac:dyDescent="0.3">
      <c r="R45" s="207"/>
    </row>
    <row r="46" spans="1:22" x14ac:dyDescent="0.3">
      <c r="R46" s="222"/>
    </row>
    <row r="47" spans="1:22" s="4" customFormat="1" x14ac:dyDescent="0.3">
      <c r="R47" s="99"/>
      <c r="T47" s="196"/>
      <c r="U47" s="155"/>
      <c r="V47" s="1"/>
    </row>
    <row r="48" spans="1:22" s="4" customFormat="1" x14ac:dyDescent="0.3">
      <c r="R48" s="99"/>
      <c r="T48" s="196"/>
      <c r="U48" s="155"/>
      <c r="V48" s="1"/>
    </row>
    <row r="49" spans="18:22" s="4" customFormat="1" x14ac:dyDescent="0.3">
      <c r="R49" s="99"/>
      <c r="T49" s="196"/>
      <c r="U49" s="155"/>
      <c r="V49" s="1"/>
    </row>
    <row r="50" spans="18:22" s="4" customFormat="1" x14ac:dyDescent="0.3">
      <c r="R50" s="99"/>
      <c r="T50" s="196"/>
      <c r="U50" s="155"/>
      <c r="V50" s="1"/>
    </row>
    <row r="51" spans="18:22" x14ac:dyDescent="0.3">
      <c r="R51" s="99"/>
    </row>
    <row r="52" spans="18:22" x14ac:dyDescent="0.3">
      <c r="R52" s="223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12710-6DF2-4324-AE03-318DBB47597A}">
  <sheetPr>
    <tabColor theme="5" tint="-0.249977111117893"/>
    <pageSetUpPr fitToPage="1"/>
  </sheetPr>
  <dimension ref="A1:T50"/>
  <sheetViews>
    <sheetView zoomScale="120" zoomScaleNormal="120" workbookViewId="0">
      <pane xSplit="1" ySplit="3" topLeftCell="L4" activePane="bottomRight" state="frozen"/>
      <selection pane="topRight" activeCell="B1" sqref="B1"/>
      <selection pane="bottomLeft" activeCell="A4" sqref="A4"/>
      <selection pane="bottomRight" activeCell="Q40" sqref="Q40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1" width="16.44140625" style="1" hidden="1" customWidth="1"/>
    <col min="12" max="14" width="16.44140625" style="1" customWidth="1"/>
    <col min="15" max="16" width="18.44140625" style="1" customWidth="1"/>
    <col min="17" max="17" width="18.5546875" style="1" customWidth="1"/>
    <col min="18" max="18" width="27" style="196" customWidth="1"/>
    <col min="19" max="19" width="12" style="155" customWidth="1"/>
    <col min="20" max="16384" width="9.109375" style="1"/>
  </cols>
  <sheetData>
    <row r="1" spans="1:19" ht="31.8" thickBot="1" x14ac:dyDescent="0.65">
      <c r="A1" s="211" t="s">
        <v>486</v>
      </c>
      <c r="B1" s="254"/>
      <c r="C1" s="255"/>
      <c r="D1" s="255"/>
      <c r="G1" s="1"/>
      <c r="I1" s="4"/>
      <c r="K1" s="291" t="s">
        <v>487</v>
      </c>
      <c r="L1" s="291"/>
      <c r="M1" s="291"/>
      <c r="N1" s="291"/>
      <c r="O1" s="291"/>
      <c r="P1" s="291"/>
      <c r="Q1" s="292"/>
    </row>
    <row r="2" spans="1:19" ht="16.2" thickBot="1" x14ac:dyDescent="0.35"/>
    <row r="3" spans="1:19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37">
        <v>2016</v>
      </c>
      <c r="K3" s="241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240" t="s">
        <v>2638</v>
      </c>
      <c r="R3" s="156"/>
      <c r="S3" s="156"/>
    </row>
    <row r="4" spans="1:19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263"/>
      <c r="P4" s="267"/>
      <c r="Q4" s="209"/>
      <c r="R4" s="156"/>
      <c r="S4" s="156"/>
    </row>
    <row r="5" spans="1:19" ht="16.2" thickBot="1" x14ac:dyDescent="0.35">
      <c r="A5" s="32" t="s">
        <v>19</v>
      </c>
      <c r="B5" s="10"/>
      <c r="C5" s="7"/>
      <c r="D5" s="7"/>
      <c r="I5" s="4"/>
      <c r="J5" s="4"/>
      <c r="K5" s="262"/>
      <c r="L5" s="262"/>
      <c r="M5" s="262"/>
      <c r="N5" s="262"/>
      <c r="O5" s="264"/>
      <c r="P5" s="237"/>
      <c r="Q5" s="8"/>
      <c r="R5" s="155"/>
    </row>
    <row r="6" spans="1:19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38">
        <v>183801</v>
      </c>
      <c r="L6" s="38">
        <v>157419</v>
      </c>
      <c r="M6" s="38">
        <v>174547</v>
      </c>
      <c r="N6" s="38">
        <v>201753</v>
      </c>
      <c r="O6" s="38">
        <v>201232</v>
      </c>
      <c r="P6" s="9">
        <v>225734</v>
      </c>
      <c r="Q6" s="190">
        <v>220000</v>
      </c>
      <c r="R6" s="217"/>
    </row>
    <row r="7" spans="1:19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38">
        <v>131700</v>
      </c>
      <c r="L7" s="38">
        <v>136075</v>
      </c>
      <c r="M7" s="38">
        <v>171450</v>
      </c>
      <c r="N7" s="38">
        <v>179900</v>
      </c>
      <c r="O7" s="38">
        <v>165825</v>
      </c>
      <c r="P7" s="9">
        <v>187000</v>
      </c>
      <c r="Q7" s="190">
        <v>185000</v>
      </c>
      <c r="R7" s="236"/>
    </row>
    <row r="8" spans="1:19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38">
        <v>96525</v>
      </c>
      <c r="L8" s="38">
        <v>71440</v>
      </c>
      <c r="M8" s="38">
        <v>94105</v>
      </c>
      <c r="N8" s="38">
        <v>36227</v>
      </c>
      <c r="O8" s="38">
        <v>38377</v>
      </c>
      <c r="P8" s="9">
        <v>83434</v>
      </c>
      <c r="Q8" s="190">
        <v>85000</v>
      </c>
      <c r="R8" s="155"/>
    </row>
    <row r="9" spans="1:19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38">
        <v>13700</v>
      </c>
      <c r="L9" s="38">
        <v>18200</v>
      </c>
      <c r="M9" s="38">
        <v>12988</v>
      </c>
      <c r="N9" s="38">
        <v>20320</v>
      </c>
      <c r="O9" s="38">
        <v>16440</v>
      </c>
      <c r="P9" s="9">
        <v>33422</v>
      </c>
      <c r="Q9" s="190">
        <v>30000</v>
      </c>
      <c r="R9" s="217"/>
    </row>
    <row r="10" spans="1:19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38">
        <v>104297</v>
      </c>
      <c r="L10" s="38">
        <v>93420</v>
      </c>
      <c r="M10" s="38">
        <v>63900</v>
      </c>
      <c r="N10" s="38">
        <v>40260</v>
      </c>
      <c r="O10" s="38">
        <v>93603</v>
      </c>
      <c r="P10" s="9">
        <v>109900</v>
      </c>
      <c r="Q10" s="190">
        <v>80000</v>
      </c>
      <c r="R10" s="217"/>
    </row>
    <row r="11" spans="1:19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38">
        <v>85200</v>
      </c>
      <c r="L11" s="38">
        <v>69517</v>
      </c>
      <c r="M11" s="38">
        <v>89680</v>
      </c>
      <c r="N11" s="38">
        <v>95633</v>
      </c>
      <c r="O11" s="38">
        <v>124778</v>
      </c>
      <c r="P11" s="9">
        <v>145695</v>
      </c>
      <c r="Q11" s="190">
        <v>150000</v>
      </c>
      <c r="R11" s="155"/>
    </row>
    <row r="12" spans="1:19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38">
        <v>5455</v>
      </c>
      <c r="L12" s="38">
        <v>0</v>
      </c>
      <c r="M12" s="38">
        <v>0</v>
      </c>
      <c r="N12" s="38">
        <v>0</v>
      </c>
      <c r="O12" s="38"/>
      <c r="P12" s="9"/>
      <c r="Q12" s="190">
        <v>0</v>
      </c>
      <c r="R12" s="155"/>
    </row>
    <row r="13" spans="1:19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/>
      <c r="P13" s="9"/>
      <c r="Q13" s="190">
        <v>0</v>
      </c>
      <c r="R13" s="155"/>
    </row>
    <row r="14" spans="1:19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38">
        <v>29446</v>
      </c>
      <c r="L14" s="38">
        <v>56040</v>
      </c>
      <c r="M14" s="38">
        <v>21304</v>
      </c>
      <c r="N14" s="38">
        <v>93807</v>
      </c>
      <c r="O14" s="38">
        <v>61627</v>
      </c>
      <c r="P14" s="9">
        <v>46439</v>
      </c>
      <c r="Q14" s="190">
        <v>50000</v>
      </c>
      <c r="R14" s="217"/>
    </row>
    <row r="15" spans="1:19" x14ac:dyDescent="0.3">
      <c r="A15" s="7" t="s">
        <v>2554</v>
      </c>
      <c r="B15" s="39">
        <f t="shared" ref="B15:Q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si="0"/>
        <v>621290</v>
      </c>
      <c r="K15" s="39">
        <f t="shared" si="0"/>
        <v>650124</v>
      </c>
      <c r="L15" s="39">
        <f>SUM(L6:L14)</f>
        <v>602111</v>
      </c>
      <c r="M15" s="39">
        <v>627974</v>
      </c>
      <c r="N15" s="39">
        <f>SUM(N6:N14)</f>
        <v>667900</v>
      </c>
      <c r="O15" s="39">
        <f>SUM(O6:O14)</f>
        <v>701882</v>
      </c>
      <c r="P15" s="11">
        <f>SUM(P6:P14)</f>
        <v>831624</v>
      </c>
      <c r="Q15" s="191">
        <f t="shared" si="0"/>
        <v>800000</v>
      </c>
      <c r="R15" s="155"/>
    </row>
    <row r="16" spans="1:19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K16" s="40"/>
      <c r="P16" s="111"/>
      <c r="Q16" s="190"/>
      <c r="R16" s="155"/>
    </row>
    <row r="17" spans="1:20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K17" s="41"/>
      <c r="P17" s="112"/>
      <c r="Q17" s="190"/>
      <c r="R17" s="159"/>
      <c r="S17" s="159"/>
    </row>
    <row r="18" spans="1:20" x14ac:dyDescent="0.3">
      <c r="A18" s="4" t="s">
        <v>46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38">
        <v>-134562</v>
      </c>
      <c r="L18" s="38">
        <v>-150140</v>
      </c>
      <c r="M18" s="38">
        <v>-104717</v>
      </c>
      <c r="N18" s="38">
        <v>-122818</v>
      </c>
      <c r="O18" s="38">
        <v>-159842</v>
      </c>
      <c r="P18" s="9">
        <v>-181432</v>
      </c>
      <c r="Q18" s="190">
        <v>-180000</v>
      </c>
      <c r="R18" s="155"/>
      <c r="S18" s="197"/>
      <c r="T18" s="55"/>
    </row>
    <row r="19" spans="1:20" x14ac:dyDescent="0.3">
      <c r="A19" s="4" t="s">
        <v>45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38">
        <v>-201761</v>
      </c>
      <c r="L19" s="38">
        <v>-70226</v>
      </c>
      <c r="M19" s="38">
        <v>-120875</v>
      </c>
      <c r="N19" s="38">
        <v>-81372</v>
      </c>
      <c r="O19" s="38">
        <v>-100638</v>
      </c>
      <c r="P19" s="9">
        <v>-133504</v>
      </c>
      <c r="Q19" s="190">
        <v>-130000</v>
      </c>
      <c r="R19" s="157"/>
      <c r="S19" s="197"/>
    </row>
    <row r="20" spans="1:20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38">
        <v>-17887</v>
      </c>
      <c r="L20" s="38">
        <v>-4522</v>
      </c>
      <c r="M20" s="38">
        <v>0</v>
      </c>
      <c r="N20" s="38">
        <v>-469</v>
      </c>
      <c r="O20" s="38">
        <v>-225</v>
      </c>
      <c r="P20" s="9">
        <v>-519</v>
      </c>
      <c r="Q20" s="190">
        <v>-8000</v>
      </c>
      <c r="R20" s="157" t="s">
        <v>2639</v>
      </c>
      <c r="S20" s="197"/>
    </row>
    <row r="21" spans="1:20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38">
        <v>-38345</v>
      </c>
      <c r="L21" s="38">
        <v>-52120</v>
      </c>
      <c r="M21" s="38">
        <v>-70704</v>
      </c>
      <c r="N21" s="38">
        <v>-10498</v>
      </c>
      <c r="O21" s="38">
        <v>-17059</v>
      </c>
      <c r="P21" s="9">
        <v>-29952</v>
      </c>
      <c r="Q21" s="190">
        <v>-30000</v>
      </c>
      <c r="R21" s="155"/>
      <c r="S21" s="197"/>
    </row>
    <row r="22" spans="1:20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38">
        <v>-40515</v>
      </c>
      <c r="L22" s="38">
        <v>-23150</v>
      </c>
      <c r="M22" s="38">
        <v>-39500</v>
      </c>
      <c r="N22" s="38">
        <v>-35192</v>
      </c>
      <c r="O22" s="38">
        <v>-26250</v>
      </c>
      <c r="P22" s="9">
        <v>-92029</v>
      </c>
      <c r="Q22" s="190">
        <v>-90000</v>
      </c>
      <c r="R22" s="155"/>
      <c r="S22" s="197"/>
    </row>
    <row r="23" spans="1:20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38">
        <v>-76389</v>
      </c>
      <c r="L23" s="38">
        <v>-81515</v>
      </c>
      <c r="M23" s="38">
        <v>-88679</v>
      </c>
      <c r="N23" s="38">
        <v>-72732</v>
      </c>
      <c r="O23" s="38">
        <v>-58100</v>
      </c>
      <c r="P23" s="9">
        <v>-79144</v>
      </c>
      <c r="Q23" s="190">
        <v>-80000</v>
      </c>
      <c r="R23" s="157"/>
      <c r="S23" s="197"/>
    </row>
    <row r="24" spans="1:20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38">
        <v>-2500</v>
      </c>
      <c r="L24" s="38">
        <v>-3050</v>
      </c>
      <c r="M24" s="38">
        <v>-3860</v>
      </c>
      <c r="N24" s="38">
        <v>-7420</v>
      </c>
      <c r="O24" s="38">
        <v>-4750</v>
      </c>
      <c r="P24" s="9">
        <v>-1231</v>
      </c>
      <c r="Q24" s="190">
        <v>-5000</v>
      </c>
      <c r="R24" s="155"/>
      <c r="S24" s="197"/>
    </row>
    <row r="25" spans="1:20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38">
        <v>-23700</v>
      </c>
      <c r="L25" s="38">
        <v>-23490</v>
      </c>
      <c r="M25" s="38">
        <v>-20500</v>
      </c>
      <c r="N25" s="38">
        <v>-6700</v>
      </c>
      <c r="O25" s="38">
        <v>-4050</v>
      </c>
      <c r="P25" s="9">
        <v>-22800</v>
      </c>
      <c r="Q25" s="190">
        <v>-25000</v>
      </c>
      <c r="R25" s="157"/>
      <c r="S25" s="197"/>
    </row>
    <row r="26" spans="1:20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38">
        <v>-30550</v>
      </c>
      <c r="L26" s="38">
        <v>-32750</v>
      </c>
      <c r="M26" s="38">
        <v>-41400</v>
      </c>
      <c r="N26" s="38">
        <v>-35920</v>
      </c>
      <c r="O26" s="38">
        <v>-14840</v>
      </c>
      <c r="P26" s="9">
        <v>-30440</v>
      </c>
      <c r="Q26" s="190">
        <v>-35000</v>
      </c>
      <c r="R26" s="157"/>
      <c r="S26" s="197"/>
    </row>
    <row r="27" spans="1:20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38">
        <v>-14710</v>
      </c>
      <c r="L27" s="38">
        <v>-18980</v>
      </c>
      <c r="M27" s="38">
        <v>-15500</v>
      </c>
      <c r="N27" s="38">
        <v>-14350</v>
      </c>
      <c r="O27" s="38">
        <v>-15370</v>
      </c>
      <c r="P27" s="9">
        <v>-5340</v>
      </c>
      <c r="Q27" s="190">
        <v>-10000</v>
      </c>
      <c r="R27" s="155"/>
      <c r="S27" s="197"/>
    </row>
    <row r="28" spans="1:20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38">
        <v>-39400</v>
      </c>
      <c r="L28" s="38">
        <v>-28600</v>
      </c>
      <c r="M28" s="38">
        <v>-18000</v>
      </c>
      <c r="N28" s="38">
        <v>-25600</v>
      </c>
      <c r="O28" s="38">
        <v>-53500</v>
      </c>
      <c r="P28" s="9">
        <v>-55750</v>
      </c>
      <c r="Q28" s="190">
        <v>-75000</v>
      </c>
      <c r="R28" s="157"/>
      <c r="S28" s="197"/>
    </row>
    <row r="29" spans="1:20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38">
        <v>-10000</v>
      </c>
      <c r="L29" s="38">
        <v>-14500</v>
      </c>
      <c r="M29" s="38">
        <v>-12500</v>
      </c>
      <c r="N29" s="38">
        <v>-14000</v>
      </c>
      <c r="O29" s="38">
        <v>-9500</v>
      </c>
      <c r="P29" s="9">
        <v>-23000</v>
      </c>
      <c r="Q29" s="190">
        <v>-20000</v>
      </c>
      <c r="R29" s="157"/>
    </row>
    <row r="30" spans="1:20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38">
        <v>-3000</v>
      </c>
      <c r="L30" s="38">
        <v>-500</v>
      </c>
      <c r="M30" s="38">
        <v>-500</v>
      </c>
      <c r="N30" s="38">
        <v>-500</v>
      </c>
      <c r="O30" s="38">
        <v>-500</v>
      </c>
      <c r="P30" s="9">
        <v>-500</v>
      </c>
      <c r="Q30" s="190">
        <v>-500</v>
      </c>
      <c r="R30" s="157"/>
    </row>
    <row r="31" spans="1:20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38">
        <v>-90569</v>
      </c>
      <c r="L31" s="38">
        <v>-87302</v>
      </c>
      <c r="M31" s="38">
        <v>-94382</v>
      </c>
      <c r="N31" s="38">
        <v>-111217</v>
      </c>
      <c r="O31" s="38">
        <v>-128246</v>
      </c>
      <c r="P31" s="9">
        <v>-166907</v>
      </c>
      <c r="Q31" s="190">
        <v>-170000</v>
      </c>
      <c r="R31" s="155"/>
      <c r="S31" s="197"/>
    </row>
    <row r="32" spans="1:20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38">
        <v>0</v>
      </c>
      <c r="L32" s="38">
        <v>0</v>
      </c>
      <c r="M32" s="38">
        <v>0</v>
      </c>
      <c r="N32" s="38">
        <v>0</v>
      </c>
      <c r="O32" s="38"/>
      <c r="P32" s="9"/>
      <c r="Q32" s="190">
        <v>0</v>
      </c>
      <c r="R32" s="155"/>
      <c r="S32" s="197"/>
    </row>
    <row r="33" spans="1:20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38">
        <v>-11110</v>
      </c>
      <c r="L33" s="38">
        <f>-1688+-1553</f>
        <v>-3241</v>
      </c>
      <c r="M33" s="38">
        <v>-7179</v>
      </c>
      <c r="N33" s="38">
        <f>-2226-250-4352</f>
        <v>-6828</v>
      </c>
      <c r="O33" s="38">
        <f>-2835-250-1000</f>
        <v>-4085</v>
      </c>
      <c r="P33" s="9">
        <v>-5059</v>
      </c>
      <c r="Q33" s="190">
        <v>-5000</v>
      </c>
      <c r="R33" s="155"/>
      <c r="S33" s="197"/>
    </row>
    <row r="34" spans="1:20" x14ac:dyDescent="0.3">
      <c r="A34" s="7" t="s">
        <v>2555</v>
      </c>
      <c r="B34" s="39">
        <f>SUM(B18:B33)</f>
        <v>-218877</v>
      </c>
      <c r="C34" s="39">
        <f t="shared" ref="C34:H34" si="1">SUM(C18:C33)</f>
        <v>-258934</v>
      </c>
      <c r="D34" s="39">
        <f t="shared" si="1"/>
        <v>-187844</v>
      </c>
      <c r="E34" s="39">
        <f t="shared" si="1"/>
        <v>-247088.42</v>
      </c>
      <c r="F34" s="39">
        <f t="shared" si="1"/>
        <v>-325572.77</v>
      </c>
      <c r="G34" s="39">
        <f t="shared" si="1"/>
        <v>-457445</v>
      </c>
      <c r="H34" s="39">
        <f t="shared" si="1"/>
        <v>-467066</v>
      </c>
      <c r="I34" s="39">
        <f>SUM(I18:I33)</f>
        <v>-618159</v>
      </c>
      <c r="J34" s="39">
        <f>SUM(J18:J33)</f>
        <v>-584733</v>
      </c>
      <c r="K34" s="39">
        <f>SUM(K18:K33)</f>
        <v>-734998</v>
      </c>
      <c r="L34" s="39">
        <f t="shared" ref="L34" si="2">SUM(L18:L33)</f>
        <v>-594086</v>
      </c>
      <c r="M34" s="39">
        <v>-638296</v>
      </c>
      <c r="N34" s="39">
        <f t="shared" ref="N34:P34" si="3">SUM(N18:N33)</f>
        <v>-545616</v>
      </c>
      <c r="O34" s="39">
        <f t="shared" ref="O34" si="4">SUM(O18:O33)</f>
        <v>-596955</v>
      </c>
      <c r="P34" s="11">
        <f t="shared" si="3"/>
        <v>-827607</v>
      </c>
      <c r="Q34" s="191">
        <f>SUM(Q18:Q33)</f>
        <v>-863500</v>
      </c>
      <c r="R34" s="205"/>
      <c r="S34" s="206"/>
    </row>
    <row r="35" spans="1:20" hidden="1" x14ac:dyDescent="0.3">
      <c r="A35" s="7"/>
      <c r="B35" s="41"/>
      <c r="C35" s="41"/>
      <c r="D35" s="41"/>
      <c r="E35" s="39"/>
      <c r="F35" s="39"/>
      <c r="G35" s="39"/>
      <c r="H35" s="39"/>
      <c r="I35" s="259"/>
      <c r="J35" s="259"/>
      <c r="K35" s="259"/>
      <c r="L35" s="259"/>
      <c r="M35" s="259"/>
      <c r="N35" s="259"/>
      <c r="O35" s="259"/>
      <c r="P35" s="113"/>
      <c r="Q35" s="191"/>
      <c r="R35" s="158"/>
      <c r="S35" s="207"/>
    </row>
    <row r="36" spans="1:20" s="13" customFormat="1" hidden="1" x14ac:dyDescent="0.3">
      <c r="A36" s="7" t="s">
        <v>48</v>
      </c>
      <c r="B36" s="39">
        <f t="shared" ref="B36:K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39">
        <f t="shared" si="5"/>
        <v>10177</v>
      </c>
      <c r="J36" s="39">
        <f t="shared" si="5"/>
        <v>36557</v>
      </c>
      <c r="K36" s="39">
        <f t="shared" si="5"/>
        <v>-84874</v>
      </c>
      <c r="L36" s="39">
        <f>+L34+L15</f>
        <v>8025</v>
      </c>
      <c r="M36" s="39">
        <v>-10322</v>
      </c>
      <c r="N36" s="39">
        <f>+N34+N15</f>
        <v>122284</v>
      </c>
      <c r="O36" s="39">
        <f t="shared" ref="O36:P36" si="6">+O34+O15</f>
        <v>104927</v>
      </c>
      <c r="P36" s="11">
        <f t="shared" si="6"/>
        <v>4017</v>
      </c>
      <c r="Q36" s="191">
        <f>Q15+Q34</f>
        <v>-63500</v>
      </c>
      <c r="R36" s="158"/>
      <c r="S36" s="207"/>
    </row>
    <row r="37" spans="1:20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11"/>
      <c r="Q37" s="191"/>
      <c r="R37" s="158"/>
      <c r="S37" s="207"/>
    </row>
    <row r="38" spans="1:20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11">
        <v>0</v>
      </c>
      <c r="Q38" s="191">
        <v>0</v>
      </c>
      <c r="R38" s="155"/>
      <c r="S38" s="206"/>
    </row>
    <row r="39" spans="1:20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260"/>
      <c r="P39" s="14"/>
      <c r="Q39" s="210"/>
      <c r="R39" s="205"/>
      <c r="S39" s="206"/>
    </row>
    <row r="40" spans="1:20" s="13" customFormat="1" ht="16.2" thickBot="1" x14ac:dyDescent="0.35">
      <c r="A40" s="7" t="s">
        <v>2556</v>
      </c>
      <c r="B40" s="39">
        <f t="shared" ref="B40:K40" si="7">+B38+B36</f>
        <v>-34674</v>
      </c>
      <c r="C40" s="39">
        <f t="shared" si="7"/>
        <v>76791</v>
      </c>
      <c r="D40" s="39">
        <f t="shared" si="7"/>
        <v>22713</v>
      </c>
      <c r="E40" s="39">
        <f t="shared" si="7"/>
        <v>-15009.140000000043</v>
      </c>
      <c r="F40" s="248">
        <f t="shared" si="7"/>
        <v>-35959.489999999991</v>
      </c>
      <c r="G40" s="248">
        <f t="shared" si="7"/>
        <v>-181974</v>
      </c>
      <c r="H40" s="248">
        <f t="shared" si="7"/>
        <v>13685</v>
      </c>
      <c r="I40" s="248">
        <f t="shared" si="7"/>
        <v>10177</v>
      </c>
      <c r="J40" s="248">
        <f t="shared" si="7"/>
        <v>36557</v>
      </c>
      <c r="K40" s="248">
        <f t="shared" si="7"/>
        <v>-84874</v>
      </c>
      <c r="L40" s="248">
        <f>+L38+L36</f>
        <v>8025</v>
      </c>
      <c r="M40" s="248">
        <v>-10322</v>
      </c>
      <c r="N40" s="248">
        <f>+N38+N36</f>
        <v>122284</v>
      </c>
      <c r="O40" s="248">
        <f t="shared" ref="O40:P40" si="8">+O38+O36</f>
        <v>104927</v>
      </c>
      <c r="P40" s="154">
        <f t="shared" si="8"/>
        <v>4017</v>
      </c>
      <c r="Q40" s="192">
        <f>+Q38+Q36</f>
        <v>-63500</v>
      </c>
      <c r="R40" s="155"/>
      <c r="S40" s="208"/>
    </row>
    <row r="41" spans="1:20" s="13" customFormat="1" x14ac:dyDescent="0.3">
      <c r="A41" s="4"/>
      <c r="B41" s="4"/>
      <c r="C41" s="4"/>
      <c r="D41" s="4"/>
      <c r="E41" s="4"/>
      <c r="F41" s="4"/>
      <c r="G41" s="4"/>
      <c r="H41" s="4"/>
      <c r="Q41" s="58"/>
      <c r="R41" s="196"/>
      <c r="S41" s="155"/>
    </row>
    <row r="47" spans="1:20" s="4" customFormat="1" x14ac:dyDescent="0.3">
      <c r="R47" s="196"/>
      <c r="S47" s="155"/>
      <c r="T47" s="1"/>
    </row>
    <row r="48" spans="1:20" s="4" customFormat="1" x14ac:dyDescent="0.3">
      <c r="R48" s="196"/>
      <c r="S48" s="155"/>
      <c r="T48" s="1"/>
    </row>
    <row r="49" spans="18:20" s="4" customFormat="1" x14ac:dyDescent="0.3">
      <c r="R49" s="196"/>
      <c r="S49" s="155"/>
      <c r="T49" s="1"/>
    </row>
    <row r="50" spans="18:20" s="4" customFormat="1" x14ac:dyDescent="0.3">
      <c r="R50" s="196"/>
      <c r="S50" s="155"/>
      <c r="T50" s="1"/>
    </row>
  </sheetData>
  <mergeCells count="1">
    <mergeCell ref="K1:Q1"/>
  </mergeCells>
  <pageMargins left="0.7" right="0.7" top="0.75" bottom="0.75" header="0.3" footer="0.3"/>
  <pageSetup paperSize="9" scale="73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DFC45-6A6A-4D75-ABC1-CF5535EEA493}">
  <sheetPr>
    <tabColor theme="9" tint="-0.499984740745262"/>
    <pageSetUpPr fitToPage="1"/>
  </sheetPr>
  <dimension ref="A1:G33"/>
  <sheetViews>
    <sheetView topLeftCell="A14" workbookViewId="0">
      <selection activeCell="C4" sqref="C4"/>
    </sheetView>
  </sheetViews>
  <sheetFormatPr defaultColWidth="9.109375" defaultRowHeight="14.4" x14ac:dyDescent="0.3"/>
  <cols>
    <col min="1" max="1" width="9.109375" style="1"/>
    <col min="2" max="2" width="39.6640625" style="1" customWidth="1"/>
    <col min="3" max="5" width="13.6640625" style="1" customWidth="1"/>
    <col min="6" max="16384" width="9.109375" style="1"/>
  </cols>
  <sheetData>
    <row r="1" spans="1:7" ht="34.200000000000003" thickBot="1" x14ac:dyDescent="0.7">
      <c r="A1" s="193" t="s">
        <v>2637</v>
      </c>
      <c r="B1" s="194"/>
      <c r="C1" s="195"/>
      <c r="D1" s="195"/>
      <c r="E1" s="194"/>
    </row>
    <row r="2" spans="1:7" ht="18.75" customHeight="1" thickBot="1" x14ac:dyDescent="0.7">
      <c r="A2" s="135"/>
      <c r="B2" s="130"/>
      <c r="E2" s="136"/>
    </row>
    <row r="3" spans="1:7" ht="15" thickBot="1" x14ac:dyDescent="0.35">
      <c r="A3" s="124"/>
      <c r="C3" s="102" t="s">
        <v>0</v>
      </c>
      <c r="D3" s="102" t="s">
        <v>904</v>
      </c>
      <c r="E3" s="102" t="s">
        <v>2</v>
      </c>
    </row>
    <row r="4" spans="1:7" ht="15" thickBot="1" x14ac:dyDescent="0.35">
      <c r="A4" s="147" t="s">
        <v>905</v>
      </c>
      <c r="C4" s="103">
        <v>44926</v>
      </c>
      <c r="D4" s="104"/>
      <c r="E4" s="103">
        <v>44926</v>
      </c>
    </row>
    <row r="5" spans="1:7" x14ac:dyDescent="0.3">
      <c r="A5" s="124"/>
      <c r="E5" s="136"/>
    </row>
    <row r="6" spans="1:7" ht="15.6" x14ac:dyDescent="0.3">
      <c r="A6" s="146" t="s">
        <v>906</v>
      </c>
      <c r="E6" s="136"/>
    </row>
    <row r="7" spans="1:7" ht="15" thickBot="1" x14ac:dyDescent="0.35">
      <c r="A7" s="124"/>
      <c r="B7" s="1" t="s">
        <v>5</v>
      </c>
      <c r="C7" s="105">
        <v>0</v>
      </c>
      <c r="D7" s="105">
        <v>0</v>
      </c>
      <c r="E7" s="140">
        <v>0</v>
      </c>
    </row>
    <row r="8" spans="1:7" x14ac:dyDescent="0.3">
      <c r="A8" s="137" t="s">
        <v>907</v>
      </c>
      <c r="C8" s="106">
        <f>SUM(C7:C7)</f>
        <v>0</v>
      </c>
      <c r="D8" s="106">
        <f>SUM(D7:D7)</f>
        <v>0</v>
      </c>
      <c r="E8" s="141">
        <f>SUM(E7:E7)</f>
        <v>0</v>
      </c>
    </row>
    <row r="9" spans="1:7" x14ac:dyDescent="0.3">
      <c r="A9" s="124"/>
      <c r="C9" s="138"/>
      <c r="D9" s="138"/>
      <c r="E9" s="139"/>
    </row>
    <row r="10" spans="1:7" ht="15.6" x14ac:dyDescent="0.3">
      <c r="A10" s="146" t="s">
        <v>9</v>
      </c>
      <c r="C10" s="138"/>
      <c r="D10" s="138"/>
      <c r="E10" s="139"/>
    </row>
    <row r="11" spans="1:7" x14ac:dyDescent="0.3">
      <c r="A11" s="124"/>
      <c r="B11" s="55" t="s">
        <v>2432</v>
      </c>
      <c r="C11" s="138">
        <v>314144.73</v>
      </c>
      <c r="D11" s="138">
        <f>+E11-C11</f>
        <v>5267</v>
      </c>
      <c r="E11" s="184">
        <v>319411.73</v>
      </c>
    </row>
    <row r="12" spans="1:7" ht="15" thickBot="1" x14ac:dyDescent="0.35">
      <c r="A12" s="124"/>
      <c r="B12" s="55" t="s">
        <v>2433</v>
      </c>
      <c r="C12" s="107">
        <v>0</v>
      </c>
      <c r="D12" s="105">
        <f>+E12-C12</f>
        <v>0</v>
      </c>
      <c r="E12" s="142">
        <v>0</v>
      </c>
      <c r="G12" s="2"/>
    </row>
    <row r="13" spans="1:7" x14ac:dyDescent="0.3">
      <c r="A13" s="137" t="s">
        <v>14</v>
      </c>
      <c r="C13" s="106">
        <f>SUM(C11:C12)</f>
        <v>314144.73</v>
      </c>
      <c r="D13" s="106">
        <f>SUM(D11:D12)</f>
        <v>5267</v>
      </c>
      <c r="E13" s="141">
        <f>SUM(E11:E12)</f>
        <v>319411.73</v>
      </c>
    </row>
    <row r="14" spans="1:7" x14ac:dyDescent="0.3">
      <c r="A14" s="124"/>
      <c r="C14" s="138"/>
      <c r="D14" s="138"/>
      <c r="E14" s="139"/>
    </row>
    <row r="15" spans="1:7" ht="15.6" x14ac:dyDescent="0.3">
      <c r="A15" s="146" t="s">
        <v>911</v>
      </c>
      <c r="C15" s="138"/>
      <c r="D15" s="138"/>
      <c r="E15" s="139"/>
    </row>
    <row r="16" spans="1:7" ht="15" thickBot="1" x14ac:dyDescent="0.35">
      <c r="A16" s="122"/>
      <c r="B16" s="55"/>
      <c r="C16" s="107">
        <v>0</v>
      </c>
      <c r="D16" s="105">
        <f>+E16-C16</f>
        <v>0</v>
      </c>
      <c r="E16" s="142">
        <v>0</v>
      </c>
    </row>
    <row r="17" spans="1:5" x14ac:dyDescent="0.3">
      <c r="A17" s="137" t="s">
        <v>913</v>
      </c>
      <c r="C17" s="106">
        <f>SUM(C16:C16)</f>
        <v>0</v>
      </c>
      <c r="D17" s="106">
        <f>SUM(D16:D16)</f>
        <v>0</v>
      </c>
      <c r="E17" s="141">
        <f>SUM(E16:E16)</f>
        <v>0</v>
      </c>
    </row>
    <row r="18" spans="1:5" x14ac:dyDescent="0.3">
      <c r="A18" s="124"/>
      <c r="C18" s="138"/>
      <c r="D18" s="138"/>
      <c r="E18" s="139"/>
    </row>
    <row r="19" spans="1:5" s="58" customFormat="1" ht="15" thickBot="1" x14ac:dyDescent="0.35">
      <c r="A19" s="143" t="s">
        <v>15</v>
      </c>
      <c r="C19" s="108">
        <f>+C8+C13+C17</f>
        <v>314144.73</v>
      </c>
      <c r="D19" s="108">
        <f>+E19-C19</f>
        <v>5267</v>
      </c>
      <c r="E19" s="144">
        <f>+E8+E13+E16</f>
        <v>319411.73</v>
      </c>
    </row>
    <row r="20" spans="1:5" ht="15" thickTop="1" x14ac:dyDescent="0.3">
      <c r="A20" s="124"/>
      <c r="C20" s="138"/>
      <c r="D20" s="138"/>
      <c r="E20" s="139"/>
    </row>
    <row r="21" spans="1:5" x14ac:dyDescent="0.3">
      <c r="A21" s="124"/>
      <c r="C21" s="138"/>
      <c r="D21" s="138"/>
      <c r="E21" s="139"/>
    </row>
    <row r="22" spans="1:5" x14ac:dyDescent="0.3">
      <c r="A22" s="147" t="s">
        <v>923</v>
      </c>
      <c r="C22" s="138"/>
      <c r="D22" s="138"/>
      <c r="E22" s="139"/>
    </row>
    <row r="23" spans="1:5" x14ac:dyDescent="0.3">
      <c r="A23" s="124"/>
      <c r="C23" s="138"/>
      <c r="D23" s="138"/>
      <c r="E23" s="139"/>
    </row>
    <row r="24" spans="1:5" ht="15.6" x14ac:dyDescent="0.3">
      <c r="A24" s="146" t="s">
        <v>2461</v>
      </c>
      <c r="C24" s="138"/>
      <c r="D24" s="138"/>
      <c r="E24" s="139"/>
    </row>
    <row r="25" spans="1:5" ht="15" thickBot="1" x14ac:dyDescent="0.35">
      <c r="A25" s="122"/>
      <c r="B25" s="55" t="s">
        <v>2463</v>
      </c>
      <c r="C25" s="107">
        <v>0</v>
      </c>
      <c r="D25" s="105">
        <f>+E25-C25</f>
        <v>0</v>
      </c>
      <c r="E25" s="142">
        <v>0</v>
      </c>
    </row>
    <row r="26" spans="1:5" x14ac:dyDescent="0.3">
      <c r="A26" s="137" t="s">
        <v>2462</v>
      </c>
      <c r="C26" s="106">
        <f>SUM(C25:C25)</f>
        <v>0</v>
      </c>
      <c r="D26" s="106">
        <f>SUM(D25:D25)</f>
        <v>0</v>
      </c>
      <c r="E26" s="141">
        <f>SUM(E25:E25)</f>
        <v>0</v>
      </c>
    </row>
    <row r="27" spans="1:5" x14ac:dyDescent="0.3">
      <c r="A27" s="137"/>
      <c r="C27" s="106"/>
      <c r="D27" s="106"/>
      <c r="E27" s="141"/>
    </row>
    <row r="28" spans="1:5" ht="15.6" x14ac:dyDescent="0.3">
      <c r="A28" s="146" t="s">
        <v>8</v>
      </c>
      <c r="C28" s="138"/>
      <c r="D28" s="138"/>
      <c r="E28" s="139"/>
    </row>
    <row r="29" spans="1:5" ht="15" thickBot="1" x14ac:dyDescent="0.35">
      <c r="A29" s="124"/>
      <c r="B29" s="55" t="s">
        <v>8</v>
      </c>
      <c r="C29" s="105">
        <v>315394.73</v>
      </c>
      <c r="D29" s="105">
        <f>+E29-C29</f>
        <v>4017</v>
      </c>
      <c r="E29" s="140">
        <v>319411.73</v>
      </c>
    </row>
    <row r="30" spans="1:5" x14ac:dyDescent="0.3">
      <c r="A30" s="137" t="s">
        <v>914</v>
      </c>
      <c r="C30" s="106">
        <f>SUM(C29:C29)</f>
        <v>315394.73</v>
      </c>
      <c r="D30" s="106">
        <f>SUM(D29:D29)</f>
        <v>4017</v>
      </c>
      <c r="E30" s="141">
        <f>SUM(E29:E29)</f>
        <v>319411.73</v>
      </c>
    </row>
    <row r="31" spans="1:5" x14ac:dyDescent="0.3">
      <c r="A31" s="124"/>
      <c r="E31" s="136"/>
    </row>
    <row r="32" spans="1:5" s="58" customFormat="1" ht="15" thickBot="1" x14ac:dyDescent="0.35">
      <c r="A32" s="143" t="s">
        <v>915</v>
      </c>
      <c r="C32" s="108">
        <f>+C30+C26</f>
        <v>315394.73</v>
      </c>
      <c r="D32" s="108">
        <f>+D30+D26</f>
        <v>4017</v>
      </c>
      <c r="E32" s="144">
        <f>+E30+E26</f>
        <v>319411.73</v>
      </c>
    </row>
    <row r="33" spans="1:5" ht="15.6" thickTop="1" thickBot="1" x14ac:dyDescent="0.35">
      <c r="A33" s="125"/>
      <c r="B33" s="126"/>
      <c r="C33" s="126"/>
      <c r="D33" s="126"/>
      <c r="E33" s="145"/>
    </row>
  </sheetData>
  <pageMargins left="1.18" right="0.7" top="0.75" bottom="0.75" header="0.3" footer="0.3"/>
  <pageSetup paperSize="9" scale="9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9809B-817D-43C6-9EF9-4532450C222A}">
  <sheetPr>
    <tabColor theme="5" tint="-0.249977111117893"/>
    <pageSetUpPr fitToPage="1"/>
  </sheetPr>
  <dimension ref="A1:S50"/>
  <sheetViews>
    <sheetView zoomScale="120" zoomScaleNormal="120" workbookViewId="0">
      <pane xSplit="1" ySplit="3" topLeftCell="K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2" width="16.44140625" style="1" customWidth="1"/>
    <col min="13" max="13" width="18" style="1" customWidth="1"/>
    <col min="14" max="16" width="16.44140625" style="1" customWidth="1"/>
    <col min="17" max="17" width="18.5546875" style="1" customWidth="1"/>
    <col min="18" max="18" width="12" style="155" customWidth="1"/>
    <col min="19" max="16384" width="9.109375" style="1"/>
  </cols>
  <sheetData>
    <row r="1" spans="1:18" ht="31.8" thickBot="1" x14ac:dyDescent="0.65">
      <c r="A1" s="211" t="s">
        <v>486</v>
      </c>
      <c r="C1" s="224"/>
      <c r="D1" s="224"/>
      <c r="I1" s="4"/>
      <c r="J1" s="4"/>
      <c r="K1" s="294" t="s">
        <v>487</v>
      </c>
      <c r="L1" s="294"/>
      <c r="M1" s="294"/>
    </row>
    <row r="2" spans="1:18" ht="16.2" thickBot="1" x14ac:dyDescent="0.35"/>
    <row r="3" spans="1:18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227">
        <v>2022</v>
      </c>
      <c r="Q3" s="240" t="s">
        <v>2603</v>
      </c>
      <c r="R3" s="156"/>
    </row>
    <row r="4" spans="1:18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267"/>
      <c r="Q4" s="209"/>
      <c r="R4" s="156"/>
    </row>
    <row r="5" spans="1:18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37"/>
      <c r="Q5" s="8"/>
    </row>
    <row r="6" spans="1:18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9">
        <v>225734</v>
      </c>
      <c r="Q6" s="190">
        <v>190000</v>
      </c>
    </row>
    <row r="7" spans="1:18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9">
        <v>187000</v>
      </c>
      <c r="Q7" s="190">
        <v>160000</v>
      </c>
    </row>
    <row r="8" spans="1:18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9">
        <v>83434</v>
      </c>
      <c r="Q8" s="190">
        <v>40000</v>
      </c>
    </row>
    <row r="9" spans="1:18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9">
        <v>33422</v>
      </c>
      <c r="Q9" s="190">
        <v>15000</v>
      </c>
    </row>
    <row r="10" spans="1:18" ht="57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9">
        <v>109900</v>
      </c>
      <c r="Q10" s="190">
        <v>40000</v>
      </c>
    </row>
    <row r="11" spans="1:18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9">
        <v>145695</v>
      </c>
      <c r="Q11" s="190">
        <v>110000</v>
      </c>
    </row>
    <row r="12" spans="1:18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9"/>
      <c r="Q12" s="190">
        <v>0</v>
      </c>
    </row>
    <row r="13" spans="1:18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9"/>
      <c r="Q13" s="190">
        <v>0</v>
      </c>
    </row>
    <row r="14" spans="1:18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9">
        <v>46439</v>
      </c>
      <c r="Q14" s="190">
        <v>40000</v>
      </c>
    </row>
    <row r="15" spans="1:18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2">
        <f>SUM(M6:M14)</f>
        <v>627974</v>
      </c>
      <c r="N15" s="12">
        <f>SUM(N6:N14)</f>
        <v>667900</v>
      </c>
      <c r="O15" s="12">
        <f>SUM(O6:O14)</f>
        <v>701882</v>
      </c>
      <c r="P15" s="11">
        <f>SUM(P6:P14)</f>
        <v>831624</v>
      </c>
      <c r="Q15" s="191">
        <f t="shared" ref="Q15" si="2">SUM(Q6:Q14)</f>
        <v>595000</v>
      </c>
    </row>
    <row r="16" spans="1:18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P16" s="111"/>
      <c r="Q16" s="190"/>
    </row>
    <row r="17" spans="1:19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P17" s="112"/>
      <c r="Q17" s="190"/>
      <c r="R17" s="159"/>
    </row>
    <row r="18" spans="1:19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9">
        <v>-181432</v>
      </c>
      <c r="Q18" s="190">
        <v>-150000</v>
      </c>
      <c r="R18" s="197"/>
    </row>
    <row r="19" spans="1:19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9">
        <v>-133504</v>
      </c>
      <c r="Q19" s="190">
        <v>-120000</v>
      </c>
      <c r="R19" s="197"/>
      <c r="S19" s="55"/>
    </row>
    <row r="20" spans="1:19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9">
        <v>-519</v>
      </c>
      <c r="Q20" s="190">
        <v>0</v>
      </c>
      <c r="R20" s="197"/>
    </row>
    <row r="21" spans="1:19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9">
        <v>-29952</v>
      </c>
      <c r="Q21" s="190">
        <v>-30000</v>
      </c>
      <c r="R21" s="197"/>
    </row>
    <row r="22" spans="1:19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9">
        <v>-92029</v>
      </c>
      <c r="Q22" s="190">
        <v>-30000</v>
      </c>
      <c r="R22" s="197"/>
    </row>
    <row r="23" spans="1:19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9">
        <v>-79144</v>
      </c>
      <c r="Q23" s="190">
        <v>-80000</v>
      </c>
      <c r="R23" s="197"/>
    </row>
    <row r="24" spans="1:19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9">
        <v>-1231</v>
      </c>
      <c r="Q24" s="190">
        <v>-6000</v>
      </c>
      <c r="R24" s="197"/>
    </row>
    <row r="25" spans="1:19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9">
        <v>-22800</v>
      </c>
      <c r="Q25" s="190">
        <v>-15000</v>
      </c>
      <c r="R25" s="197"/>
    </row>
    <row r="26" spans="1:19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9">
        <v>-30440</v>
      </c>
      <c r="Q26" s="190">
        <v>-35000</v>
      </c>
      <c r="R26" s="197"/>
    </row>
    <row r="27" spans="1:19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9">
        <v>-5340</v>
      </c>
      <c r="Q27" s="190">
        <v>-15000</v>
      </c>
      <c r="R27" s="197"/>
    </row>
    <row r="28" spans="1:19" ht="34.799999999999997" customHeight="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9">
        <f>-55750</f>
        <v>-55750</v>
      </c>
      <c r="Q28" s="190">
        <v>-50000</v>
      </c>
      <c r="R28" s="197"/>
    </row>
    <row r="29" spans="1:19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9">
        <f>-19000-4000</f>
        <v>-23000</v>
      </c>
      <c r="Q29" s="190">
        <v>-10000</v>
      </c>
    </row>
    <row r="30" spans="1:19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9">
        <v>-500</v>
      </c>
      <c r="Q30" s="190">
        <v>-500</v>
      </c>
    </row>
    <row r="31" spans="1:19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9">
        <v>-166907</v>
      </c>
      <c r="Q31" s="190">
        <v>-110000</v>
      </c>
      <c r="R31" s="197"/>
    </row>
    <row r="32" spans="1:19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9"/>
      <c r="Q32" s="190">
        <v>0</v>
      </c>
      <c r="R32" s="197"/>
    </row>
    <row r="33" spans="1:19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9">
        <v>-5059</v>
      </c>
      <c r="Q33" s="190">
        <v>-5000</v>
      </c>
      <c r="R33" s="197"/>
    </row>
    <row r="34" spans="1:19" x14ac:dyDescent="0.3">
      <c r="A34" s="7" t="s">
        <v>2555</v>
      </c>
      <c r="B34" s="39">
        <f t="shared" ref="B34:P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1">
        <f t="shared" si="3"/>
        <v>-827607</v>
      </c>
      <c r="Q34" s="191">
        <f>SUM(Q18:Q33)</f>
        <v>-656500</v>
      </c>
      <c r="R34" s="206"/>
    </row>
    <row r="35" spans="1:19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113"/>
      <c r="Q35" s="191"/>
      <c r="R35" s="207"/>
    </row>
    <row r="36" spans="1:19" s="13" customFormat="1" ht="38.25" hidden="1" customHeight="1" x14ac:dyDescent="0.3">
      <c r="A36" s="7" t="s">
        <v>48</v>
      </c>
      <c r="B36" s="39">
        <f t="shared" ref="B36:P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12">
        <f t="shared" si="5"/>
        <v>10177</v>
      </c>
      <c r="J36" s="12">
        <f t="shared" si="5"/>
        <v>36557</v>
      </c>
      <c r="K36" s="12">
        <f t="shared" si="5"/>
        <v>-84874</v>
      </c>
      <c r="L36" s="12">
        <f t="shared" si="5"/>
        <v>8025</v>
      </c>
      <c r="M36" s="12">
        <f t="shared" si="5"/>
        <v>-10322</v>
      </c>
      <c r="N36" s="12">
        <f t="shared" si="5"/>
        <v>122284</v>
      </c>
      <c r="O36" s="12">
        <f t="shared" si="5"/>
        <v>104927</v>
      </c>
      <c r="P36" s="11">
        <f t="shared" si="5"/>
        <v>4017</v>
      </c>
      <c r="Q36" s="191">
        <f>Q15+Q34</f>
        <v>-61500</v>
      </c>
      <c r="R36" s="207"/>
    </row>
    <row r="37" spans="1:19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1"/>
      <c r="Q37" s="191"/>
      <c r="R37" s="207"/>
    </row>
    <row r="38" spans="1:19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1">
        <v>0</v>
      </c>
      <c r="Q38" s="191">
        <v>0</v>
      </c>
      <c r="R38" s="206"/>
    </row>
    <row r="39" spans="1:19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4"/>
      <c r="Q39" s="210"/>
      <c r="R39" s="206"/>
    </row>
    <row r="40" spans="1:19" s="13" customFormat="1" ht="16.2" thickBot="1" x14ac:dyDescent="0.35">
      <c r="A40" s="7" t="s">
        <v>2557</v>
      </c>
      <c r="B40" s="39">
        <f t="shared" ref="B40:P40" si="6">+B38+B36</f>
        <v>-34674</v>
      </c>
      <c r="C40" s="39">
        <f t="shared" si="6"/>
        <v>76791</v>
      </c>
      <c r="D40" s="39">
        <f t="shared" si="6"/>
        <v>22713</v>
      </c>
      <c r="E40" s="39">
        <f t="shared" si="6"/>
        <v>-15009.140000000043</v>
      </c>
      <c r="F40" s="39">
        <f t="shared" si="6"/>
        <v>-35959.489999999991</v>
      </c>
      <c r="G40" s="39">
        <f t="shared" si="6"/>
        <v>-181974</v>
      </c>
      <c r="H40" s="39">
        <f t="shared" si="6"/>
        <v>13685</v>
      </c>
      <c r="I40" s="12">
        <f t="shared" si="6"/>
        <v>10177</v>
      </c>
      <c r="J40" s="12">
        <f>+J38+J36</f>
        <v>36557</v>
      </c>
      <c r="K40" s="12">
        <f t="shared" si="6"/>
        <v>-84874</v>
      </c>
      <c r="L40" s="12">
        <f t="shared" si="6"/>
        <v>8025</v>
      </c>
      <c r="M40" s="12">
        <f t="shared" si="6"/>
        <v>-10322</v>
      </c>
      <c r="N40" s="12">
        <f t="shared" si="6"/>
        <v>122284</v>
      </c>
      <c r="O40" s="12">
        <f t="shared" si="6"/>
        <v>104927</v>
      </c>
      <c r="P40" s="154">
        <f t="shared" si="6"/>
        <v>4017</v>
      </c>
      <c r="Q40" s="192">
        <f>+Q38+Q36</f>
        <v>-61500</v>
      </c>
      <c r="R40" s="208"/>
    </row>
    <row r="41" spans="1:19" s="13" customFormat="1" x14ac:dyDescent="0.3">
      <c r="A41" s="4"/>
      <c r="B41" s="4"/>
      <c r="C41" s="4"/>
      <c r="D41" s="4"/>
      <c r="E41" s="4"/>
      <c r="F41" s="4"/>
      <c r="G41" s="4"/>
      <c r="H41" s="4"/>
      <c r="Q41" s="58"/>
      <c r="R41" s="155"/>
    </row>
    <row r="47" spans="1:19" s="4" customFormat="1" x14ac:dyDescent="0.3">
      <c r="R47" s="155"/>
      <c r="S47" s="1"/>
    </row>
    <row r="48" spans="1:19" s="4" customFormat="1" x14ac:dyDescent="0.3">
      <c r="R48" s="155"/>
      <c r="S48" s="1"/>
    </row>
    <row r="49" spans="18:19" s="4" customFormat="1" x14ac:dyDescent="0.3">
      <c r="R49" s="155"/>
      <c r="S49" s="1"/>
    </row>
    <row r="50" spans="18:19" s="4" customFormat="1" x14ac:dyDescent="0.3">
      <c r="R50" s="155"/>
      <c r="S50" s="1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E8E6B-9594-4ED8-9A01-890BDE153A6D}">
  <sheetPr>
    <tabColor theme="5" tint="-0.249977111117893"/>
    <pageSetUpPr fitToPage="1"/>
  </sheetPr>
  <dimension ref="A1:U52"/>
  <sheetViews>
    <sheetView zoomScale="110" zoomScaleNormal="110" workbookViewId="0">
      <pane xSplit="1" ySplit="3" topLeftCell="K6" activePane="bottomRight" state="frozen"/>
      <selection pane="topRight" activeCell="B1" sqref="B1"/>
      <selection pane="bottomLeft" activeCell="A4" sqref="A4"/>
      <selection pane="bottomRight" activeCell="S14" sqref="S14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2" width="16.44140625" style="1" customWidth="1"/>
    <col min="13" max="13" width="18" style="1" customWidth="1"/>
    <col min="14" max="16" width="16.44140625" style="1" customWidth="1"/>
    <col min="17" max="18" width="18.5546875" style="1" customWidth="1"/>
    <col min="19" max="19" width="27" style="196" customWidth="1"/>
    <col min="20" max="20" width="12" style="155" customWidth="1"/>
    <col min="21" max="16384" width="9.109375" style="1"/>
  </cols>
  <sheetData>
    <row r="1" spans="1:20" ht="31.8" thickBot="1" x14ac:dyDescent="0.65">
      <c r="A1" s="211" t="s">
        <v>486</v>
      </c>
      <c r="C1" s="224"/>
      <c r="D1" s="224"/>
      <c r="I1" s="4"/>
      <c r="J1" s="4"/>
      <c r="K1" s="294" t="s">
        <v>487</v>
      </c>
      <c r="L1" s="294"/>
      <c r="M1" s="294"/>
    </row>
    <row r="2" spans="1:20" ht="16.2" thickBot="1" x14ac:dyDescent="0.35"/>
    <row r="3" spans="1:20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227">
        <v>2022</v>
      </c>
      <c r="Q3" s="253" t="s">
        <v>809</v>
      </c>
      <c r="R3" s="240" t="s">
        <v>2603</v>
      </c>
      <c r="S3" s="156"/>
      <c r="T3" s="156"/>
    </row>
    <row r="4" spans="1:20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267">
        <v>44926</v>
      </c>
      <c r="Q4" s="110">
        <v>44926</v>
      </c>
      <c r="R4" s="209"/>
      <c r="S4" s="156"/>
      <c r="T4" s="156"/>
    </row>
    <row r="5" spans="1:20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37"/>
      <c r="Q5" s="111"/>
      <c r="R5" s="8"/>
      <c r="S5" s="155"/>
    </row>
    <row r="6" spans="1:20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9">
        <v>225734</v>
      </c>
      <c r="Q6" s="249">
        <v>225734</v>
      </c>
      <c r="R6" s="190">
        <v>190000</v>
      </c>
      <c r="S6" s="217" t="s">
        <v>2626</v>
      </c>
    </row>
    <row r="7" spans="1:20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9">
        <v>187000</v>
      </c>
      <c r="Q7" s="249">
        <v>187000</v>
      </c>
      <c r="R7" s="190">
        <v>160000</v>
      </c>
      <c r="S7" s="236" t="s">
        <v>2622</v>
      </c>
    </row>
    <row r="8" spans="1:20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9">
        <v>83434</v>
      </c>
      <c r="Q8" s="249">
        <v>83434</v>
      </c>
      <c r="R8" s="190">
        <v>40000</v>
      </c>
      <c r="S8" s="236"/>
    </row>
    <row r="9" spans="1:20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9">
        <v>33422</v>
      </c>
      <c r="Q9" s="249">
        <v>33422</v>
      </c>
      <c r="R9" s="190">
        <v>15000</v>
      </c>
      <c r="S9" s="236" t="s">
        <v>2621</v>
      </c>
    </row>
    <row r="10" spans="1:20" ht="57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9">
        <v>109900</v>
      </c>
      <c r="Q10" s="249">
        <v>109900</v>
      </c>
      <c r="R10" s="190">
        <v>40000</v>
      </c>
      <c r="S10" s="217" t="s">
        <v>2640</v>
      </c>
    </row>
    <row r="11" spans="1:20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9">
        <v>145695</v>
      </c>
      <c r="Q11" s="249">
        <v>145695</v>
      </c>
      <c r="R11" s="190">
        <v>110000</v>
      </c>
      <c r="S11" s="155"/>
    </row>
    <row r="12" spans="1:20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9"/>
      <c r="Q12" s="249">
        <v>0</v>
      </c>
      <c r="R12" s="190">
        <v>0</v>
      </c>
      <c r="S12" s="155"/>
    </row>
    <row r="13" spans="1:20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9"/>
      <c r="Q13" s="249">
        <v>0</v>
      </c>
      <c r="R13" s="190">
        <v>0</v>
      </c>
      <c r="S13" s="155"/>
    </row>
    <row r="14" spans="1:20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9">
        <v>46439</v>
      </c>
      <c r="Q14" s="249">
        <v>46439</v>
      </c>
      <c r="R14" s="190">
        <v>40000</v>
      </c>
      <c r="S14" s="236" t="s">
        <v>2636</v>
      </c>
    </row>
    <row r="15" spans="1:20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2">
        <f>SUM(M6:M14)</f>
        <v>627974</v>
      </c>
      <c r="N15" s="12">
        <f>SUM(N6:N14)</f>
        <v>667900</v>
      </c>
      <c r="O15" s="12">
        <f>SUM(O6:O14)</f>
        <v>701882</v>
      </c>
      <c r="P15" s="11">
        <f>SUM(P6:P14)</f>
        <v>831624</v>
      </c>
      <c r="Q15" s="250">
        <f t="shared" ref="Q15:R15" si="2">SUM(Q6:Q14)</f>
        <v>831624</v>
      </c>
      <c r="R15" s="191">
        <f t="shared" si="2"/>
        <v>595000</v>
      </c>
      <c r="S15" s="155"/>
    </row>
    <row r="16" spans="1:20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P16" s="111"/>
      <c r="Q16" s="249"/>
      <c r="R16" s="190"/>
      <c r="S16" s="155"/>
    </row>
    <row r="17" spans="1:21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P17" s="112"/>
      <c r="Q17" s="249"/>
      <c r="R17" s="190"/>
      <c r="S17" s="159"/>
      <c r="T17" s="159"/>
    </row>
    <row r="18" spans="1:21" ht="24.6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9">
        <v>-181432</v>
      </c>
      <c r="Q18" s="249">
        <v>-181432</v>
      </c>
      <c r="R18" s="190">
        <v>-150000</v>
      </c>
      <c r="S18" s="157" t="s">
        <v>2633</v>
      </c>
      <c r="T18" s="197"/>
    </row>
    <row r="19" spans="1:21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9">
        <v>-133504</v>
      </c>
      <c r="Q19" s="249">
        <v>-133504</v>
      </c>
      <c r="R19" s="190">
        <v>-120000</v>
      </c>
      <c r="S19" s="157"/>
      <c r="T19" s="197"/>
      <c r="U19" s="55"/>
    </row>
    <row r="20" spans="1:21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9">
        <v>-519</v>
      </c>
      <c r="Q20" s="249">
        <v>-519</v>
      </c>
      <c r="R20" s="190">
        <v>0</v>
      </c>
      <c r="S20" s="157"/>
      <c r="T20" s="197"/>
    </row>
    <row r="21" spans="1:21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9">
        <v>-29952</v>
      </c>
      <c r="Q21" s="249">
        <v>-29952</v>
      </c>
      <c r="R21" s="190">
        <v>-30000</v>
      </c>
      <c r="S21" s="157" t="s">
        <v>2529</v>
      </c>
      <c r="T21" s="197"/>
    </row>
    <row r="22" spans="1:21" ht="36.6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9">
        <v>-92029</v>
      </c>
      <c r="Q22" s="249">
        <v>-92029</v>
      </c>
      <c r="R22" s="190">
        <v>-30000</v>
      </c>
      <c r="S22" s="157" t="s">
        <v>2628</v>
      </c>
      <c r="T22" s="197"/>
    </row>
    <row r="23" spans="1:21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9">
        <v>-79144</v>
      </c>
      <c r="Q23" s="249">
        <v>-79144</v>
      </c>
      <c r="R23" s="190">
        <v>-80000</v>
      </c>
      <c r="S23" s="157" t="s">
        <v>2632</v>
      </c>
      <c r="T23" s="197"/>
    </row>
    <row r="24" spans="1:21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9">
        <v>-1231</v>
      </c>
      <c r="Q24" s="249">
        <v>-1231</v>
      </c>
      <c r="R24" s="190">
        <v>-6000</v>
      </c>
      <c r="S24" s="155"/>
      <c r="T24" s="197"/>
    </row>
    <row r="25" spans="1:21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9">
        <v>-22800</v>
      </c>
      <c r="Q25" s="249">
        <v>-22800</v>
      </c>
      <c r="R25" s="190">
        <v>-15000</v>
      </c>
      <c r="S25" s="157" t="s">
        <v>2634</v>
      </c>
      <c r="T25" s="197"/>
    </row>
    <row r="26" spans="1:21" ht="24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9">
        <v>-30440</v>
      </c>
      <c r="Q26" s="249">
        <v>-30440</v>
      </c>
      <c r="R26" s="190">
        <v>-35000</v>
      </c>
      <c r="S26" s="157" t="s">
        <v>2635</v>
      </c>
      <c r="T26" s="197"/>
    </row>
    <row r="27" spans="1:21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9">
        <v>-5340</v>
      </c>
      <c r="Q27" s="249">
        <v>-5340</v>
      </c>
      <c r="R27" s="190">
        <v>-15000</v>
      </c>
      <c r="S27" s="157"/>
      <c r="T27" s="197"/>
    </row>
    <row r="28" spans="1:21" ht="34.799999999999997" customHeight="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9">
        <f>-55750</f>
        <v>-55750</v>
      </c>
      <c r="Q28" s="249">
        <v>-55750</v>
      </c>
      <c r="R28" s="190">
        <v>-50000</v>
      </c>
      <c r="S28" s="217" t="s">
        <v>2642</v>
      </c>
      <c r="T28" s="197"/>
    </row>
    <row r="29" spans="1:2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9">
        <f>-19000-4000</f>
        <v>-23000</v>
      </c>
      <c r="Q29" s="249">
        <v>-23000</v>
      </c>
      <c r="R29" s="190">
        <v>-10000</v>
      </c>
      <c r="S29" s="157" t="s">
        <v>2641</v>
      </c>
    </row>
    <row r="30" spans="1:21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9">
        <v>-500</v>
      </c>
      <c r="Q30" s="249">
        <v>-500</v>
      </c>
      <c r="R30" s="190">
        <v>-500</v>
      </c>
      <c r="S30" s="157"/>
    </row>
    <row r="31" spans="1:21" ht="24.6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9">
        <v>-166907</v>
      </c>
      <c r="Q31" s="249">
        <v>-166907</v>
      </c>
      <c r="R31" s="190">
        <v>-110000</v>
      </c>
      <c r="S31" s="157" t="s">
        <v>2643</v>
      </c>
      <c r="T31" s="197"/>
    </row>
    <row r="32" spans="1:21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9"/>
      <c r="Q32" s="249">
        <v>0</v>
      </c>
      <c r="R32" s="190">
        <v>0</v>
      </c>
      <c r="S32" s="155"/>
      <c r="T32" s="197"/>
    </row>
    <row r="33" spans="1:21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9">
        <v>-5059</v>
      </c>
      <c r="Q33" s="249">
        <v>-5059</v>
      </c>
      <c r="R33" s="190">
        <v>-5000</v>
      </c>
      <c r="S33" s="157" t="s">
        <v>2615</v>
      </c>
      <c r="T33" s="197"/>
    </row>
    <row r="34" spans="1:21" x14ac:dyDescent="0.3">
      <c r="A34" s="7" t="s">
        <v>2555</v>
      </c>
      <c r="B34" s="39">
        <f t="shared" ref="B34:P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1">
        <f t="shared" si="3"/>
        <v>-827607</v>
      </c>
      <c r="Q34" s="250">
        <f>SUM(Q18:Q33)</f>
        <v>-827607</v>
      </c>
      <c r="R34" s="191">
        <f>SUM(R18:R33)</f>
        <v>-656500</v>
      </c>
      <c r="S34" s="205"/>
      <c r="T34" s="206"/>
    </row>
    <row r="35" spans="1:21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113"/>
      <c r="Q35" s="250"/>
      <c r="R35" s="191"/>
      <c r="S35" s="158"/>
      <c r="T35" s="207"/>
    </row>
    <row r="36" spans="1:21" s="13" customFormat="1" ht="38.25" hidden="1" customHeight="1" x14ac:dyDescent="0.3">
      <c r="A36" s="7" t="s">
        <v>48</v>
      </c>
      <c r="B36" s="39">
        <f t="shared" ref="B36:P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12">
        <f t="shared" si="5"/>
        <v>10177</v>
      </c>
      <c r="J36" s="12">
        <f t="shared" si="5"/>
        <v>36557</v>
      </c>
      <c r="K36" s="12">
        <f t="shared" si="5"/>
        <v>-84874</v>
      </c>
      <c r="L36" s="12">
        <f t="shared" si="5"/>
        <v>8025</v>
      </c>
      <c r="M36" s="12">
        <f t="shared" si="5"/>
        <v>-10322</v>
      </c>
      <c r="N36" s="12">
        <f t="shared" si="5"/>
        <v>122284</v>
      </c>
      <c r="O36" s="12">
        <f t="shared" si="5"/>
        <v>104927</v>
      </c>
      <c r="P36" s="11">
        <f t="shared" si="5"/>
        <v>4017</v>
      </c>
      <c r="Q36" s="250">
        <f>Q15+Q34</f>
        <v>4017</v>
      </c>
      <c r="R36" s="191">
        <f>R15+R34</f>
        <v>-61500</v>
      </c>
      <c r="S36" s="158"/>
      <c r="T36" s="207"/>
    </row>
    <row r="37" spans="1:21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1"/>
      <c r="Q37" s="250"/>
      <c r="R37" s="191"/>
      <c r="S37" s="158"/>
      <c r="T37" s="207"/>
    </row>
    <row r="38" spans="1:21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1">
        <v>0</v>
      </c>
      <c r="Q38" s="250">
        <v>0</v>
      </c>
      <c r="R38" s="191">
        <v>0</v>
      </c>
      <c r="S38" s="155"/>
      <c r="T38" s="206"/>
    </row>
    <row r="39" spans="1:21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4"/>
      <c r="Q39" s="251"/>
      <c r="R39" s="210"/>
      <c r="S39" s="205"/>
      <c r="T39" s="206"/>
    </row>
    <row r="40" spans="1:21" s="13" customFormat="1" ht="16.2" thickBot="1" x14ac:dyDescent="0.35">
      <c r="A40" s="7" t="s">
        <v>2557</v>
      </c>
      <c r="B40" s="39">
        <f t="shared" ref="B40:Q40" si="6">+B38+B36</f>
        <v>-34674</v>
      </c>
      <c r="C40" s="39">
        <f t="shared" si="6"/>
        <v>76791</v>
      </c>
      <c r="D40" s="39">
        <f t="shared" si="6"/>
        <v>22713</v>
      </c>
      <c r="E40" s="39">
        <f t="shared" si="6"/>
        <v>-15009.140000000043</v>
      </c>
      <c r="F40" s="39">
        <f t="shared" si="6"/>
        <v>-35959.489999999991</v>
      </c>
      <c r="G40" s="39">
        <f t="shared" si="6"/>
        <v>-181974</v>
      </c>
      <c r="H40" s="39">
        <f t="shared" si="6"/>
        <v>13685</v>
      </c>
      <c r="I40" s="12">
        <f t="shared" si="6"/>
        <v>10177</v>
      </c>
      <c r="J40" s="12">
        <f>+J38+J36</f>
        <v>36557</v>
      </c>
      <c r="K40" s="12">
        <f t="shared" si="6"/>
        <v>-84874</v>
      </c>
      <c r="L40" s="12">
        <f t="shared" si="6"/>
        <v>8025</v>
      </c>
      <c r="M40" s="12">
        <f t="shared" si="6"/>
        <v>-10322</v>
      </c>
      <c r="N40" s="12">
        <f t="shared" si="6"/>
        <v>122284</v>
      </c>
      <c r="O40" s="12">
        <f t="shared" si="6"/>
        <v>104927</v>
      </c>
      <c r="P40" s="154">
        <f t="shared" si="6"/>
        <v>4017</v>
      </c>
      <c r="Q40" s="252">
        <f t="shared" si="6"/>
        <v>4017</v>
      </c>
      <c r="R40" s="192">
        <f>+R38+R36</f>
        <v>-61500</v>
      </c>
      <c r="S40" s="155"/>
      <c r="T40" s="208"/>
    </row>
    <row r="41" spans="1:21" s="13" customFormat="1" x14ac:dyDescent="0.3">
      <c r="A41" s="4"/>
      <c r="B41" s="4"/>
      <c r="C41" s="4"/>
      <c r="D41" s="4"/>
      <c r="E41" s="4"/>
      <c r="F41" s="4"/>
      <c r="G41" s="4"/>
      <c r="H41" s="4"/>
      <c r="Q41" s="58"/>
      <c r="R41" s="58"/>
      <c r="S41" s="196"/>
      <c r="T41" s="155"/>
    </row>
    <row r="42" spans="1:21" x14ac:dyDescent="0.3">
      <c r="Q42" s="55"/>
      <c r="S42" s="155"/>
    </row>
    <row r="43" spans="1:21" x14ac:dyDescent="0.3">
      <c r="Q43" s="99"/>
    </row>
    <row r="44" spans="1:21" x14ac:dyDescent="0.3">
      <c r="Q44" s="222"/>
    </row>
    <row r="45" spans="1:21" x14ac:dyDescent="0.3">
      <c r="Q45" s="207"/>
    </row>
    <row r="46" spans="1:21" x14ac:dyDescent="0.3">
      <c r="Q46" s="222"/>
    </row>
    <row r="47" spans="1:21" s="4" customFormat="1" x14ac:dyDescent="0.3">
      <c r="Q47" s="99"/>
      <c r="S47" s="196"/>
      <c r="T47" s="155"/>
      <c r="U47" s="1"/>
    </row>
    <row r="48" spans="1:21" s="4" customFormat="1" x14ac:dyDescent="0.3">
      <c r="Q48" s="99"/>
      <c r="S48" s="196"/>
      <c r="T48" s="155"/>
      <c r="U48" s="1"/>
    </row>
    <row r="49" spans="17:21" s="4" customFormat="1" x14ac:dyDescent="0.3">
      <c r="Q49" s="99"/>
      <c r="S49" s="196"/>
      <c r="T49" s="155"/>
      <c r="U49" s="1"/>
    </row>
    <row r="50" spans="17:21" s="4" customFormat="1" x14ac:dyDescent="0.3">
      <c r="Q50" s="99"/>
      <c r="S50" s="196"/>
      <c r="T50" s="155"/>
      <c r="U50" s="1"/>
    </row>
    <row r="51" spans="17:21" x14ac:dyDescent="0.3">
      <c r="Q51" s="99"/>
    </row>
    <row r="52" spans="17:21" x14ac:dyDescent="0.3">
      <c r="Q52" s="223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5AF4B-7E4A-4A8D-8AC4-7AE2F13714BB}">
  <sheetPr>
    <tabColor theme="5" tint="-0.249977111117893"/>
    <pageSetUpPr fitToPage="1"/>
  </sheetPr>
  <dimension ref="A1:U52"/>
  <sheetViews>
    <sheetView zoomScale="110" zoomScaleNormal="110" workbookViewId="0">
      <pane xSplit="1" ySplit="3" topLeftCell="L20" activePane="bottomRight" state="frozen"/>
      <selection pane="topRight" activeCell="B1" sqref="B1"/>
      <selection pane="bottomLeft" activeCell="A4" sqref="A4"/>
      <selection pane="bottomRight" activeCell="P18" sqref="P18:P33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2" width="16.44140625" style="1" customWidth="1"/>
    <col min="13" max="13" width="18" style="1" customWidth="1"/>
    <col min="14" max="16" width="16.44140625" style="1" customWidth="1"/>
    <col min="17" max="18" width="18.5546875" style="1" customWidth="1"/>
    <col min="19" max="19" width="27" style="196" customWidth="1"/>
    <col min="20" max="20" width="12" style="155" customWidth="1"/>
    <col min="21" max="16384" width="9.109375" style="1"/>
  </cols>
  <sheetData>
    <row r="1" spans="1:20" ht="31.8" thickBot="1" x14ac:dyDescent="0.65">
      <c r="A1" s="211" t="s">
        <v>486</v>
      </c>
      <c r="C1" s="224"/>
      <c r="D1" s="224"/>
      <c r="I1" s="4"/>
      <c r="J1" s="4"/>
      <c r="K1" s="294" t="s">
        <v>487</v>
      </c>
      <c r="L1" s="294"/>
      <c r="M1" s="294"/>
    </row>
    <row r="2" spans="1:20" ht="16.2" thickBot="1" x14ac:dyDescent="0.35"/>
    <row r="3" spans="1:20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227">
        <v>2022</v>
      </c>
      <c r="Q3" s="253" t="s">
        <v>809</v>
      </c>
      <c r="R3" s="240" t="s">
        <v>2603</v>
      </c>
      <c r="S3" s="156"/>
      <c r="T3" s="156"/>
    </row>
    <row r="4" spans="1:20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267">
        <v>44874</v>
      </c>
      <c r="Q4" s="110">
        <v>44926</v>
      </c>
      <c r="R4" s="209"/>
      <c r="S4" s="156"/>
      <c r="T4" s="156"/>
    </row>
    <row r="5" spans="1:20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37"/>
      <c r="Q5" s="111"/>
      <c r="R5" s="8"/>
      <c r="S5" s="155"/>
    </row>
    <row r="6" spans="1:20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9">
        <v>225734</v>
      </c>
      <c r="Q6" s="249">
        <v>225000</v>
      </c>
      <c r="R6" s="190">
        <v>190000</v>
      </c>
      <c r="S6" s="217" t="s">
        <v>2626</v>
      </c>
    </row>
    <row r="7" spans="1:20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9">
        <v>187000</v>
      </c>
      <c r="Q7" s="249">
        <v>187000</v>
      </c>
      <c r="R7" s="190">
        <v>160000</v>
      </c>
      <c r="S7" s="236" t="s">
        <v>2622</v>
      </c>
    </row>
    <row r="8" spans="1:20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9">
        <v>80975</v>
      </c>
      <c r="Q8" s="249">
        <v>83000</v>
      </c>
      <c r="R8" s="190">
        <v>40000</v>
      </c>
      <c r="S8" s="236"/>
    </row>
    <row r="9" spans="1:20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9">
        <v>33422</v>
      </c>
      <c r="Q9" s="249">
        <v>33000</v>
      </c>
      <c r="R9" s="190">
        <v>15000</v>
      </c>
      <c r="S9" s="236" t="s">
        <v>2621</v>
      </c>
    </row>
    <row r="10" spans="1:20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9">
        <v>89900</v>
      </c>
      <c r="Q10" s="249">
        <v>90000</v>
      </c>
      <c r="R10" s="190">
        <v>40000</v>
      </c>
      <c r="S10" s="217" t="s">
        <v>2627</v>
      </c>
    </row>
    <row r="11" spans="1:20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9">
        <v>145695</v>
      </c>
      <c r="Q11" s="249">
        <v>146000</v>
      </c>
      <c r="R11" s="190">
        <v>110000</v>
      </c>
      <c r="S11" s="155"/>
    </row>
    <row r="12" spans="1:20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9"/>
      <c r="Q12" s="249">
        <v>0</v>
      </c>
      <c r="R12" s="190">
        <v>0</v>
      </c>
      <c r="S12" s="155"/>
    </row>
    <row r="13" spans="1:20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9"/>
      <c r="Q13" s="249">
        <v>0</v>
      </c>
      <c r="R13" s="190">
        <v>0</v>
      </c>
      <c r="S13" s="155"/>
    </row>
    <row r="14" spans="1:20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9">
        <v>35940</v>
      </c>
      <c r="Q14" s="249">
        <v>40000</v>
      </c>
      <c r="R14" s="190">
        <v>40000</v>
      </c>
      <c r="S14" s="236" t="s">
        <v>2623</v>
      </c>
    </row>
    <row r="15" spans="1:20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2">
        <f>SUM(M6:M14)</f>
        <v>627974</v>
      </c>
      <c r="N15" s="12">
        <f>SUM(N6:N14)</f>
        <v>667900</v>
      </c>
      <c r="O15" s="12">
        <f>SUM(O6:O14)</f>
        <v>701882</v>
      </c>
      <c r="P15" s="11">
        <f>SUM(P6:P14)</f>
        <v>798666</v>
      </c>
      <c r="Q15" s="250">
        <f t="shared" ref="Q15:R15" si="2">SUM(Q6:Q14)</f>
        <v>804000</v>
      </c>
      <c r="R15" s="191">
        <f t="shared" si="2"/>
        <v>595000</v>
      </c>
      <c r="S15" s="155"/>
    </row>
    <row r="16" spans="1:20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P16" s="111"/>
      <c r="Q16" s="249"/>
      <c r="R16" s="190"/>
      <c r="S16" s="155"/>
    </row>
    <row r="17" spans="1:21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P17" s="112"/>
      <c r="Q17" s="249"/>
      <c r="R17" s="190"/>
      <c r="S17" s="159"/>
      <c r="T17" s="159"/>
    </row>
    <row r="18" spans="1:21" ht="24.6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9">
        <v>-180559</v>
      </c>
      <c r="Q18" s="249">
        <v>-185000</v>
      </c>
      <c r="R18" s="190">
        <v>-150000</v>
      </c>
      <c r="S18" s="157" t="s">
        <v>2633</v>
      </c>
      <c r="T18" s="197"/>
    </row>
    <row r="19" spans="1:21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9">
        <v>-133504</v>
      </c>
      <c r="Q19" s="249">
        <v>-140000</v>
      </c>
      <c r="R19" s="190">
        <v>-120000</v>
      </c>
      <c r="S19" s="157" t="s">
        <v>2498</v>
      </c>
      <c r="T19" s="197"/>
      <c r="U19" s="55"/>
    </row>
    <row r="20" spans="1:21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9">
        <v>-519</v>
      </c>
      <c r="Q20" s="249">
        <v>-1000</v>
      </c>
      <c r="R20" s="190">
        <v>0</v>
      </c>
      <c r="S20" s="157"/>
      <c r="T20" s="197"/>
    </row>
    <row r="21" spans="1:21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9">
        <v>-27952</v>
      </c>
      <c r="Q21" s="249">
        <v>-35000</v>
      </c>
      <c r="R21" s="190">
        <v>-30000</v>
      </c>
      <c r="S21" s="157" t="s">
        <v>2529</v>
      </c>
      <c r="T21" s="197"/>
    </row>
    <row r="22" spans="1:21" ht="24.6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9">
        <v>-89029</v>
      </c>
      <c r="Q22" s="249">
        <v>-89000</v>
      </c>
      <c r="R22" s="190">
        <v>-30000</v>
      </c>
      <c r="S22" s="157" t="s">
        <v>2628</v>
      </c>
      <c r="T22" s="197"/>
    </row>
    <row r="23" spans="1:21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9">
        <v>-79144</v>
      </c>
      <c r="Q23" s="249">
        <v>-80000</v>
      </c>
      <c r="R23" s="190">
        <v>-80000</v>
      </c>
      <c r="S23" s="157" t="s">
        <v>2632</v>
      </c>
      <c r="T23" s="197"/>
    </row>
    <row r="24" spans="1:21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9">
        <v>-1231</v>
      </c>
      <c r="Q24" s="249">
        <v>-6000</v>
      </c>
      <c r="R24" s="190">
        <v>-6000</v>
      </c>
      <c r="S24" s="155"/>
      <c r="T24" s="197"/>
    </row>
    <row r="25" spans="1:21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9">
        <v>-21000</v>
      </c>
      <c r="Q25" s="249">
        <v>-25000</v>
      </c>
      <c r="R25" s="190">
        <v>-15000</v>
      </c>
      <c r="S25" s="157" t="s">
        <v>2634</v>
      </c>
      <c r="T25" s="197"/>
    </row>
    <row r="26" spans="1:21" ht="24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9">
        <v>-29100</v>
      </c>
      <c r="Q26" s="249">
        <v>-30000</v>
      </c>
      <c r="R26" s="190">
        <v>-35000</v>
      </c>
      <c r="S26" s="157" t="s">
        <v>2611</v>
      </c>
      <c r="T26" s="197"/>
    </row>
    <row r="27" spans="1:21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9">
        <v>-3200</v>
      </c>
      <c r="Q27" s="249">
        <v>-15000</v>
      </c>
      <c r="R27" s="190">
        <v>-15000</v>
      </c>
      <c r="S27" s="157" t="s">
        <v>2497</v>
      </c>
      <c r="T27" s="197"/>
    </row>
    <row r="28" spans="1:21" ht="34.799999999999997" customHeight="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9">
        <f>-62700+8500</f>
        <v>-54200</v>
      </c>
      <c r="Q28" s="249">
        <v>-56000</v>
      </c>
      <c r="R28" s="190">
        <v>-50000</v>
      </c>
      <c r="S28" s="217" t="s">
        <v>2630</v>
      </c>
      <c r="T28" s="197"/>
    </row>
    <row r="29" spans="1:2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9">
        <f>-8500-14500</f>
        <v>-23000</v>
      </c>
      <c r="Q29" s="249">
        <v>-23000</v>
      </c>
      <c r="R29" s="190">
        <v>-10000</v>
      </c>
      <c r="S29" s="157" t="s">
        <v>2631</v>
      </c>
    </row>
    <row r="30" spans="1:21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9">
        <v>-500</v>
      </c>
      <c r="Q30" s="249">
        <v>-500</v>
      </c>
      <c r="R30" s="190">
        <v>-500</v>
      </c>
      <c r="S30" s="157"/>
    </row>
    <row r="31" spans="1:21" ht="24.6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9">
        <v>-167107</v>
      </c>
      <c r="Q31" s="249">
        <v>-167100</v>
      </c>
      <c r="R31" s="190">
        <v>-110000</v>
      </c>
      <c r="S31" s="157" t="s">
        <v>2629</v>
      </c>
      <c r="T31" s="197"/>
    </row>
    <row r="32" spans="1:21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9"/>
      <c r="Q32" s="249">
        <v>0</v>
      </c>
      <c r="R32" s="190">
        <v>0</v>
      </c>
      <c r="S32" s="155"/>
      <c r="T32" s="197"/>
    </row>
    <row r="33" spans="1:21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9">
        <f>-750-1725-1000-157-130-172-125</f>
        <v>-4059</v>
      </c>
      <c r="Q33" s="249">
        <v>-5000</v>
      </c>
      <c r="R33" s="190">
        <v>-5000</v>
      </c>
      <c r="S33" s="157" t="s">
        <v>2615</v>
      </c>
      <c r="T33" s="197"/>
    </row>
    <row r="34" spans="1:21" x14ac:dyDescent="0.3">
      <c r="A34" s="7" t="s">
        <v>2555</v>
      </c>
      <c r="B34" s="39">
        <f t="shared" ref="B34:P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1">
        <f t="shared" si="3"/>
        <v>-814104</v>
      </c>
      <c r="Q34" s="250">
        <f>SUM(Q18:Q33)</f>
        <v>-857600</v>
      </c>
      <c r="R34" s="191">
        <f>SUM(R18:R33)</f>
        <v>-656500</v>
      </c>
      <c r="S34" s="205"/>
      <c r="T34" s="206"/>
    </row>
    <row r="35" spans="1:21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113"/>
      <c r="Q35" s="250"/>
      <c r="R35" s="191"/>
      <c r="S35" s="158"/>
      <c r="T35" s="207"/>
    </row>
    <row r="36" spans="1:21" s="13" customFormat="1" ht="38.25" hidden="1" customHeight="1" x14ac:dyDescent="0.3">
      <c r="A36" s="7" t="s">
        <v>48</v>
      </c>
      <c r="B36" s="39">
        <f t="shared" ref="B36:P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12">
        <f t="shared" si="5"/>
        <v>10177</v>
      </c>
      <c r="J36" s="12">
        <f t="shared" si="5"/>
        <v>36557</v>
      </c>
      <c r="K36" s="12">
        <f t="shared" si="5"/>
        <v>-84874</v>
      </c>
      <c r="L36" s="12">
        <f t="shared" si="5"/>
        <v>8025</v>
      </c>
      <c r="M36" s="12">
        <f t="shared" si="5"/>
        <v>-10322</v>
      </c>
      <c r="N36" s="12">
        <f t="shared" si="5"/>
        <v>122284</v>
      </c>
      <c r="O36" s="12">
        <f t="shared" si="5"/>
        <v>104927</v>
      </c>
      <c r="P36" s="11">
        <f t="shared" si="5"/>
        <v>-15438</v>
      </c>
      <c r="Q36" s="250">
        <f>Q15+Q34</f>
        <v>-53600</v>
      </c>
      <c r="R36" s="191">
        <f>R15+R34</f>
        <v>-61500</v>
      </c>
      <c r="S36" s="158"/>
      <c r="T36" s="207"/>
    </row>
    <row r="37" spans="1:21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1"/>
      <c r="Q37" s="250"/>
      <c r="R37" s="191"/>
      <c r="S37" s="158"/>
      <c r="T37" s="207"/>
    </row>
    <row r="38" spans="1:21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1">
        <v>0</v>
      </c>
      <c r="Q38" s="250">
        <v>0</v>
      </c>
      <c r="R38" s="191">
        <v>0</v>
      </c>
      <c r="S38" s="155"/>
      <c r="T38" s="206"/>
    </row>
    <row r="39" spans="1:21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4"/>
      <c r="Q39" s="251"/>
      <c r="R39" s="210"/>
      <c r="S39" s="205"/>
      <c r="T39" s="206"/>
    </row>
    <row r="40" spans="1:21" s="13" customFormat="1" ht="16.2" thickBot="1" x14ac:dyDescent="0.35">
      <c r="A40" s="7" t="s">
        <v>2557</v>
      </c>
      <c r="B40" s="39">
        <f t="shared" ref="B40:Q40" si="6">+B38+B36</f>
        <v>-34674</v>
      </c>
      <c r="C40" s="39">
        <f t="shared" si="6"/>
        <v>76791</v>
      </c>
      <c r="D40" s="39">
        <f t="shared" si="6"/>
        <v>22713</v>
      </c>
      <c r="E40" s="39">
        <f t="shared" si="6"/>
        <v>-15009.140000000043</v>
      </c>
      <c r="F40" s="39">
        <f t="shared" si="6"/>
        <v>-35959.489999999991</v>
      </c>
      <c r="G40" s="39">
        <f t="shared" si="6"/>
        <v>-181974</v>
      </c>
      <c r="H40" s="39">
        <f t="shared" si="6"/>
        <v>13685</v>
      </c>
      <c r="I40" s="12">
        <f t="shared" si="6"/>
        <v>10177</v>
      </c>
      <c r="J40" s="12">
        <f>+J38+J36</f>
        <v>36557</v>
      </c>
      <c r="K40" s="12">
        <f t="shared" si="6"/>
        <v>-84874</v>
      </c>
      <c r="L40" s="12">
        <f t="shared" si="6"/>
        <v>8025</v>
      </c>
      <c r="M40" s="12">
        <f t="shared" si="6"/>
        <v>-10322</v>
      </c>
      <c r="N40" s="12">
        <f t="shared" si="6"/>
        <v>122284</v>
      </c>
      <c r="O40" s="12">
        <f t="shared" si="6"/>
        <v>104927</v>
      </c>
      <c r="P40" s="154">
        <f t="shared" si="6"/>
        <v>-15438</v>
      </c>
      <c r="Q40" s="252">
        <f t="shared" si="6"/>
        <v>-53600</v>
      </c>
      <c r="R40" s="192">
        <f>+R38+R36</f>
        <v>-61500</v>
      </c>
      <c r="S40" s="155"/>
      <c r="T40" s="208"/>
    </row>
    <row r="41" spans="1:21" s="13" customFormat="1" x14ac:dyDescent="0.3">
      <c r="A41" s="4"/>
      <c r="B41" s="4"/>
      <c r="C41" s="4"/>
      <c r="D41" s="4"/>
      <c r="E41" s="4"/>
      <c r="F41" s="4"/>
      <c r="G41" s="4"/>
      <c r="H41" s="4"/>
      <c r="Q41" s="58"/>
      <c r="R41" s="58"/>
      <c r="S41" s="196"/>
      <c r="T41" s="155"/>
    </row>
    <row r="42" spans="1:21" x14ac:dyDescent="0.3">
      <c r="Q42" s="55"/>
      <c r="S42" s="155"/>
    </row>
    <row r="43" spans="1:21" x14ac:dyDescent="0.3">
      <c r="Q43" s="99"/>
    </row>
    <row r="44" spans="1:21" x14ac:dyDescent="0.3">
      <c r="Q44" s="222"/>
    </row>
    <row r="45" spans="1:21" x14ac:dyDescent="0.3">
      <c r="Q45" s="207"/>
    </row>
    <row r="46" spans="1:21" x14ac:dyDescent="0.3">
      <c r="Q46" s="222"/>
    </row>
    <row r="47" spans="1:21" s="4" customFormat="1" x14ac:dyDescent="0.3">
      <c r="Q47" s="99"/>
      <c r="S47" s="196"/>
      <c r="T47" s="155"/>
      <c r="U47" s="1"/>
    </row>
    <row r="48" spans="1:21" s="4" customFormat="1" x14ac:dyDescent="0.3">
      <c r="Q48" s="99"/>
      <c r="S48" s="196"/>
      <c r="T48" s="155"/>
      <c r="U48" s="1"/>
    </row>
    <row r="49" spans="17:21" s="4" customFormat="1" x14ac:dyDescent="0.3">
      <c r="Q49" s="99"/>
      <c r="S49" s="196"/>
      <c r="T49" s="155"/>
      <c r="U49" s="1"/>
    </row>
    <row r="50" spans="17:21" s="4" customFormat="1" x14ac:dyDescent="0.3">
      <c r="Q50" s="99"/>
      <c r="S50" s="196"/>
      <c r="T50" s="155"/>
      <c r="U50" s="1"/>
    </row>
    <row r="51" spans="17:21" x14ac:dyDescent="0.3">
      <c r="Q51" s="99"/>
    </row>
    <row r="52" spans="17:21" x14ac:dyDescent="0.3">
      <c r="Q52" s="223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EEE30-4271-423C-9526-3435F3D3A214}">
  <sheetPr>
    <tabColor theme="5" tint="-0.249977111117893"/>
    <pageSetUpPr fitToPage="1"/>
  </sheetPr>
  <dimension ref="A1:X58"/>
  <sheetViews>
    <sheetView zoomScale="110" zoomScaleNormal="110" workbookViewId="0">
      <pane xSplit="1" ySplit="3" topLeftCell="P4" activePane="bottomRight" state="frozen"/>
      <selection pane="topRight" activeCell="B1" sqref="B1"/>
      <selection pane="bottomLeft" activeCell="A4" sqref="A4"/>
      <selection pane="bottomRight" activeCell="T32" sqref="T32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2" width="16.44140625" style="1" hidden="1" customWidth="1"/>
    <col min="13" max="13" width="18" style="1" hidden="1" customWidth="1"/>
    <col min="14" max="14" width="16.44140625" style="1" hidden="1" customWidth="1"/>
    <col min="15" max="18" width="16.44140625" style="1" customWidth="1"/>
    <col min="19" max="19" width="17.6640625" style="1" customWidth="1"/>
    <col min="20" max="21" width="18.5546875" style="1" customWidth="1"/>
    <col min="22" max="22" width="27" style="217" customWidth="1"/>
    <col min="23" max="23" width="15.88671875" style="155" customWidth="1"/>
    <col min="24" max="16384" width="9.109375" style="1"/>
  </cols>
  <sheetData>
    <row r="1" spans="1:23" ht="31.8" thickBot="1" x14ac:dyDescent="0.65">
      <c r="A1" s="211" t="s">
        <v>486</v>
      </c>
      <c r="C1" s="224"/>
      <c r="D1" s="224"/>
      <c r="I1" s="4"/>
      <c r="J1" s="4"/>
      <c r="K1" s="289"/>
      <c r="L1" s="289"/>
      <c r="M1" s="289"/>
      <c r="O1" s="290" t="s">
        <v>2786</v>
      </c>
      <c r="P1" s="290"/>
    </row>
    <row r="2" spans="1:23" ht="16.2" thickBot="1" x14ac:dyDescent="0.35"/>
    <row r="3" spans="1:23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37">
        <v>2023</v>
      </c>
      <c r="R3" s="37">
        <v>2024</v>
      </c>
      <c r="S3" s="227">
        <v>2025</v>
      </c>
      <c r="T3" s="253" t="s">
        <v>809</v>
      </c>
      <c r="U3" s="240" t="s">
        <v>2812</v>
      </c>
      <c r="V3" s="270"/>
      <c r="W3" s="156"/>
    </row>
    <row r="4" spans="1:23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42"/>
      <c r="R4" s="42"/>
      <c r="S4" s="110">
        <v>46022</v>
      </c>
      <c r="T4" s="110">
        <v>46022</v>
      </c>
      <c r="U4" s="209"/>
      <c r="V4" s="270"/>
      <c r="W4" s="156"/>
    </row>
    <row r="5" spans="1:23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56"/>
      <c r="R5" s="256"/>
      <c r="S5" s="237"/>
      <c r="T5" s="111"/>
      <c r="U5" s="8"/>
    </row>
    <row r="6" spans="1:23" ht="21.6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10">
        <v>225734</v>
      </c>
      <c r="Q6" s="10">
        <v>252983</v>
      </c>
      <c r="R6" s="10">
        <v>209138</v>
      </c>
      <c r="S6" s="9">
        <v>212300</v>
      </c>
      <c r="T6" s="249">
        <v>212300</v>
      </c>
      <c r="U6" s="190">
        <v>210000</v>
      </c>
      <c r="V6" s="217" t="s">
        <v>2901</v>
      </c>
    </row>
    <row r="7" spans="1:23" ht="36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10">
        <v>187000</v>
      </c>
      <c r="Q7" s="10">
        <v>181250</v>
      </c>
      <c r="R7" s="10">
        <v>211575</v>
      </c>
      <c r="S7" s="9">
        <v>343975</v>
      </c>
      <c r="T7" s="249">
        <v>343975</v>
      </c>
      <c r="U7" s="190">
        <v>350000</v>
      </c>
      <c r="V7" s="236" t="s">
        <v>2863</v>
      </c>
    </row>
    <row r="8" spans="1:23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10">
        <v>83434</v>
      </c>
      <c r="Q8" s="10">
        <v>177917</v>
      </c>
      <c r="R8" s="10">
        <v>112047</v>
      </c>
      <c r="S8" s="9">
        <v>130306</v>
      </c>
      <c r="T8" s="249">
        <v>130306</v>
      </c>
      <c r="U8" s="190">
        <v>115000</v>
      </c>
      <c r="V8" s="236"/>
    </row>
    <row r="9" spans="1:23" ht="21.6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10">
        <v>33422</v>
      </c>
      <c r="Q9" s="10">
        <v>14330</v>
      </c>
      <c r="R9" s="10">
        <v>27500</v>
      </c>
      <c r="S9" s="9">
        <v>106174</v>
      </c>
      <c r="T9" s="249">
        <v>106174</v>
      </c>
      <c r="U9" s="190">
        <v>105000</v>
      </c>
      <c r="V9" s="236" t="s">
        <v>2889</v>
      </c>
    </row>
    <row r="10" spans="1:23" ht="35.4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10">
        <v>109900</v>
      </c>
      <c r="Q10" s="10">
        <v>137850</v>
      </c>
      <c r="R10" s="10">
        <v>125900</v>
      </c>
      <c r="S10" s="9">
        <v>198897</v>
      </c>
      <c r="T10" s="249">
        <v>198897</v>
      </c>
      <c r="U10" s="190">
        <v>100000</v>
      </c>
      <c r="V10" s="236" t="s">
        <v>2890</v>
      </c>
    </row>
    <row r="11" spans="1:23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10">
        <v>145695</v>
      </c>
      <c r="Q11" s="10">
        <v>163300</v>
      </c>
      <c r="R11" s="10">
        <v>203280</v>
      </c>
      <c r="S11" s="9">
        <v>218230</v>
      </c>
      <c r="T11" s="249">
        <v>218230</v>
      </c>
      <c r="U11" s="190">
        <v>200000</v>
      </c>
    </row>
    <row r="12" spans="1:23" x14ac:dyDescent="0.3">
      <c r="A12" s="4" t="s">
        <v>2823</v>
      </c>
      <c r="B12" s="38">
        <v>500</v>
      </c>
      <c r="C12" s="38">
        <v>85850</v>
      </c>
      <c r="D12" s="38">
        <v>62250</v>
      </c>
      <c r="E12" s="38">
        <v>66900</v>
      </c>
      <c r="F12" s="38">
        <v>91100</v>
      </c>
      <c r="G12" s="38">
        <v>83700</v>
      </c>
      <c r="H12" s="38">
        <v>94424</v>
      </c>
      <c r="I12" s="38">
        <f>99500</f>
        <v>99500</v>
      </c>
      <c r="J12" s="38">
        <f>81000</f>
        <v>81000</v>
      </c>
      <c r="K12" s="10">
        <v>85200</v>
      </c>
      <c r="L12" s="10">
        <v>69517</v>
      </c>
      <c r="M12" s="10">
        <v>89680</v>
      </c>
      <c r="N12" s="10">
        <v>95633</v>
      </c>
      <c r="O12" s="10"/>
      <c r="P12" s="10"/>
      <c r="Q12" s="10"/>
      <c r="R12" s="10"/>
      <c r="S12" s="9">
        <v>130789</v>
      </c>
      <c r="T12" s="249">
        <v>130789</v>
      </c>
      <c r="U12" s="190">
        <v>124000</v>
      </c>
    </row>
    <row r="13" spans="1:23" hidden="1" x14ac:dyDescent="0.3">
      <c r="A13" s="4" t="s">
        <v>2143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0</v>
      </c>
      <c r="G13" s="38">
        <v>0</v>
      </c>
      <c r="H13" s="38">
        <v>0</v>
      </c>
      <c r="I13" s="38">
        <v>0</v>
      </c>
      <c r="J13" s="38">
        <f>5750-1743-1743-1453-3486-4358-15750+10000+7640+840+1463+5660</f>
        <v>2820</v>
      </c>
      <c r="K13" s="10">
        <v>5455</v>
      </c>
      <c r="L13" s="10">
        <v>0</v>
      </c>
      <c r="M13" s="10">
        <v>0</v>
      </c>
      <c r="N13" s="10">
        <v>0</v>
      </c>
      <c r="O13" s="10"/>
      <c r="P13" s="10"/>
      <c r="Q13" s="10"/>
      <c r="R13" s="10"/>
      <c r="S13" s="9"/>
      <c r="T13" s="249">
        <v>0</v>
      </c>
      <c r="U13" s="190">
        <v>0</v>
      </c>
    </row>
    <row r="14" spans="1:23" x14ac:dyDescent="0.3">
      <c r="A14" s="4" t="s">
        <v>27</v>
      </c>
      <c r="B14" s="38">
        <v>2474</v>
      </c>
      <c r="C14" s="38">
        <v>239</v>
      </c>
      <c r="D14" s="38">
        <v>450</v>
      </c>
      <c r="E14" s="38">
        <v>2470.9899999999998</v>
      </c>
      <c r="F14" s="38">
        <v>1824.88</v>
      </c>
      <c r="G14" s="38">
        <v>514</v>
      </c>
      <c r="H14" s="38">
        <v>101</v>
      </c>
      <c r="I14" s="38">
        <v>13</v>
      </c>
      <c r="J14" s="38">
        <v>0</v>
      </c>
      <c r="K14" s="10">
        <v>0</v>
      </c>
      <c r="L14" s="10">
        <v>0</v>
      </c>
      <c r="M14" s="10">
        <v>0</v>
      </c>
      <c r="N14" s="10">
        <v>0</v>
      </c>
      <c r="O14" s="10"/>
      <c r="P14" s="10"/>
      <c r="Q14" s="10"/>
      <c r="R14" s="10">
        <v>6206</v>
      </c>
      <c r="S14" s="9">
        <v>4209</v>
      </c>
      <c r="T14" s="249">
        <v>4209</v>
      </c>
      <c r="U14" s="190">
        <v>3000</v>
      </c>
    </row>
    <row r="15" spans="1:23" ht="21.6" x14ac:dyDescent="0.3">
      <c r="A15" s="4" t="s">
        <v>490</v>
      </c>
      <c r="B15" s="38">
        <f>3455+2000</f>
        <v>5455</v>
      </c>
      <c r="C15" s="38">
        <f>400+10000+12000</f>
        <v>22400</v>
      </c>
      <c r="D15" s="38">
        <v>4112</v>
      </c>
      <c r="E15" s="38">
        <f>4135+5600</f>
        <v>9735</v>
      </c>
      <c r="F15" s="38">
        <f>1987+4050</f>
        <v>6037</v>
      </c>
      <c r="G15" s="38">
        <v>1630</v>
      </c>
      <c r="H15" s="38">
        <v>16554</v>
      </c>
      <c r="I15" s="38">
        <f>28269-19125+4390+6756</f>
        <v>20290</v>
      </c>
      <c r="J15" s="38">
        <f>2914+5838+4950+240+1000+6365+1880+2390</f>
        <v>25577</v>
      </c>
      <c r="K15" s="10">
        <v>29446</v>
      </c>
      <c r="L15" s="10">
        <v>56040</v>
      </c>
      <c r="M15" s="10">
        <v>21304</v>
      </c>
      <c r="N15" s="10">
        <v>93807</v>
      </c>
      <c r="O15" s="10">
        <v>61627</v>
      </c>
      <c r="P15" s="10">
        <v>46439</v>
      </c>
      <c r="Q15" s="10">
        <v>11035</v>
      </c>
      <c r="R15" s="10">
        <v>17071</v>
      </c>
      <c r="S15" s="9">
        <v>21649</v>
      </c>
      <c r="T15" s="249">
        <v>21649</v>
      </c>
      <c r="U15" s="190">
        <v>15000</v>
      </c>
      <c r="V15" s="236" t="s">
        <v>2902</v>
      </c>
    </row>
    <row r="16" spans="1:23" x14ac:dyDescent="0.3">
      <c r="A16" s="7" t="s">
        <v>2554</v>
      </c>
      <c r="B16" s="39">
        <f t="shared" ref="B16:K16" si="0">SUM(B6:B15)</f>
        <v>194703</v>
      </c>
      <c r="C16" s="39">
        <f t="shared" si="0"/>
        <v>431575</v>
      </c>
      <c r="D16" s="39">
        <f t="shared" si="0"/>
        <v>282807</v>
      </c>
      <c r="E16" s="39">
        <f t="shared" si="0"/>
        <v>308979.27999999997</v>
      </c>
      <c r="F16" s="39">
        <f t="shared" si="0"/>
        <v>390713.28</v>
      </c>
      <c r="G16" s="39">
        <f t="shared" si="0"/>
        <v>373620</v>
      </c>
      <c r="H16" s="39">
        <f t="shared" si="0"/>
        <v>575175</v>
      </c>
      <c r="I16" s="39">
        <f>SUM(I6:I15)</f>
        <v>727836</v>
      </c>
      <c r="J16" s="39">
        <f t="shared" ref="J16" si="1">SUM(J6:J15)</f>
        <v>702290</v>
      </c>
      <c r="K16" s="12">
        <f t="shared" si="0"/>
        <v>735324</v>
      </c>
      <c r="L16" s="12">
        <f t="shared" ref="L16:R16" si="2">SUM(L6:L15)</f>
        <v>671628</v>
      </c>
      <c r="M16" s="12">
        <f t="shared" si="2"/>
        <v>717654</v>
      </c>
      <c r="N16" s="12">
        <f t="shared" si="2"/>
        <v>763533</v>
      </c>
      <c r="O16" s="12">
        <f t="shared" si="2"/>
        <v>701882</v>
      </c>
      <c r="P16" s="12">
        <f t="shared" si="2"/>
        <v>831624</v>
      </c>
      <c r="Q16" s="12">
        <f t="shared" si="2"/>
        <v>938665</v>
      </c>
      <c r="R16" s="12">
        <f t="shared" si="2"/>
        <v>912717</v>
      </c>
      <c r="S16" s="11">
        <f>SUM(S6:S15)</f>
        <v>1366529</v>
      </c>
      <c r="T16" s="250">
        <f>SUM(T6:T15)</f>
        <v>1366529</v>
      </c>
      <c r="U16" s="191">
        <f>SUM(U6:U15)</f>
        <v>1222000</v>
      </c>
    </row>
    <row r="17" spans="1:24" ht="16.2" thickBot="1" x14ac:dyDescent="0.35">
      <c r="B17" s="38"/>
      <c r="C17" s="40"/>
      <c r="D17" s="40"/>
      <c r="E17" s="38"/>
      <c r="F17" s="40"/>
      <c r="G17" s="40"/>
      <c r="H17" s="40"/>
      <c r="I17" s="40"/>
      <c r="J17" s="40"/>
      <c r="S17" s="111"/>
      <c r="T17" s="249"/>
      <c r="U17" s="190"/>
    </row>
    <row r="18" spans="1:24" s="13" customFormat="1" ht="16.2" thickBot="1" x14ac:dyDescent="0.35">
      <c r="A18" s="32" t="s">
        <v>30</v>
      </c>
      <c r="B18" s="38"/>
      <c r="C18" s="41"/>
      <c r="D18" s="41"/>
      <c r="E18" s="38"/>
      <c r="F18" s="41"/>
      <c r="G18" s="41"/>
      <c r="H18" s="41"/>
      <c r="I18" s="41"/>
      <c r="J18" s="41"/>
      <c r="S18" s="112"/>
      <c r="T18" s="249"/>
      <c r="U18" s="190"/>
      <c r="V18" s="271"/>
      <c r="W18" s="159"/>
    </row>
    <row r="19" spans="1:24" ht="64.8" customHeight="1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10">
        <v>-70226</v>
      </c>
      <c r="M19" s="10">
        <v>-120875</v>
      </c>
      <c r="N19" s="10">
        <v>-81372</v>
      </c>
      <c r="O19" s="10">
        <v>-159842</v>
      </c>
      <c r="P19" s="10">
        <v>-181432</v>
      </c>
      <c r="Q19" s="10">
        <v>-220492</v>
      </c>
      <c r="R19" s="10">
        <v>-95687</v>
      </c>
      <c r="S19" s="9">
        <f>-230672-15302-25000-15540</f>
        <v>-286514</v>
      </c>
      <c r="T19" s="249">
        <f>-286514</f>
        <v>-286514</v>
      </c>
      <c r="U19" s="190">
        <v>-130000</v>
      </c>
      <c r="V19" s="236" t="s">
        <v>2903</v>
      </c>
      <c r="W19" s="276" t="s">
        <v>2904</v>
      </c>
    </row>
    <row r="20" spans="1:24" x14ac:dyDescent="0.3">
      <c r="A20" s="4" t="s">
        <v>45</v>
      </c>
      <c r="B20" s="38">
        <v>-32646</v>
      </c>
      <c r="C20" s="38">
        <v>-42437</v>
      </c>
      <c r="D20" s="38">
        <v>-26923</v>
      </c>
      <c r="E20" s="38">
        <v>-32572</v>
      </c>
      <c r="F20" s="38">
        <v>-50743</v>
      </c>
      <c r="G20" s="38">
        <v>-52811</v>
      </c>
      <c r="H20" s="38">
        <v>-126816</v>
      </c>
      <c r="I20" s="38">
        <f>-953-23023-1120-3576-498-29220-3576-3576-48894</f>
        <v>-114436</v>
      </c>
      <c r="J20" s="38">
        <f>-975-3576-25151+2412-26894-7152-45412</f>
        <v>-106748</v>
      </c>
      <c r="K20" s="10">
        <v>-134562</v>
      </c>
      <c r="L20" s="10">
        <v>-150140</v>
      </c>
      <c r="M20" s="10">
        <v>-104717</v>
      </c>
      <c r="N20" s="10">
        <v>-122818</v>
      </c>
      <c r="O20" s="10">
        <v>-100638</v>
      </c>
      <c r="P20" s="10">
        <v>-133504</v>
      </c>
      <c r="Q20" s="10">
        <v>-140769</v>
      </c>
      <c r="R20" s="10">
        <v>-121835</v>
      </c>
      <c r="S20" s="9">
        <f>-140633</f>
        <v>-140633</v>
      </c>
      <c r="T20" s="249">
        <v>-140633</v>
      </c>
      <c r="U20" s="190">
        <v>-120000</v>
      </c>
      <c r="W20" s="197"/>
      <c r="X20" s="55"/>
    </row>
    <row r="21" spans="1:24" ht="21.6" x14ac:dyDescent="0.3">
      <c r="A21" s="4" t="s">
        <v>508</v>
      </c>
      <c r="B21" s="38">
        <v>-11755</v>
      </c>
      <c r="C21" s="38">
        <v>-20024</v>
      </c>
      <c r="D21" s="38">
        <v>-13297</v>
      </c>
      <c r="E21" s="38">
        <v>-14853.42</v>
      </c>
      <c r="F21" s="38">
        <v>-18717</v>
      </c>
      <c r="G21" s="38">
        <v>-4027</v>
      </c>
      <c r="H21" s="38">
        <v>-20624</v>
      </c>
      <c r="I21" s="38">
        <f>-3208-5440+2557-5729-1907+1985-874-1767-2130-3432-789-9120-114-867-1407-1435-38-5807-8282</f>
        <v>-47804</v>
      </c>
      <c r="J21" s="38">
        <f>-3760-1277-3685+3685-2253-17843-2444-4021-349-5145-111-368-279-322</f>
        <v>-38172</v>
      </c>
      <c r="K21" s="10">
        <v>-17887</v>
      </c>
      <c r="L21" s="10">
        <v>-4522</v>
      </c>
      <c r="M21" s="10">
        <v>0</v>
      </c>
      <c r="N21" s="10">
        <v>-469</v>
      </c>
      <c r="O21" s="10">
        <v>-225</v>
      </c>
      <c r="P21" s="10">
        <v>-519</v>
      </c>
      <c r="Q21" s="10">
        <v>-58306</v>
      </c>
      <c r="R21" s="10">
        <v>-29423</v>
      </c>
      <c r="S21" s="9">
        <v>-31254</v>
      </c>
      <c r="T21" s="249">
        <v>-31254</v>
      </c>
      <c r="U21" s="190">
        <v>-45000</v>
      </c>
      <c r="V21" s="217" t="s">
        <v>2905</v>
      </c>
      <c r="W21" s="197"/>
    </row>
    <row r="22" spans="1:24" ht="28.8" customHeight="1" x14ac:dyDescent="0.3">
      <c r="A22" s="4" t="s">
        <v>1633</v>
      </c>
      <c r="B22" s="38">
        <v>-4800</v>
      </c>
      <c r="C22" s="38">
        <v>-3398</v>
      </c>
      <c r="D22" s="38">
        <v>0</v>
      </c>
      <c r="E22" s="38">
        <v>-7138</v>
      </c>
      <c r="F22" s="38">
        <v>-3450</v>
      </c>
      <c r="G22" s="38">
        <v>-8100</v>
      </c>
      <c r="H22" s="38">
        <v>-6790</v>
      </c>
      <c r="I22" s="38">
        <f>-2940-7000-2500-2800-185+23111-23111-31150-1700-495-1000</f>
        <v>-49770</v>
      </c>
      <c r="J22" s="38">
        <f>-2100-1969-5000-500-15500-1440-629-7355</f>
        <v>-34493</v>
      </c>
      <c r="K22" s="10">
        <v>-38345</v>
      </c>
      <c r="L22" s="10">
        <v>-52120</v>
      </c>
      <c r="M22" s="10">
        <v>-70704</v>
      </c>
      <c r="N22" s="10">
        <v>-10498</v>
      </c>
      <c r="O22" s="10">
        <v>-17059</v>
      </c>
      <c r="P22" s="10">
        <v>-29952</v>
      </c>
      <c r="Q22" s="10">
        <v>-42358</v>
      </c>
      <c r="R22" s="10">
        <v>-52555</v>
      </c>
      <c r="S22" s="9">
        <f>-88520</f>
        <v>-88520</v>
      </c>
      <c r="T22" s="249">
        <v>-88520</v>
      </c>
      <c r="U22" s="190">
        <v>-90000</v>
      </c>
      <c r="V22" s="217" t="s">
        <v>2906</v>
      </c>
      <c r="W22" s="197"/>
    </row>
    <row r="23" spans="1:24" ht="33.6" customHeight="1" x14ac:dyDescent="0.3">
      <c r="A23" s="4" t="s">
        <v>940</v>
      </c>
      <c r="B23" s="38">
        <v>0</v>
      </c>
      <c r="C23" s="38">
        <v>-1700</v>
      </c>
      <c r="D23" s="38">
        <v>0</v>
      </c>
      <c r="E23" s="38">
        <v>-3400</v>
      </c>
      <c r="F23" s="38">
        <v>-3900</v>
      </c>
      <c r="G23" s="38">
        <v>-4550</v>
      </c>
      <c r="H23" s="38">
        <v>-7520</v>
      </c>
      <c r="I23" s="38">
        <f>-4500-4000-682-4000-1110</f>
        <v>-14292</v>
      </c>
      <c r="J23" s="38">
        <f>-4000-5500-4000-407</f>
        <v>-13907</v>
      </c>
      <c r="K23" s="10">
        <v>-40515</v>
      </c>
      <c r="L23" s="10">
        <v>-23150</v>
      </c>
      <c r="M23" s="10">
        <v>-39500</v>
      </c>
      <c r="N23" s="10">
        <v>-35192</v>
      </c>
      <c r="O23" s="10">
        <v>-26250</v>
      </c>
      <c r="P23" s="10">
        <v>-92029</v>
      </c>
      <c r="Q23" s="10">
        <v>-99926</v>
      </c>
      <c r="R23" s="10">
        <v>-108845</v>
      </c>
      <c r="S23" s="9">
        <f>-97977</f>
        <v>-97977</v>
      </c>
      <c r="T23" s="249">
        <v>-97977</v>
      </c>
      <c r="U23" s="190">
        <v>-210000</v>
      </c>
      <c r="V23" s="217" t="s">
        <v>2907</v>
      </c>
      <c r="W23" s="197"/>
    </row>
    <row r="24" spans="1:24" ht="28.2" customHeight="1" x14ac:dyDescent="0.3">
      <c r="A24" s="4" t="s">
        <v>39</v>
      </c>
      <c r="B24" s="38">
        <v>-18016</v>
      </c>
      <c r="C24" s="38">
        <v>-18105</v>
      </c>
      <c r="D24" s="38">
        <v>-14387</v>
      </c>
      <c r="E24" s="38">
        <v>-7915</v>
      </c>
      <c r="F24" s="38">
        <v>-13828</v>
      </c>
      <c r="G24" s="38">
        <v>-24118</v>
      </c>
      <c r="H24" s="38">
        <v>-30770</v>
      </c>
      <c r="I24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4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4" s="10">
        <v>-76389</v>
      </c>
      <c r="L24" s="10">
        <v>-81515</v>
      </c>
      <c r="M24" s="10">
        <v>-88679</v>
      </c>
      <c r="N24" s="10">
        <v>-72732</v>
      </c>
      <c r="O24" s="10">
        <v>-58100</v>
      </c>
      <c r="P24" s="10">
        <v>-79144</v>
      </c>
      <c r="Q24" s="10">
        <v>-104788</v>
      </c>
      <c r="R24" s="10">
        <v>-88174</v>
      </c>
      <c r="S24" s="9">
        <f>-100989</f>
        <v>-100989</v>
      </c>
      <c r="T24" s="249">
        <v>-100989</v>
      </c>
      <c r="U24" s="190">
        <v>-95000</v>
      </c>
      <c r="V24" s="236" t="s">
        <v>2908</v>
      </c>
      <c r="W24" s="197"/>
    </row>
    <row r="25" spans="1:24" x14ac:dyDescent="0.3">
      <c r="A25" s="4" t="s">
        <v>40</v>
      </c>
      <c r="B25" s="38">
        <v>0</v>
      </c>
      <c r="C25" s="38">
        <v>-850</v>
      </c>
      <c r="D25" s="38">
        <v>-625</v>
      </c>
      <c r="E25" s="38">
        <v>-8200</v>
      </c>
      <c r="F25" s="38">
        <v>0</v>
      </c>
      <c r="G25" s="38">
        <v>0</v>
      </c>
      <c r="H25" s="38">
        <v>-2100</v>
      </c>
      <c r="I25" s="38">
        <f>-3950</f>
        <v>-3950</v>
      </c>
      <c r="J25" s="38">
        <f>-2750</f>
        <v>-2750</v>
      </c>
      <c r="K25" s="10">
        <v>-2500</v>
      </c>
      <c r="L25" s="10">
        <v>-3050</v>
      </c>
      <c r="M25" s="10">
        <v>-3860</v>
      </c>
      <c r="N25" s="10">
        <v>-7420</v>
      </c>
      <c r="O25" s="10">
        <v>-4750</v>
      </c>
      <c r="P25" s="10">
        <v>-1231</v>
      </c>
      <c r="Q25" s="10">
        <v>-13700</v>
      </c>
      <c r="R25" s="10">
        <v>-14628</v>
      </c>
      <c r="S25" s="9">
        <v>-18771</v>
      </c>
      <c r="T25" s="249">
        <v>-18771</v>
      </c>
      <c r="U25" s="190">
        <v>-15000</v>
      </c>
      <c r="V25" s="236" t="s">
        <v>2895</v>
      </c>
      <c r="W25" s="197"/>
    </row>
    <row r="26" spans="1:24" ht="26.4" customHeight="1" x14ac:dyDescent="0.3">
      <c r="A26" s="4" t="s">
        <v>36</v>
      </c>
      <c r="B26" s="38">
        <v>-5000</v>
      </c>
      <c r="C26" s="38">
        <v>-350</v>
      </c>
      <c r="D26" s="38">
        <v>0</v>
      </c>
      <c r="E26" s="38">
        <v>-3550</v>
      </c>
      <c r="F26" s="38">
        <v>-10190</v>
      </c>
      <c r="G26" s="38">
        <v>-27295</v>
      </c>
      <c r="H26" s="38">
        <v>-13550</v>
      </c>
      <c r="I26" s="38">
        <f>-1400-1400-2700-3000-1500-1200-1400-1000-1200-1300-1500-800-1200-1400-1400-1190</f>
        <v>-23590</v>
      </c>
      <c r="J26" s="38">
        <f>-800-1200-1100-3350-1400-1000-2000-1000-1400-300-1200-1400-1800-1500-1500-1600-1400-1400</f>
        <v>-25350</v>
      </c>
      <c r="K26" s="10">
        <v>-23700</v>
      </c>
      <c r="L26" s="10">
        <v>-23490</v>
      </c>
      <c r="M26" s="10">
        <v>-20500</v>
      </c>
      <c r="N26" s="10">
        <v>-6700</v>
      </c>
      <c r="O26" s="10">
        <v>-4050</v>
      </c>
      <c r="P26" s="10">
        <v>-22800</v>
      </c>
      <c r="Q26" s="10">
        <v>-34900</v>
      </c>
      <c r="R26" s="10">
        <v>-31665</v>
      </c>
      <c r="S26" s="9">
        <v>-43100</v>
      </c>
      <c r="T26" s="249">
        <v>-43100</v>
      </c>
      <c r="U26" s="190">
        <v>-30000</v>
      </c>
      <c r="V26" s="217" t="s">
        <v>2909</v>
      </c>
      <c r="W26" s="197"/>
    </row>
    <row r="27" spans="1:24" ht="22.8" customHeight="1" x14ac:dyDescent="0.3">
      <c r="A27" s="4" t="s">
        <v>154</v>
      </c>
      <c r="B27" s="38">
        <v>-19050</v>
      </c>
      <c r="C27" s="38">
        <f>-13250-1750</f>
        <v>-15000</v>
      </c>
      <c r="D27" s="38">
        <v>-19650</v>
      </c>
      <c r="E27" s="38">
        <v>-15750</v>
      </c>
      <c r="F27" s="38">
        <v>-21750</v>
      </c>
      <c r="G27" s="38">
        <v>-30300</v>
      </c>
      <c r="H27" s="38">
        <v>-23520</v>
      </c>
      <c r="I27" s="38">
        <f>950+4008-3900-500-15200+1000-500-1000-2000+1000-250-7000-600-7500</f>
        <v>-31492</v>
      </c>
      <c r="J27" s="38">
        <f>-1000-3000-6600-9700-4500-1900-1200-2000-2400-2000-400-500-2000</f>
        <v>-37200</v>
      </c>
      <c r="K27" s="10">
        <v>-30550</v>
      </c>
      <c r="L27" s="10">
        <v>-32750</v>
      </c>
      <c r="M27" s="10">
        <v>-41400</v>
      </c>
      <c r="N27" s="10">
        <v>-35920</v>
      </c>
      <c r="O27" s="10">
        <v>-14840</v>
      </c>
      <c r="P27" s="10">
        <v>-30440</v>
      </c>
      <c r="Q27" s="10">
        <v>-32200</v>
      </c>
      <c r="R27" s="10">
        <v>-24300</v>
      </c>
      <c r="S27" s="9">
        <v>-32650</v>
      </c>
      <c r="T27" s="249">
        <v>-32650</v>
      </c>
      <c r="U27" s="190">
        <v>-25000</v>
      </c>
      <c r="V27" s="217" t="s">
        <v>2910</v>
      </c>
      <c r="W27" s="197"/>
    </row>
    <row r="28" spans="1:24" x14ac:dyDescent="0.3">
      <c r="A28" s="4" t="s">
        <v>43</v>
      </c>
      <c r="B28" s="38">
        <v>-14470</v>
      </c>
      <c r="C28" s="38">
        <v>-10300</v>
      </c>
      <c r="D28" s="38">
        <v>-4860</v>
      </c>
      <c r="E28" s="38">
        <v>0</v>
      </c>
      <c r="F28" s="38">
        <v>-18405</v>
      </c>
      <c r="G28" s="38">
        <v>-10950</v>
      </c>
      <c r="H28" s="38">
        <v>-9515</v>
      </c>
      <c r="I28" s="38">
        <f>-300-8900+850-1250-3500</f>
        <v>-13100</v>
      </c>
      <c r="J28" s="38">
        <f>-4700-2390-8400</f>
        <v>-15490</v>
      </c>
      <c r="K28" s="10">
        <v>-14710</v>
      </c>
      <c r="L28" s="10">
        <v>-18980</v>
      </c>
      <c r="M28" s="10">
        <v>-15500</v>
      </c>
      <c r="N28" s="10">
        <v>-14350</v>
      </c>
      <c r="O28" s="10">
        <v>-15370</v>
      </c>
      <c r="P28" s="10">
        <v>-5340</v>
      </c>
      <c r="Q28" s="10">
        <v>-4080</v>
      </c>
      <c r="R28" s="10">
        <v>-23540</v>
      </c>
      <c r="S28" s="9">
        <v>-18610</v>
      </c>
      <c r="T28" s="249">
        <v>-18610</v>
      </c>
      <c r="U28" s="190">
        <v>-10000</v>
      </c>
      <c r="V28" s="217" t="s">
        <v>2900</v>
      </c>
      <c r="W28" s="197"/>
    </row>
    <row r="29" spans="1:24" ht="34.799999999999997" customHeight="1" x14ac:dyDescent="0.3">
      <c r="A29" s="4" t="s">
        <v>44</v>
      </c>
      <c r="B29" s="38">
        <v>-25000</v>
      </c>
      <c r="C29" s="38">
        <v>-15000</v>
      </c>
      <c r="D29" s="38">
        <v>-17500</v>
      </c>
      <c r="E29" s="38">
        <v>-30416</v>
      </c>
      <c r="F29" s="38">
        <v>-16000</v>
      </c>
      <c r="G29" s="38">
        <v>-34000</v>
      </c>
      <c r="H29" s="38">
        <v>-27000</v>
      </c>
      <c r="I29" s="38">
        <f>-12500-1000-2000-5000-3000</f>
        <v>-23500</v>
      </c>
      <c r="J29" s="38">
        <f>-1500-10000-500-4000</f>
        <v>-16000</v>
      </c>
      <c r="K29" s="10">
        <v>-39400</v>
      </c>
      <c r="L29" s="10">
        <v>-28600</v>
      </c>
      <c r="M29" s="10">
        <v>-18000</v>
      </c>
      <c r="N29" s="10">
        <v>-25600</v>
      </c>
      <c r="O29" s="10">
        <v>-53500</v>
      </c>
      <c r="P29" s="10">
        <f>-55750</f>
        <v>-55750</v>
      </c>
      <c r="Q29" s="10">
        <v>-66350</v>
      </c>
      <c r="R29" s="10">
        <v>-80025</v>
      </c>
      <c r="S29" s="9">
        <f>-74825</f>
        <v>-74825</v>
      </c>
      <c r="T29" s="249">
        <v>-74825</v>
      </c>
      <c r="U29" s="190">
        <v>-80000</v>
      </c>
      <c r="V29" s="217" t="s">
        <v>2911</v>
      </c>
      <c r="W29" s="197"/>
    </row>
    <row r="30" spans="1:24" ht="27" customHeight="1" x14ac:dyDescent="0.3">
      <c r="A30" s="4" t="s">
        <v>56</v>
      </c>
      <c r="B30" s="38">
        <v>-4459</v>
      </c>
      <c r="C30" s="38">
        <v>-12173</v>
      </c>
      <c r="D30" s="38">
        <v>0</v>
      </c>
      <c r="E30" s="38">
        <v>-180</v>
      </c>
      <c r="F30" s="38">
        <v>-1887</v>
      </c>
      <c r="G30" s="38">
        <v>0</v>
      </c>
      <c r="H30" s="38">
        <v>0</v>
      </c>
      <c r="I30" s="38">
        <v>0</v>
      </c>
      <c r="J30" s="38">
        <f>-500-2500-500-1000</f>
        <v>-4500</v>
      </c>
      <c r="K30" s="10">
        <v>-10000</v>
      </c>
      <c r="L30" s="10">
        <v>-14500</v>
      </c>
      <c r="M30" s="10">
        <v>-12500</v>
      </c>
      <c r="N30" s="10">
        <v>-14000</v>
      </c>
      <c r="O30" s="10">
        <v>-9500</v>
      </c>
      <c r="P30" s="10">
        <f>-19000-4000</f>
        <v>-23000</v>
      </c>
      <c r="Q30" s="10">
        <v>-19850</v>
      </c>
      <c r="R30" s="10">
        <v>-27630</v>
      </c>
      <c r="S30" s="9">
        <v>-36000</v>
      </c>
      <c r="T30" s="249">
        <v>-36000</v>
      </c>
      <c r="U30" s="190">
        <v>-36000</v>
      </c>
      <c r="V30" s="217" t="s">
        <v>2912</v>
      </c>
    </row>
    <row r="31" spans="1:24" x14ac:dyDescent="0.3">
      <c r="A31" s="4" t="s">
        <v>32</v>
      </c>
      <c r="B31" s="38">
        <f>-2650-3100-1600</f>
        <v>-7350</v>
      </c>
      <c r="C31" s="38">
        <f>-250-2500-1842</f>
        <v>-4592</v>
      </c>
      <c r="D31" s="38">
        <f>-250-4500-1899</f>
        <v>-6649</v>
      </c>
      <c r="E31" s="38">
        <v>-6338</v>
      </c>
      <c r="F31" s="38">
        <v>-6643</v>
      </c>
      <c r="G31" s="38">
        <v>-3530</v>
      </c>
      <c r="H31" s="38">
        <v>-1024</v>
      </c>
      <c r="I31" s="38">
        <f>-774-250</f>
        <v>-1024</v>
      </c>
      <c r="J31" s="38">
        <f>-771-500</f>
        <v>-1271</v>
      </c>
      <c r="K31" s="10">
        <v>-3000</v>
      </c>
      <c r="L31" s="10">
        <v>-500</v>
      </c>
      <c r="M31" s="10">
        <v>-500</v>
      </c>
      <c r="N31" s="10">
        <v>-500</v>
      </c>
      <c r="O31" s="10">
        <v>-500</v>
      </c>
      <c r="P31" s="10">
        <v>-500</v>
      </c>
      <c r="Q31" s="10">
        <v>-500</v>
      </c>
      <c r="R31" s="10">
        <v>-500</v>
      </c>
      <c r="S31" s="9">
        <v>-500</v>
      </c>
      <c r="T31" s="249">
        <v>-500</v>
      </c>
      <c r="U31" s="190">
        <v>-500</v>
      </c>
    </row>
    <row r="32" spans="1:24" ht="21.6" x14ac:dyDescent="0.3">
      <c r="A32" s="4" t="s">
        <v>491</v>
      </c>
      <c r="B32" s="38">
        <v>0</v>
      </c>
      <c r="C32" s="38">
        <f>-75994-6425</f>
        <v>-82419</v>
      </c>
      <c r="D32" s="38">
        <f>-29362-12800</f>
        <v>-42162</v>
      </c>
      <c r="E32" s="38">
        <v>0</v>
      </c>
      <c r="F32" s="38">
        <v>0</v>
      </c>
      <c r="G32" s="38">
        <v>-102305</v>
      </c>
      <c r="H32" s="38">
        <v>-94393</v>
      </c>
      <c r="I32" s="38">
        <f>-1824-(23*800)-34400-1130-45448</f>
        <v>-101202</v>
      </c>
      <c r="J32" s="38">
        <f>-268-800-800-800-800-800-800-800-800-800-800-800-800-800-800-800-800-800-264-800-800-28998-800-800-800-36777</f>
        <v>-83907</v>
      </c>
      <c r="K32" s="10">
        <v>-90569</v>
      </c>
      <c r="L32" s="10">
        <v>-87302</v>
      </c>
      <c r="M32" s="10">
        <v>-94382</v>
      </c>
      <c r="N32" s="10">
        <v>-111217</v>
      </c>
      <c r="O32" s="10">
        <v>-128246</v>
      </c>
      <c r="P32" s="10">
        <v>-166907</v>
      </c>
      <c r="Q32" s="10">
        <v>-161843</v>
      </c>
      <c r="R32" s="10">
        <v>-202575</v>
      </c>
      <c r="S32" s="9">
        <f>-256550</f>
        <v>-256550</v>
      </c>
      <c r="T32" s="249">
        <v>-256550</v>
      </c>
      <c r="U32" s="190">
        <v>-200000</v>
      </c>
      <c r="V32" s="217" t="s">
        <v>2886</v>
      </c>
      <c r="W32" s="197"/>
    </row>
    <row r="33" spans="1:23" ht="21.6" x14ac:dyDescent="0.3">
      <c r="A33" s="4" t="s">
        <v>2830</v>
      </c>
      <c r="B33" s="38">
        <v>0</v>
      </c>
      <c r="C33" s="38">
        <f>-75994-6425</f>
        <v>-82419</v>
      </c>
      <c r="D33" s="38">
        <f>-29362-12800</f>
        <v>-42162</v>
      </c>
      <c r="E33" s="38">
        <v>0</v>
      </c>
      <c r="F33" s="38">
        <v>0</v>
      </c>
      <c r="G33" s="38">
        <v>-102305</v>
      </c>
      <c r="H33" s="38">
        <v>-94393</v>
      </c>
      <c r="I33" s="38">
        <f>-1824-(23*800)-34400-1130-45448</f>
        <v>-101202</v>
      </c>
      <c r="J33" s="38">
        <f>-268-800-800-800-800-800-800-800-800-800-800-800-800-800-800-800-800-800-264-800-800-28998-800-800-800-36777</f>
        <v>-83907</v>
      </c>
      <c r="K33" s="10">
        <v>-90569</v>
      </c>
      <c r="L33" s="10">
        <v>-87302</v>
      </c>
      <c r="M33" s="10">
        <v>-94382</v>
      </c>
      <c r="N33" s="10">
        <v>-111217</v>
      </c>
      <c r="O33" s="10"/>
      <c r="P33" s="10"/>
      <c r="Q33" s="10"/>
      <c r="R33" s="10"/>
      <c r="S33" s="9">
        <v>-114703</v>
      </c>
      <c r="T33" s="249">
        <v>-114703</v>
      </c>
      <c r="U33" s="190">
        <v>-120000</v>
      </c>
      <c r="V33" s="217" t="s">
        <v>2887</v>
      </c>
      <c r="W33" s="197"/>
    </row>
    <row r="34" spans="1:23" hidden="1" x14ac:dyDescent="0.3">
      <c r="A34" s="4" t="s">
        <v>33</v>
      </c>
      <c r="B34" s="38">
        <v>0</v>
      </c>
      <c r="C34" s="38">
        <v>0</v>
      </c>
      <c r="D34" s="38">
        <v>0</v>
      </c>
      <c r="E34" s="38">
        <v>-741</v>
      </c>
      <c r="F34" s="38">
        <v>-547</v>
      </c>
      <c r="G34" s="38">
        <v>-154</v>
      </c>
      <c r="H34" s="38">
        <v>-510</v>
      </c>
      <c r="I34" s="38">
        <v>0</v>
      </c>
      <c r="J34" s="38">
        <f>-160</f>
        <v>-160</v>
      </c>
      <c r="K34" s="10">
        <v>0</v>
      </c>
      <c r="L34" s="10">
        <v>0</v>
      </c>
      <c r="M34" s="10">
        <v>0</v>
      </c>
      <c r="N34" s="10">
        <v>0</v>
      </c>
      <c r="O34" s="10"/>
      <c r="P34" s="10"/>
      <c r="Q34" s="10"/>
      <c r="R34" s="10"/>
      <c r="S34" s="9"/>
      <c r="T34" s="249">
        <v>0</v>
      </c>
      <c r="U34" s="190">
        <v>0</v>
      </c>
      <c r="W34" s="197"/>
    </row>
    <row r="35" spans="1:23" ht="31.2" customHeight="1" x14ac:dyDescent="0.3">
      <c r="A35" s="4" t="s">
        <v>493</v>
      </c>
      <c r="B35" s="38">
        <f>-635-7900</f>
        <v>-8535</v>
      </c>
      <c r="C35" s="38">
        <f>-1500-935-3800-2859-81</f>
        <v>-9175</v>
      </c>
      <c r="D35" s="38">
        <f>-755-1100</f>
        <v>-1855</v>
      </c>
      <c r="E35" s="38">
        <f>-2424-5850</f>
        <v>-8274</v>
      </c>
      <c r="F35" s="38">
        <v>-4637.7700000000004</v>
      </c>
      <c r="G35" s="38">
        <f>-2261-14329</f>
        <v>-16590</v>
      </c>
      <c r="H35" s="38">
        <v>-8129</v>
      </c>
      <c r="I35" s="38">
        <f>-469-740+140+140-4815-234</f>
        <v>-5978</v>
      </c>
      <c r="J35" s="38">
        <f>140-1170-608-2080-341</f>
        <v>-4059</v>
      </c>
      <c r="K35" s="10">
        <v>-11110</v>
      </c>
      <c r="L35" s="10">
        <f>-1688+-1553</f>
        <v>-3241</v>
      </c>
      <c r="M35" s="10">
        <f>-6416-763</f>
        <v>-7179</v>
      </c>
      <c r="N35" s="10">
        <f>-2226-250-4352</f>
        <v>-6828</v>
      </c>
      <c r="O35" s="10">
        <f>-2835-250-1000</f>
        <v>-4085</v>
      </c>
      <c r="P35" s="10">
        <v>-5059</v>
      </c>
      <c r="Q35" s="10">
        <f>-750-1134-300-1094-78-365-350-711-1000-295-148</f>
        <v>-6225</v>
      </c>
      <c r="R35" s="244">
        <f>-750-65-1368-1000-308-1600-90-74-1368-187-130-75-500-800-100-132-500</f>
        <v>-9047</v>
      </c>
      <c r="S35" s="9">
        <f>-10496-445</f>
        <v>-10941</v>
      </c>
      <c r="T35" s="249">
        <v>-10941</v>
      </c>
      <c r="U35" s="190">
        <v>-5000</v>
      </c>
      <c r="V35" s="217" t="s">
        <v>2772</v>
      </c>
      <c r="W35" s="197"/>
    </row>
    <row r="36" spans="1:23" x14ac:dyDescent="0.3">
      <c r="A36" s="7" t="s">
        <v>2555</v>
      </c>
      <c r="B36" s="39">
        <f t="shared" ref="B36:S36" si="3">SUM(B19:B35)</f>
        <v>-218877</v>
      </c>
      <c r="C36" s="39">
        <f t="shared" si="3"/>
        <v>-341353</v>
      </c>
      <c r="D36" s="39">
        <f t="shared" si="3"/>
        <v>-230006</v>
      </c>
      <c r="E36" s="39">
        <f t="shared" si="3"/>
        <v>-247088.42</v>
      </c>
      <c r="F36" s="39">
        <f t="shared" si="3"/>
        <v>-325572.77</v>
      </c>
      <c r="G36" s="39">
        <f t="shared" si="3"/>
        <v>-559750</v>
      </c>
      <c r="H36" s="39">
        <f t="shared" si="3"/>
        <v>-561459</v>
      </c>
      <c r="I36" s="39">
        <f t="shared" si="3"/>
        <v>-719361</v>
      </c>
      <c r="J36" s="39">
        <f t="shared" si="3"/>
        <v>-668640</v>
      </c>
      <c r="K36" s="12">
        <f t="shared" si="3"/>
        <v>-825567</v>
      </c>
      <c r="L36" s="12">
        <f t="shared" si="3"/>
        <v>-681388</v>
      </c>
      <c r="M36" s="12">
        <f t="shared" si="3"/>
        <v>-732678</v>
      </c>
      <c r="N36" s="12">
        <f t="shared" si="3"/>
        <v>-656833</v>
      </c>
      <c r="O36" s="12">
        <f t="shared" ref="O36" si="4">SUM(O19:O35)</f>
        <v>-596955</v>
      </c>
      <c r="P36" s="12">
        <f t="shared" si="3"/>
        <v>-827607</v>
      </c>
      <c r="Q36" s="12">
        <f t="shared" ref="Q36:R36" si="5">SUM(Q19:Q35)</f>
        <v>-1006287</v>
      </c>
      <c r="R36" s="12">
        <f t="shared" si="5"/>
        <v>-910429</v>
      </c>
      <c r="S36" s="11">
        <f t="shared" si="3"/>
        <v>-1352537</v>
      </c>
      <c r="T36" s="250">
        <f>SUM(T19:T35)</f>
        <v>-1352537</v>
      </c>
      <c r="U36" s="191">
        <f>SUM(U19:U35)</f>
        <v>-1211500</v>
      </c>
      <c r="V36" s="272"/>
      <c r="W36" s="206"/>
    </row>
    <row r="37" spans="1:23" hidden="1" x14ac:dyDescent="0.3">
      <c r="A37" s="7"/>
      <c r="B37" s="41"/>
      <c r="C37" s="41"/>
      <c r="D37" s="41"/>
      <c r="E37" s="39"/>
      <c r="F37" s="39"/>
      <c r="G37" s="39"/>
      <c r="H37" s="39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113"/>
      <c r="T37" s="250"/>
      <c r="U37" s="191"/>
      <c r="W37" s="207"/>
    </row>
    <row r="38" spans="1:23" s="13" customFormat="1" ht="38.25" hidden="1" customHeight="1" x14ac:dyDescent="0.3">
      <c r="A38" s="7" t="s">
        <v>48</v>
      </c>
      <c r="B38" s="39">
        <f t="shared" ref="B38:S38" si="6">+B36+B16</f>
        <v>-24174</v>
      </c>
      <c r="C38" s="39">
        <f t="shared" si="6"/>
        <v>90222</v>
      </c>
      <c r="D38" s="39">
        <f t="shared" si="6"/>
        <v>52801</v>
      </c>
      <c r="E38" s="39">
        <f t="shared" si="6"/>
        <v>61890.859999999957</v>
      </c>
      <c r="F38" s="39">
        <f t="shared" si="6"/>
        <v>65140.510000000009</v>
      </c>
      <c r="G38" s="39">
        <f t="shared" si="6"/>
        <v>-186130</v>
      </c>
      <c r="H38" s="39">
        <f t="shared" si="6"/>
        <v>13716</v>
      </c>
      <c r="I38" s="12">
        <f t="shared" si="6"/>
        <v>8475</v>
      </c>
      <c r="J38" s="12">
        <f t="shared" si="6"/>
        <v>33650</v>
      </c>
      <c r="K38" s="12">
        <f t="shared" si="6"/>
        <v>-90243</v>
      </c>
      <c r="L38" s="12">
        <f t="shared" si="6"/>
        <v>-9760</v>
      </c>
      <c r="M38" s="12">
        <f t="shared" si="6"/>
        <v>-15024</v>
      </c>
      <c r="N38" s="12">
        <f t="shared" si="6"/>
        <v>106700</v>
      </c>
      <c r="O38" s="12">
        <f t="shared" si="6"/>
        <v>104927</v>
      </c>
      <c r="P38" s="12">
        <f t="shared" si="6"/>
        <v>4017</v>
      </c>
      <c r="Q38" s="12">
        <f t="shared" si="6"/>
        <v>-67622</v>
      </c>
      <c r="R38" s="12">
        <f t="shared" si="6"/>
        <v>2288</v>
      </c>
      <c r="S38" s="11">
        <f t="shared" si="6"/>
        <v>13992</v>
      </c>
      <c r="T38" s="250">
        <f>T16+T36</f>
        <v>13992</v>
      </c>
      <c r="U38" s="191">
        <f>U16+U36</f>
        <v>10500</v>
      </c>
      <c r="V38" s="217"/>
      <c r="W38" s="207"/>
    </row>
    <row r="39" spans="1:23" s="13" customFormat="1" hidden="1" x14ac:dyDescent="0.3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1"/>
      <c r="T39" s="250"/>
      <c r="U39" s="191"/>
      <c r="V39" s="217"/>
      <c r="W39" s="207"/>
    </row>
    <row r="40" spans="1:23" s="13" customFormat="1" hidden="1" x14ac:dyDescent="0.3">
      <c r="A40" s="7" t="s">
        <v>1530</v>
      </c>
      <c r="B40" s="39">
        <v>-10000</v>
      </c>
      <c r="C40" s="39">
        <v>-10000</v>
      </c>
      <c r="D40" s="39">
        <v>-10000</v>
      </c>
      <c r="E40" s="39">
        <v>-10000</v>
      </c>
      <c r="F40" s="39">
        <v>-10000</v>
      </c>
      <c r="G40" s="39">
        <v>-14449</v>
      </c>
      <c r="H40" s="39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1">
        <v>0</v>
      </c>
      <c r="T40" s="250">
        <v>0</v>
      </c>
      <c r="U40" s="191">
        <v>0</v>
      </c>
      <c r="V40" s="217"/>
      <c r="W40" s="206"/>
    </row>
    <row r="41" spans="1:23" s="13" customFormat="1" ht="16.2" thickBot="1" x14ac:dyDescent="0.35">
      <c r="A41" s="7"/>
      <c r="B41" s="41"/>
      <c r="C41" s="41"/>
      <c r="D41" s="41"/>
      <c r="E41" s="39"/>
      <c r="F41" s="39"/>
      <c r="G41" s="39"/>
      <c r="H41" s="39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4"/>
      <c r="T41" s="251"/>
      <c r="U41" s="210"/>
      <c r="V41" s="272"/>
      <c r="W41" s="206"/>
    </row>
    <row r="42" spans="1:23" s="13" customFormat="1" ht="16.2" thickBot="1" x14ac:dyDescent="0.35">
      <c r="A42" s="7" t="s">
        <v>2557</v>
      </c>
      <c r="B42" s="39">
        <f t="shared" ref="B42:T42" si="7">+B40+B38</f>
        <v>-34174</v>
      </c>
      <c r="C42" s="39">
        <f t="shared" si="7"/>
        <v>80222</v>
      </c>
      <c r="D42" s="39">
        <f t="shared" si="7"/>
        <v>42801</v>
      </c>
      <c r="E42" s="39">
        <f t="shared" si="7"/>
        <v>51890.859999999957</v>
      </c>
      <c r="F42" s="39">
        <f t="shared" si="7"/>
        <v>55140.510000000009</v>
      </c>
      <c r="G42" s="39">
        <f t="shared" si="7"/>
        <v>-200579</v>
      </c>
      <c r="H42" s="39">
        <f t="shared" si="7"/>
        <v>13716</v>
      </c>
      <c r="I42" s="12">
        <f t="shared" si="7"/>
        <v>8475</v>
      </c>
      <c r="J42" s="12">
        <f>+J40+J38</f>
        <v>33650</v>
      </c>
      <c r="K42" s="12">
        <f t="shared" si="7"/>
        <v>-90243</v>
      </c>
      <c r="L42" s="12">
        <f t="shared" si="7"/>
        <v>-9760</v>
      </c>
      <c r="M42" s="12">
        <f t="shared" si="7"/>
        <v>-15024</v>
      </c>
      <c r="N42" s="12">
        <f t="shared" si="7"/>
        <v>106700</v>
      </c>
      <c r="O42" s="12">
        <f t="shared" si="7"/>
        <v>104927</v>
      </c>
      <c r="P42" s="12">
        <f t="shared" si="7"/>
        <v>4017</v>
      </c>
      <c r="Q42" s="12">
        <f t="shared" si="7"/>
        <v>-67622</v>
      </c>
      <c r="R42" s="12">
        <f t="shared" si="7"/>
        <v>2288</v>
      </c>
      <c r="S42" s="154">
        <f t="shared" si="7"/>
        <v>13992</v>
      </c>
      <c r="T42" s="252">
        <f t="shared" si="7"/>
        <v>13992</v>
      </c>
      <c r="U42" s="192">
        <f>+U40+U38</f>
        <v>10500</v>
      </c>
      <c r="V42" s="217"/>
      <c r="W42" s="208"/>
    </row>
    <row r="43" spans="1:23" s="13" customFormat="1" x14ac:dyDescent="0.3">
      <c r="A43" s="4"/>
      <c r="B43" s="4"/>
      <c r="C43" s="4"/>
      <c r="D43" s="4"/>
      <c r="E43" s="4"/>
      <c r="F43" s="4"/>
      <c r="G43" s="4"/>
      <c r="H43" s="4"/>
      <c r="T43" s="58"/>
      <c r="U43" s="58"/>
      <c r="V43" s="217"/>
      <c r="W43" s="155"/>
    </row>
    <row r="44" spans="1:23" s="13" customFormat="1" x14ac:dyDescent="0.3">
      <c r="A44" s="4"/>
      <c r="B44" s="4"/>
      <c r="C44" s="4"/>
      <c r="D44" s="4"/>
      <c r="E44" s="4"/>
      <c r="F44" s="4"/>
      <c r="G44" s="4"/>
      <c r="H44" s="4"/>
      <c r="Q44" s="281"/>
      <c r="R44" s="281"/>
      <c r="S44" s="1"/>
      <c r="T44" s="278"/>
      <c r="U44" s="1"/>
      <c r="V44" s="282"/>
      <c r="W44" s="157"/>
    </row>
    <row r="45" spans="1:23" x14ac:dyDescent="0.3">
      <c r="O45" s="13"/>
      <c r="Q45" s="281"/>
      <c r="R45" s="281"/>
      <c r="T45" s="278"/>
      <c r="V45" s="282"/>
    </row>
    <row r="46" spans="1:23" x14ac:dyDescent="0.3">
      <c r="Q46" s="281"/>
      <c r="R46" s="281"/>
      <c r="T46" s="278"/>
      <c r="V46" s="282"/>
    </row>
    <row r="47" spans="1:23" x14ac:dyDescent="0.3">
      <c r="Q47" s="281"/>
      <c r="R47" s="281"/>
      <c r="T47" s="278"/>
      <c r="V47" s="282"/>
    </row>
    <row r="48" spans="1:23" x14ac:dyDescent="0.3">
      <c r="Q48" s="283"/>
      <c r="R48" s="283"/>
      <c r="V48" s="284"/>
    </row>
    <row r="49" spans="16:24" x14ac:dyDescent="0.3">
      <c r="Q49" s="285"/>
      <c r="R49" s="285"/>
      <c r="T49" s="281"/>
      <c r="U49" s="4"/>
    </row>
    <row r="50" spans="16:24" s="4" customFormat="1" x14ac:dyDescent="0.3">
      <c r="P50" s="1"/>
      <c r="S50" s="1"/>
      <c r="T50" s="283"/>
      <c r="V50" s="282"/>
      <c r="W50" s="155"/>
      <c r="X50" s="1"/>
    </row>
    <row r="51" spans="16:24" s="4" customFormat="1" x14ac:dyDescent="0.3">
      <c r="S51" s="1"/>
      <c r="T51" s="283"/>
      <c r="V51" s="282"/>
      <c r="W51" s="155"/>
      <c r="X51" s="1"/>
    </row>
    <row r="52" spans="16:24" s="4" customFormat="1" x14ac:dyDescent="0.3">
      <c r="S52" s="1"/>
      <c r="T52" s="283"/>
      <c r="V52" s="282"/>
      <c r="W52" s="155"/>
      <c r="X52" s="1"/>
    </row>
    <row r="53" spans="16:24" s="4" customFormat="1" x14ac:dyDescent="0.3">
      <c r="Q53" s="1"/>
      <c r="R53" s="1"/>
      <c r="S53" s="1"/>
      <c r="T53" s="283"/>
      <c r="U53" s="1"/>
      <c r="V53" s="282"/>
      <c r="W53" s="155"/>
      <c r="X53" s="1"/>
    </row>
    <row r="54" spans="16:24" x14ac:dyDescent="0.3">
      <c r="T54" s="286"/>
      <c r="V54" s="282"/>
    </row>
    <row r="55" spans="16:24" x14ac:dyDescent="0.3">
      <c r="T55" s="286"/>
      <c r="V55" s="282"/>
    </row>
    <row r="56" spans="16:24" x14ac:dyDescent="0.3">
      <c r="V56" s="282"/>
    </row>
    <row r="57" spans="16:24" x14ac:dyDescent="0.3">
      <c r="V57" s="282"/>
    </row>
    <row r="58" spans="16:24" x14ac:dyDescent="0.3">
      <c r="V58" s="284"/>
    </row>
  </sheetData>
  <mergeCells count="2">
    <mergeCell ref="K1:M1"/>
    <mergeCell ref="O1:P1"/>
  </mergeCells>
  <pageMargins left="0.7" right="0.7" top="0.75" bottom="0.75" header="0.3" footer="0.3"/>
  <pageSetup paperSize="9" scale="58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F6553-F21F-41D4-AEB6-0C4A80D73C4F}">
  <sheetPr>
    <tabColor theme="5" tint="-0.249977111117893"/>
    <pageSetUpPr fitToPage="1"/>
  </sheetPr>
  <dimension ref="A1:U52"/>
  <sheetViews>
    <sheetView zoomScale="110" zoomScaleNormal="110" workbookViewId="0">
      <pane xSplit="1" ySplit="3" topLeftCell="L4" activePane="bottomRight" state="frozen"/>
      <selection pane="topRight" activeCell="B1" sqref="B1"/>
      <selection pane="bottomLeft" activeCell="A4" sqref="A4"/>
      <selection pane="bottomRight" activeCell="Q26" sqref="Q26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2" width="16.44140625" style="1" customWidth="1"/>
    <col min="13" max="13" width="18" style="1" customWidth="1"/>
    <col min="14" max="16" width="16.44140625" style="1" customWidth="1"/>
    <col min="17" max="18" width="18.5546875" style="1" customWidth="1"/>
    <col min="19" max="19" width="27" style="196" customWidth="1"/>
    <col min="20" max="20" width="12" style="155" customWidth="1"/>
    <col min="21" max="16384" width="9.109375" style="1"/>
  </cols>
  <sheetData>
    <row r="1" spans="1:20" ht="31.8" thickBot="1" x14ac:dyDescent="0.65">
      <c r="A1" s="211" t="s">
        <v>486</v>
      </c>
      <c r="C1" s="224"/>
      <c r="D1" s="224"/>
      <c r="I1" s="4"/>
      <c r="J1" s="4"/>
      <c r="K1" s="294" t="s">
        <v>487</v>
      </c>
      <c r="L1" s="294"/>
      <c r="M1" s="294"/>
    </row>
    <row r="2" spans="1:20" ht="16.2" thickBot="1" x14ac:dyDescent="0.35"/>
    <row r="3" spans="1:20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227">
        <v>2022</v>
      </c>
      <c r="Q3" s="253" t="s">
        <v>809</v>
      </c>
      <c r="R3" s="240" t="s">
        <v>2603</v>
      </c>
      <c r="S3" s="156"/>
      <c r="T3" s="156"/>
    </row>
    <row r="4" spans="1:20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267">
        <v>44824</v>
      </c>
      <c r="Q4" s="110">
        <v>44926</v>
      </c>
      <c r="R4" s="209"/>
      <c r="S4" s="156"/>
      <c r="T4" s="156"/>
    </row>
    <row r="5" spans="1:20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37"/>
      <c r="Q5" s="111"/>
      <c r="R5" s="8"/>
      <c r="S5" s="155"/>
    </row>
    <row r="6" spans="1:20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9">
        <v>92351</v>
      </c>
      <c r="Q6" s="249">
        <v>180000</v>
      </c>
      <c r="R6" s="190">
        <v>190000</v>
      </c>
      <c r="S6" s="217" t="s">
        <v>2605</v>
      </c>
    </row>
    <row r="7" spans="1:20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9">
        <v>187000</v>
      </c>
      <c r="Q7" s="249">
        <v>187000</v>
      </c>
      <c r="R7" s="190">
        <v>160000</v>
      </c>
      <c r="S7" s="236" t="s">
        <v>2622</v>
      </c>
    </row>
    <row r="8" spans="1:20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9">
        <v>70325</v>
      </c>
      <c r="Q8" s="249">
        <v>80000</v>
      </c>
      <c r="R8" s="190">
        <v>40000</v>
      </c>
      <c r="S8" s="236"/>
    </row>
    <row r="9" spans="1:20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9">
        <v>23422</v>
      </c>
      <c r="Q9" s="249">
        <v>23000</v>
      </c>
      <c r="R9" s="190">
        <v>15000</v>
      </c>
      <c r="S9" s="236" t="s">
        <v>2621</v>
      </c>
    </row>
    <row r="10" spans="1:20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9">
        <v>79900</v>
      </c>
      <c r="Q10" s="249">
        <v>80000</v>
      </c>
      <c r="R10" s="190">
        <v>40000</v>
      </c>
      <c r="S10" s="217" t="s">
        <v>2625</v>
      </c>
    </row>
    <row r="11" spans="1:20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9">
        <v>145695</v>
      </c>
      <c r="Q11" s="249">
        <v>146000</v>
      </c>
      <c r="R11" s="190">
        <v>110000</v>
      </c>
      <c r="S11" s="155"/>
    </row>
    <row r="12" spans="1:20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9"/>
      <c r="Q12" s="249">
        <v>0</v>
      </c>
      <c r="R12" s="190">
        <v>0</v>
      </c>
      <c r="S12" s="155"/>
    </row>
    <row r="13" spans="1:20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9"/>
      <c r="Q13" s="249">
        <v>0</v>
      </c>
      <c r="R13" s="190">
        <v>0</v>
      </c>
      <c r="S13" s="155"/>
    </row>
    <row r="14" spans="1:20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9">
        <v>35940</v>
      </c>
      <c r="Q14" s="249">
        <v>36000</v>
      </c>
      <c r="R14" s="190">
        <v>40000</v>
      </c>
      <c r="S14" s="236" t="s">
        <v>2623</v>
      </c>
    </row>
    <row r="15" spans="1:20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2">
        <f>SUM(M6:M14)</f>
        <v>627974</v>
      </c>
      <c r="N15" s="12">
        <f>SUM(N6:N14)</f>
        <v>667900</v>
      </c>
      <c r="O15" s="12">
        <f>SUM(O6:O14)</f>
        <v>701882</v>
      </c>
      <c r="P15" s="11">
        <f>SUM(P6:P14)</f>
        <v>634633</v>
      </c>
      <c r="Q15" s="250">
        <f t="shared" ref="Q15:R15" si="2">SUM(Q6:Q14)</f>
        <v>732000</v>
      </c>
      <c r="R15" s="191">
        <f t="shared" si="2"/>
        <v>595000</v>
      </c>
      <c r="S15" s="155"/>
    </row>
    <row r="16" spans="1:20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P16" s="111"/>
      <c r="Q16" s="249"/>
      <c r="R16" s="190"/>
      <c r="S16" s="155"/>
    </row>
    <row r="17" spans="1:21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P17" s="112"/>
      <c r="Q17" s="249"/>
      <c r="R17" s="190"/>
      <c r="S17" s="159"/>
      <c r="T17" s="159"/>
    </row>
    <row r="18" spans="1:21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9">
        <v>-179315</v>
      </c>
      <c r="Q18" s="249">
        <v>-185000</v>
      </c>
      <c r="R18" s="190">
        <v>-150000</v>
      </c>
      <c r="S18" s="157" t="s">
        <v>2572</v>
      </c>
      <c r="T18" s="197"/>
    </row>
    <row r="19" spans="1:21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9">
        <v>-85302</v>
      </c>
      <c r="Q19" s="249">
        <v>-130000</v>
      </c>
      <c r="R19" s="190">
        <v>-120000</v>
      </c>
      <c r="S19" s="157" t="s">
        <v>2498</v>
      </c>
      <c r="T19" s="197"/>
      <c r="U19" s="55"/>
    </row>
    <row r="20" spans="1:21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9">
        <v>-519</v>
      </c>
      <c r="Q20" s="249">
        <v>-1000</v>
      </c>
      <c r="R20" s="190">
        <v>0</v>
      </c>
      <c r="S20" s="157"/>
      <c r="T20" s="197"/>
    </row>
    <row r="21" spans="1:21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9">
        <v>-27952</v>
      </c>
      <c r="Q21" s="249">
        <v>-35000</v>
      </c>
      <c r="R21" s="190">
        <v>-30000</v>
      </c>
      <c r="S21" s="157" t="s">
        <v>2497</v>
      </c>
      <c r="T21" s="197"/>
    </row>
    <row r="22" spans="1:21" ht="24.6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9">
        <v>-56997</v>
      </c>
      <c r="Q22" s="249">
        <v>-70000</v>
      </c>
      <c r="R22" s="190">
        <v>-30000</v>
      </c>
      <c r="S22" s="157" t="s">
        <v>2624</v>
      </c>
      <c r="T22" s="197"/>
    </row>
    <row r="23" spans="1:21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9">
        <v>-67666</v>
      </c>
      <c r="Q23" s="249">
        <v>-80000</v>
      </c>
      <c r="R23" s="190">
        <v>-80000</v>
      </c>
      <c r="S23" s="157" t="s">
        <v>2572</v>
      </c>
      <c r="T23" s="197"/>
    </row>
    <row r="24" spans="1:21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9">
        <v>-1231</v>
      </c>
      <c r="Q24" s="249">
        <v>-6000</v>
      </c>
      <c r="R24" s="190">
        <v>-6000</v>
      </c>
      <c r="S24" s="155"/>
      <c r="T24" s="197"/>
    </row>
    <row r="25" spans="1:21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9">
        <v>-21000</v>
      </c>
      <c r="Q25" s="249">
        <v>-25000</v>
      </c>
      <c r="R25" s="190">
        <v>-15000</v>
      </c>
      <c r="S25" s="157" t="s">
        <v>2610</v>
      </c>
      <c r="T25" s="197"/>
    </row>
    <row r="26" spans="1:21" ht="24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9">
        <v>-29100</v>
      </c>
      <c r="Q26" s="249">
        <v>-35000</v>
      </c>
      <c r="R26" s="190">
        <v>-35000</v>
      </c>
      <c r="S26" s="157" t="s">
        <v>2611</v>
      </c>
      <c r="T26" s="197"/>
    </row>
    <row r="27" spans="1:21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9">
        <v>-3200</v>
      </c>
      <c r="Q27" s="249">
        <v>-15000</v>
      </c>
      <c r="R27" s="190">
        <v>-15000</v>
      </c>
      <c r="S27" s="157" t="s">
        <v>2497</v>
      </c>
      <c r="T27" s="197"/>
    </row>
    <row r="28" spans="1:21" ht="24.6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9">
        <f>-62250+8500</f>
        <v>-53750</v>
      </c>
      <c r="Q28" s="249">
        <v>-55000</v>
      </c>
      <c r="R28" s="190">
        <v>-50000</v>
      </c>
      <c r="S28" s="157" t="s">
        <v>2612</v>
      </c>
      <c r="T28" s="197"/>
    </row>
    <row r="29" spans="1:2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9">
        <v>-8500</v>
      </c>
      <c r="Q29" s="249">
        <v>-15000</v>
      </c>
      <c r="R29" s="190">
        <v>-10000</v>
      </c>
      <c r="S29" s="157" t="s">
        <v>2498</v>
      </c>
    </row>
    <row r="30" spans="1:21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9">
        <v>-500</v>
      </c>
      <c r="Q30" s="249">
        <v>-500</v>
      </c>
      <c r="R30" s="190">
        <v>-500</v>
      </c>
      <c r="S30" s="157"/>
    </row>
    <row r="31" spans="1:21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9">
        <v>-36739</v>
      </c>
      <c r="Q31" s="249">
        <v>-150000</v>
      </c>
      <c r="R31" s="190">
        <v>-110000</v>
      </c>
      <c r="S31" s="157" t="s">
        <v>2613</v>
      </c>
      <c r="T31" s="197"/>
    </row>
    <row r="32" spans="1:21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9"/>
      <c r="Q32" s="249">
        <v>0</v>
      </c>
      <c r="R32" s="190">
        <v>0</v>
      </c>
      <c r="S32" s="155"/>
      <c r="T32" s="197"/>
    </row>
    <row r="33" spans="1:21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9">
        <f>-750-1725-1000-157-130</f>
        <v>-3762</v>
      </c>
      <c r="Q33" s="249">
        <v>-5000</v>
      </c>
      <c r="R33" s="190">
        <v>-5000</v>
      </c>
      <c r="S33" s="157" t="s">
        <v>2615</v>
      </c>
      <c r="T33" s="197"/>
    </row>
    <row r="34" spans="1:21" x14ac:dyDescent="0.3">
      <c r="A34" s="7" t="s">
        <v>2555</v>
      </c>
      <c r="B34" s="39">
        <f t="shared" ref="B34:P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1">
        <f t="shared" si="3"/>
        <v>-575533</v>
      </c>
      <c r="Q34" s="250">
        <f>SUM(Q18:Q33)</f>
        <v>-807500</v>
      </c>
      <c r="R34" s="191">
        <f>SUM(R18:R33)</f>
        <v>-656500</v>
      </c>
      <c r="S34" s="205"/>
      <c r="T34" s="206"/>
    </row>
    <row r="35" spans="1:21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113"/>
      <c r="Q35" s="250"/>
      <c r="R35" s="191"/>
      <c r="S35" s="158"/>
      <c r="T35" s="207"/>
    </row>
    <row r="36" spans="1:21" s="13" customFormat="1" ht="38.25" hidden="1" customHeight="1" x14ac:dyDescent="0.3">
      <c r="A36" s="7" t="s">
        <v>48</v>
      </c>
      <c r="B36" s="39">
        <f t="shared" ref="B36:P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12">
        <f t="shared" si="5"/>
        <v>10177</v>
      </c>
      <c r="J36" s="12">
        <f t="shared" si="5"/>
        <v>36557</v>
      </c>
      <c r="K36" s="12">
        <f t="shared" si="5"/>
        <v>-84874</v>
      </c>
      <c r="L36" s="12">
        <f t="shared" si="5"/>
        <v>8025</v>
      </c>
      <c r="M36" s="12">
        <f t="shared" si="5"/>
        <v>-10322</v>
      </c>
      <c r="N36" s="12">
        <f t="shared" si="5"/>
        <v>122284</v>
      </c>
      <c r="O36" s="12">
        <f t="shared" si="5"/>
        <v>104927</v>
      </c>
      <c r="P36" s="11">
        <f t="shared" si="5"/>
        <v>59100</v>
      </c>
      <c r="Q36" s="250">
        <f>Q15+Q34</f>
        <v>-75500</v>
      </c>
      <c r="R36" s="191">
        <f>R15+R34</f>
        <v>-61500</v>
      </c>
      <c r="S36" s="158"/>
      <c r="T36" s="207"/>
    </row>
    <row r="37" spans="1:21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1"/>
      <c r="Q37" s="250"/>
      <c r="R37" s="191"/>
      <c r="S37" s="158"/>
      <c r="T37" s="207"/>
    </row>
    <row r="38" spans="1:21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1">
        <v>0</v>
      </c>
      <c r="Q38" s="250">
        <v>0</v>
      </c>
      <c r="R38" s="191">
        <v>0</v>
      </c>
      <c r="S38" s="155"/>
      <c r="T38" s="206"/>
    </row>
    <row r="39" spans="1:21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4"/>
      <c r="Q39" s="251"/>
      <c r="R39" s="210"/>
      <c r="S39" s="205"/>
      <c r="T39" s="206"/>
    </row>
    <row r="40" spans="1:21" s="13" customFormat="1" ht="16.2" thickBot="1" x14ac:dyDescent="0.35">
      <c r="A40" s="7" t="s">
        <v>2557</v>
      </c>
      <c r="B40" s="39">
        <f t="shared" ref="B40:Q40" si="6">+B38+B36</f>
        <v>-34674</v>
      </c>
      <c r="C40" s="39">
        <f t="shared" si="6"/>
        <v>76791</v>
      </c>
      <c r="D40" s="39">
        <f t="shared" si="6"/>
        <v>22713</v>
      </c>
      <c r="E40" s="39">
        <f t="shared" si="6"/>
        <v>-15009.140000000043</v>
      </c>
      <c r="F40" s="39">
        <f t="shared" si="6"/>
        <v>-35959.489999999991</v>
      </c>
      <c r="G40" s="39">
        <f t="shared" si="6"/>
        <v>-181974</v>
      </c>
      <c r="H40" s="39">
        <f t="shared" si="6"/>
        <v>13685</v>
      </c>
      <c r="I40" s="12">
        <f t="shared" si="6"/>
        <v>10177</v>
      </c>
      <c r="J40" s="12">
        <f>+J38+J36</f>
        <v>36557</v>
      </c>
      <c r="K40" s="12">
        <f t="shared" si="6"/>
        <v>-84874</v>
      </c>
      <c r="L40" s="12">
        <f t="shared" si="6"/>
        <v>8025</v>
      </c>
      <c r="M40" s="12">
        <f t="shared" si="6"/>
        <v>-10322</v>
      </c>
      <c r="N40" s="12">
        <f t="shared" si="6"/>
        <v>122284</v>
      </c>
      <c r="O40" s="12">
        <f t="shared" si="6"/>
        <v>104927</v>
      </c>
      <c r="P40" s="154">
        <f t="shared" si="6"/>
        <v>59100</v>
      </c>
      <c r="Q40" s="252">
        <f t="shared" si="6"/>
        <v>-75500</v>
      </c>
      <c r="R40" s="192">
        <f>+R38+R36</f>
        <v>-61500</v>
      </c>
      <c r="S40" s="155"/>
      <c r="T40" s="208"/>
    </row>
    <row r="41" spans="1:21" s="13" customFormat="1" x14ac:dyDescent="0.3">
      <c r="A41" s="4"/>
      <c r="B41" s="4"/>
      <c r="C41" s="4"/>
      <c r="D41" s="4"/>
      <c r="E41" s="4"/>
      <c r="F41" s="4"/>
      <c r="G41" s="4"/>
      <c r="H41" s="4"/>
      <c r="Q41" s="58"/>
      <c r="R41" s="58"/>
      <c r="S41" s="196"/>
      <c r="T41" s="155"/>
    </row>
    <row r="42" spans="1:21" x14ac:dyDescent="0.3">
      <c r="Q42" s="55"/>
      <c r="S42" s="155"/>
    </row>
    <row r="43" spans="1:21" x14ac:dyDescent="0.3">
      <c r="Q43" s="99"/>
    </row>
    <row r="44" spans="1:21" x14ac:dyDescent="0.3">
      <c r="Q44" s="222"/>
    </row>
    <row r="45" spans="1:21" x14ac:dyDescent="0.3">
      <c r="Q45" s="207"/>
    </row>
    <row r="46" spans="1:21" x14ac:dyDescent="0.3">
      <c r="Q46" s="222"/>
    </row>
    <row r="47" spans="1:21" s="4" customFormat="1" x14ac:dyDescent="0.3">
      <c r="Q47" s="99"/>
      <c r="S47" s="196"/>
      <c r="T47" s="155"/>
      <c r="U47" s="1"/>
    </row>
    <row r="48" spans="1:21" s="4" customFormat="1" x14ac:dyDescent="0.3">
      <c r="Q48" s="99"/>
      <c r="S48" s="196"/>
      <c r="T48" s="155"/>
      <c r="U48" s="1"/>
    </row>
    <row r="49" spans="17:21" s="4" customFormat="1" x14ac:dyDescent="0.3">
      <c r="Q49" s="99"/>
      <c r="S49" s="196"/>
      <c r="T49" s="155"/>
      <c r="U49" s="1"/>
    </row>
    <row r="50" spans="17:21" s="4" customFormat="1" x14ac:dyDescent="0.3">
      <c r="Q50" s="99"/>
      <c r="S50" s="196"/>
      <c r="T50" s="155"/>
      <c r="U50" s="1"/>
    </row>
    <row r="51" spans="17:21" x14ac:dyDescent="0.3">
      <c r="Q51" s="99"/>
    </row>
    <row r="52" spans="17:21" x14ac:dyDescent="0.3">
      <c r="Q52" s="223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9FA8F-A4C5-441A-B9DA-CA7AC8E96AF7}">
  <sheetPr>
    <tabColor theme="5" tint="-0.249977111117893"/>
    <pageSetUpPr fitToPage="1"/>
  </sheetPr>
  <dimension ref="A1:U52"/>
  <sheetViews>
    <sheetView zoomScale="110" zoomScaleNormal="110" workbookViewId="0">
      <pane xSplit="1" ySplit="3" topLeftCell="L4" activePane="bottomRight" state="frozen"/>
      <selection pane="topRight" activeCell="B1" sqref="B1"/>
      <selection pane="bottomLeft" activeCell="A4" sqref="A4"/>
      <selection pane="bottomRight" activeCell="N9" sqref="N9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2" width="16.44140625" style="1" customWidth="1"/>
    <col min="13" max="13" width="18" style="1" customWidth="1"/>
    <col min="14" max="16" width="16.44140625" style="1" customWidth="1"/>
    <col min="17" max="18" width="18.5546875" style="1" customWidth="1"/>
    <col min="19" max="19" width="27" style="196" customWidth="1"/>
    <col min="20" max="20" width="12" style="155" customWidth="1"/>
    <col min="21" max="16384" width="9.109375" style="1"/>
  </cols>
  <sheetData>
    <row r="1" spans="1:20" ht="31.8" thickBot="1" x14ac:dyDescent="0.65">
      <c r="A1" s="211" t="s">
        <v>486</v>
      </c>
      <c r="C1" s="224"/>
      <c r="D1" s="224"/>
      <c r="I1" s="4"/>
      <c r="J1" s="4"/>
      <c r="K1" s="294" t="s">
        <v>487</v>
      </c>
      <c r="L1" s="294"/>
      <c r="M1" s="294"/>
    </row>
    <row r="2" spans="1:20" ht="16.2" thickBot="1" x14ac:dyDescent="0.35"/>
    <row r="3" spans="1:20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227">
        <v>2022</v>
      </c>
      <c r="Q3" s="253" t="s">
        <v>809</v>
      </c>
      <c r="R3" s="240" t="s">
        <v>2603</v>
      </c>
      <c r="S3" s="156"/>
      <c r="T3" s="156"/>
    </row>
    <row r="4" spans="1:20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267">
        <v>44791</v>
      </c>
      <c r="Q4" s="110">
        <v>44926</v>
      </c>
      <c r="R4" s="209"/>
      <c r="S4" s="156"/>
      <c r="T4" s="156"/>
    </row>
    <row r="5" spans="1:20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37"/>
      <c r="Q5" s="111"/>
      <c r="R5" s="8"/>
      <c r="S5" s="155"/>
    </row>
    <row r="6" spans="1:20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9">
        <v>92351</v>
      </c>
      <c r="Q6" s="249">
        <v>190000</v>
      </c>
      <c r="R6" s="190">
        <v>190000</v>
      </c>
      <c r="S6" s="217" t="s">
        <v>2605</v>
      </c>
    </row>
    <row r="7" spans="1:20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9">
        <v>187000</v>
      </c>
      <c r="Q7" s="249">
        <v>187000</v>
      </c>
      <c r="R7" s="190">
        <v>160000</v>
      </c>
      <c r="S7" s="236" t="s">
        <v>2622</v>
      </c>
    </row>
    <row r="8" spans="1:20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9">
        <v>47024</v>
      </c>
      <c r="Q8" s="249">
        <v>70000</v>
      </c>
      <c r="R8" s="190">
        <v>40000</v>
      </c>
      <c r="S8" s="236"/>
    </row>
    <row r="9" spans="1:20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9">
        <v>23422</v>
      </c>
      <c r="Q9" s="249">
        <v>23000</v>
      </c>
      <c r="R9" s="190">
        <v>15000</v>
      </c>
      <c r="S9" s="236" t="s">
        <v>2621</v>
      </c>
    </row>
    <row r="10" spans="1:20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9">
        <v>79900</v>
      </c>
      <c r="Q10" s="249">
        <v>80000</v>
      </c>
      <c r="R10" s="190">
        <v>40000</v>
      </c>
      <c r="S10" s="217" t="s">
        <v>2625</v>
      </c>
    </row>
    <row r="11" spans="1:20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9">
        <v>145695</v>
      </c>
      <c r="Q11" s="249">
        <v>146000</v>
      </c>
      <c r="R11" s="190">
        <v>110000</v>
      </c>
      <c r="S11" s="155"/>
    </row>
    <row r="12" spans="1:20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9"/>
      <c r="Q12" s="249">
        <v>0</v>
      </c>
      <c r="R12" s="190">
        <v>0</v>
      </c>
      <c r="S12" s="155"/>
    </row>
    <row r="13" spans="1:20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9"/>
      <c r="Q13" s="249">
        <v>0</v>
      </c>
      <c r="R13" s="190">
        <v>0</v>
      </c>
      <c r="S13" s="155"/>
    </row>
    <row r="14" spans="1:20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9">
        <v>35940</v>
      </c>
      <c r="Q14" s="249">
        <v>36000</v>
      </c>
      <c r="R14" s="190">
        <v>40000</v>
      </c>
      <c r="S14" s="236" t="s">
        <v>2623</v>
      </c>
    </row>
    <row r="15" spans="1:20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2">
        <f>SUM(M6:M14)</f>
        <v>627974</v>
      </c>
      <c r="N15" s="12">
        <f>SUM(N6:N14)</f>
        <v>667900</v>
      </c>
      <c r="O15" s="12">
        <f>SUM(O6:O14)</f>
        <v>701882</v>
      </c>
      <c r="P15" s="11">
        <f>SUM(P6:P14)</f>
        <v>611332</v>
      </c>
      <c r="Q15" s="250">
        <f t="shared" ref="Q15:R15" si="2">SUM(Q6:Q14)</f>
        <v>732000</v>
      </c>
      <c r="R15" s="191">
        <f t="shared" si="2"/>
        <v>595000</v>
      </c>
      <c r="S15" s="155"/>
    </row>
    <row r="16" spans="1:20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P16" s="111"/>
      <c r="Q16" s="249"/>
      <c r="R16" s="190"/>
      <c r="S16" s="155"/>
    </row>
    <row r="17" spans="1:21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P17" s="112"/>
      <c r="Q17" s="249"/>
      <c r="R17" s="190"/>
      <c r="S17" s="159"/>
      <c r="T17" s="159"/>
    </row>
    <row r="18" spans="1:21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9">
        <v>-170014</v>
      </c>
      <c r="Q18" s="249">
        <v>-180000</v>
      </c>
      <c r="R18" s="190">
        <v>-150000</v>
      </c>
      <c r="S18" s="157" t="s">
        <v>2572</v>
      </c>
      <c r="T18" s="197"/>
    </row>
    <row r="19" spans="1:21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9">
        <v>-85302</v>
      </c>
      <c r="Q19" s="249">
        <v>-130000</v>
      </c>
      <c r="R19" s="190">
        <v>-120000</v>
      </c>
      <c r="S19" s="157" t="s">
        <v>2498</v>
      </c>
      <c r="T19" s="197"/>
      <c r="U19" s="55"/>
    </row>
    <row r="20" spans="1:21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9">
        <v>0</v>
      </c>
      <c r="Q20" s="249">
        <v>0</v>
      </c>
      <c r="R20" s="190">
        <v>0</v>
      </c>
      <c r="S20" s="157"/>
      <c r="T20" s="197"/>
    </row>
    <row r="21" spans="1:21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9">
        <v>-27952</v>
      </c>
      <c r="Q21" s="249">
        <v>-35000</v>
      </c>
      <c r="R21" s="190">
        <v>-30000</v>
      </c>
      <c r="S21" s="157" t="s">
        <v>2497</v>
      </c>
      <c r="T21" s="197"/>
    </row>
    <row r="22" spans="1:21" ht="24.6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9">
        <v>-42737</v>
      </c>
      <c r="Q22" s="249">
        <v>-80000</v>
      </c>
      <c r="R22" s="190">
        <v>-30000</v>
      </c>
      <c r="S22" s="157" t="s">
        <v>2624</v>
      </c>
      <c r="T22" s="197"/>
    </row>
    <row r="23" spans="1:21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9">
        <v>-51369</v>
      </c>
      <c r="Q23" s="249">
        <v>-75000</v>
      </c>
      <c r="R23" s="190">
        <v>-80000</v>
      </c>
      <c r="S23" s="157" t="s">
        <v>2572</v>
      </c>
      <c r="T23" s="197"/>
    </row>
    <row r="24" spans="1:21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9">
        <v>-1231</v>
      </c>
      <c r="Q24" s="249">
        <v>-6000</v>
      </c>
      <c r="R24" s="190">
        <v>-6000</v>
      </c>
      <c r="S24" s="155"/>
      <c r="T24" s="197"/>
    </row>
    <row r="25" spans="1:21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9">
        <v>-18400</v>
      </c>
      <c r="Q25" s="249">
        <v>-25000</v>
      </c>
      <c r="R25" s="190">
        <v>-15000</v>
      </c>
      <c r="S25" s="157" t="s">
        <v>2610</v>
      </c>
      <c r="T25" s="197"/>
    </row>
    <row r="26" spans="1:21" ht="24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9">
        <v>-29100</v>
      </c>
      <c r="Q26" s="249">
        <v>-35000</v>
      </c>
      <c r="R26" s="190">
        <v>-35000</v>
      </c>
      <c r="S26" s="157" t="s">
        <v>2611</v>
      </c>
      <c r="T26" s="197"/>
    </row>
    <row r="27" spans="1:21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9">
        <v>-2800</v>
      </c>
      <c r="Q27" s="249">
        <v>-15000</v>
      </c>
      <c r="R27" s="190">
        <v>-15000</v>
      </c>
      <c r="S27" s="157" t="s">
        <v>2497</v>
      </c>
      <c r="T27" s="197"/>
    </row>
    <row r="28" spans="1:21" ht="24.6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9">
        <f>-62250+8500</f>
        <v>-53750</v>
      </c>
      <c r="Q28" s="249">
        <v>-55000</v>
      </c>
      <c r="R28" s="190">
        <v>-50000</v>
      </c>
      <c r="S28" s="157" t="s">
        <v>2612</v>
      </c>
      <c r="T28" s="197"/>
    </row>
    <row r="29" spans="1:2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9">
        <v>-8500</v>
      </c>
      <c r="Q29" s="249">
        <v>-15000</v>
      </c>
      <c r="R29" s="190">
        <v>-10000</v>
      </c>
      <c r="S29" s="157" t="s">
        <v>2498</v>
      </c>
    </row>
    <row r="30" spans="1:21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9">
        <v>-500</v>
      </c>
      <c r="Q30" s="249">
        <v>-500</v>
      </c>
      <c r="R30" s="190">
        <v>-500</v>
      </c>
      <c r="S30" s="157"/>
    </row>
    <row r="31" spans="1:21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9">
        <v>-36739</v>
      </c>
      <c r="Q31" s="249">
        <v>-150000</v>
      </c>
      <c r="R31" s="190">
        <v>-110000</v>
      </c>
      <c r="S31" s="157" t="s">
        <v>2613</v>
      </c>
      <c r="T31" s="197"/>
    </row>
    <row r="32" spans="1:21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9"/>
      <c r="Q32" s="249">
        <v>0</v>
      </c>
      <c r="R32" s="190">
        <v>0</v>
      </c>
      <c r="S32" s="155"/>
      <c r="T32" s="197"/>
    </row>
    <row r="33" spans="1:21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9">
        <f>-750-1725-1000-157-130</f>
        <v>-3762</v>
      </c>
      <c r="Q33" s="249">
        <v>-5000</v>
      </c>
      <c r="R33" s="190">
        <v>-5000</v>
      </c>
      <c r="S33" s="157" t="s">
        <v>2615</v>
      </c>
      <c r="T33" s="197"/>
    </row>
    <row r="34" spans="1:21" x14ac:dyDescent="0.3">
      <c r="A34" s="7" t="s">
        <v>2555</v>
      </c>
      <c r="B34" s="39">
        <f t="shared" ref="B34:P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1">
        <f t="shared" si="3"/>
        <v>-532156</v>
      </c>
      <c r="Q34" s="250">
        <f>SUM(Q18:Q33)</f>
        <v>-806500</v>
      </c>
      <c r="R34" s="191">
        <f>SUM(R18:R33)</f>
        <v>-656500</v>
      </c>
      <c r="S34" s="205"/>
      <c r="T34" s="206"/>
    </row>
    <row r="35" spans="1:21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113"/>
      <c r="Q35" s="250"/>
      <c r="R35" s="191"/>
      <c r="S35" s="158"/>
      <c r="T35" s="207"/>
    </row>
    <row r="36" spans="1:21" s="13" customFormat="1" ht="38.25" hidden="1" customHeight="1" x14ac:dyDescent="0.3">
      <c r="A36" s="7" t="s">
        <v>48</v>
      </c>
      <c r="B36" s="39">
        <f t="shared" ref="B36:P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12">
        <f t="shared" si="5"/>
        <v>10177</v>
      </c>
      <c r="J36" s="12">
        <f t="shared" si="5"/>
        <v>36557</v>
      </c>
      <c r="K36" s="12">
        <f t="shared" si="5"/>
        <v>-84874</v>
      </c>
      <c r="L36" s="12">
        <f t="shared" si="5"/>
        <v>8025</v>
      </c>
      <c r="M36" s="12">
        <f t="shared" si="5"/>
        <v>-10322</v>
      </c>
      <c r="N36" s="12">
        <f t="shared" si="5"/>
        <v>122284</v>
      </c>
      <c r="O36" s="12">
        <f t="shared" si="5"/>
        <v>104927</v>
      </c>
      <c r="P36" s="11">
        <f t="shared" si="5"/>
        <v>79176</v>
      </c>
      <c r="Q36" s="250">
        <f>Q15+Q34</f>
        <v>-74500</v>
      </c>
      <c r="R36" s="191">
        <f>R15+R34</f>
        <v>-61500</v>
      </c>
      <c r="S36" s="158"/>
      <c r="T36" s="207"/>
    </row>
    <row r="37" spans="1:21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1"/>
      <c r="Q37" s="250"/>
      <c r="R37" s="191"/>
      <c r="S37" s="158"/>
      <c r="T37" s="207"/>
    </row>
    <row r="38" spans="1:21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1">
        <v>0</v>
      </c>
      <c r="Q38" s="250">
        <v>0</v>
      </c>
      <c r="R38" s="191">
        <v>0</v>
      </c>
      <c r="S38" s="155"/>
      <c r="T38" s="206"/>
    </row>
    <row r="39" spans="1:21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4"/>
      <c r="Q39" s="251"/>
      <c r="R39" s="210"/>
      <c r="S39" s="205"/>
      <c r="T39" s="206"/>
    </row>
    <row r="40" spans="1:21" s="13" customFormat="1" ht="16.2" thickBot="1" x14ac:dyDescent="0.35">
      <c r="A40" s="7" t="s">
        <v>2557</v>
      </c>
      <c r="B40" s="39">
        <f t="shared" ref="B40:Q40" si="6">+B38+B36</f>
        <v>-34674</v>
      </c>
      <c r="C40" s="39">
        <f t="shared" si="6"/>
        <v>76791</v>
      </c>
      <c r="D40" s="39">
        <f t="shared" si="6"/>
        <v>22713</v>
      </c>
      <c r="E40" s="39">
        <f t="shared" si="6"/>
        <v>-15009.140000000043</v>
      </c>
      <c r="F40" s="39">
        <f t="shared" si="6"/>
        <v>-35959.489999999991</v>
      </c>
      <c r="G40" s="39">
        <f t="shared" si="6"/>
        <v>-181974</v>
      </c>
      <c r="H40" s="39">
        <f t="shared" si="6"/>
        <v>13685</v>
      </c>
      <c r="I40" s="12">
        <f t="shared" si="6"/>
        <v>10177</v>
      </c>
      <c r="J40" s="12">
        <f>+J38+J36</f>
        <v>36557</v>
      </c>
      <c r="K40" s="12">
        <f t="shared" si="6"/>
        <v>-84874</v>
      </c>
      <c r="L40" s="12">
        <f t="shared" si="6"/>
        <v>8025</v>
      </c>
      <c r="M40" s="12">
        <f t="shared" si="6"/>
        <v>-10322</v>
      </c>
      <c r="N40" s="12">
        <f t="shared" si="6"/>
        <v>122284</v>
      </c>
      <c r="O40" s="12">
        <f t="shared" si="6"/>
        <v>104927</v>
      </c>
      <c r="P40" s="154">
        <f t="shared" si="6"/>
        <v>79176</v>
      </c>
      <c r="Q40" s="252">
        <f t="shared" si="6"/>
        <v>-74500</v>
      </c>
      <c r="R40" s="192">
        <f>+R38+R36</f>
        <v>-61500</v>
      </c>
      <c r="S40" s="155"/>
      <c r="T40" s="208"/>
    </row>
    <row r="41" spans="1:21" s="13" customFormat="1" x14ac:dyDescent="0.3">
      <c r="A41" s="4"/>
      <c r="B41" s="4"/>
      <c r="C41" s="4"/>
      <c r="D41" s="4"/>
      <c r="E41" s="4"/>
      <c r="F41" s="4"/>
      <c r="G41" s="4"/>
      <c r="H41" s="4"/>
      <c r="Q41" s="58"/>
      <c r="R41" s="58"/>
      <c r="S41" s="196"/>
      <c r="T41" s="155"/>
    </row>
    <row r="42" spans="1:21" x14ac:dyDescent="0.3">
      <c r="Q42" s="55"/>
      <c r="S42" s="155"/>
    </row>
    <row r="43" spans="1:21" x14ac:dyDescent="0.3">
      <c r="Q43" s="99"/>
    </row>
    <row r="44" spans="1:21" x14ac:dyDescent="0.3">
      <c r="Q44" s="222"/>
    </row>
    <row r="45" spans="1:21" x14ac:dyDescent="0.3">
      <c r="Q45" s="207"/>
    </row>
    <row r="46" spans="1:21" x14ac:dyDescent="0.3">
      <c r="Q46" s="222"/>
    </row>
    <row r="47" spans="1:21" s="4" customFormat="1" x14ac:dyDescent="0.3">
      <c r="Q47" s="99"/>
      <c r="S47" s="196"/>
      <c r="T47" s="155"/>
      <c r="U47" s="1"/>
    </row>
    <row r="48" spans="1:21" s="4" customFormat="1" x14ac:dyDescent="0.3">
      <c r="Q48" s="99"/>
      <c r="S48" s="196"/>
      <c r="T48" s="155"/>
      <c r="U48" s="1"/>
    </row>
    <row r="49" spans="17:21" s="4" customFormat="1" x14ac:dyDescent="0.3">
      <c r="Q49" s="99"/>
      <c r="S49" s="196"/>
      <c r="T49" s="155"/>
      <c r="U49" s="1"/>
    </row>
    <row r="50" spans="17:21" s="4" customFormat="1" x14ac:dyDescent="0.3">
      <c r="Q50" s="99"/>
      <c r="S50" s="196"/>
      <c r="T50" s="155"/>
      <c r="U50" s="1"/>
    </row>
    <row r="51" spans="17:21" x14ac:dyDescent="0.3">
      <c r="Q51" s="99"/>
    </row>
    <row r="52" spans="17:21" x14ac:dyDescent="0.3">
      <c r="Q52" s="223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16B08-8A77-40D8-A62B-2278C6ED63D2}">
  <sheetPr>
    <tabColor theme="5" tint="-0.249977111117893"/>
    <pageSetUpPr fitToPage="1"/>
  </sheetPr>
  <dimension ref="A1:U52"/>
  <sheetViews>
    <sheetView zoomScale="110" zoomScaleNormal="110" workbookViewId="0">
      <pane xSplit="1" ySplit="3" topLeftCell="L7" activePane="bottomRight" state="frozen"/>
      <selection pane="topRight" activeCell="B1" sqref="B1"/>
      <selection pane="bottomLeft" activeCell="A4" sqref="A4"/>
      <selection pane="bottomRight" activeCell="S7" sqref="S7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2" width="16.44140625" style="1" customWidth="1"/>
    <col min="13" max="13" width="18" style="1" customWidth="1"/>
    <col min="14" max="16" width="16.44140625" style="1" customWidth="1"/>
    <col min="17" max="18" width="18.5546875" style="1" customWidth="1"/>
    <col min="19" max="19" width="27" style="196" customWidth="1"/>
    <col min="20" max="20" width="12" style="155" customWidth="1"/>
    <col min="21" max="16384" width="9.109375" style="1"/>
  </cols>
  <sheetData>
    <row r="1" spans="1:20" ht="31.8" thickBot="1" x14ac:dyDescent="0.65">
      <c r="A1" s="211" t="s">
        <v>486</v>
      </c>
      <c r="C1" s="224"/>
      <c r="D1" s="224"/>
      <c r="I1" s="4"/>
      <c r="J1" s="4"/>
      <c r="K1" s="294" t="s">
        <v>487</v>
      </c>
      <c r="L1" s="294"/>
      <c r="M1" s="294"/>
    </row>
    <row r="2" spans="1:20" ht="16.2" thickBot="1" x14ac:dyDescent="0.35"/>
    <row r="3" spans="1:20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227">
        <v>2022</v>
      </c>
      <c r="Q3" s="253" t="s">
        <v>809</v>
      </c>
      <c r="R3" s="240" t="s">
        <v>2603</v>
      </c>
      <c r="S3" s="156"/>
      <c r="T3" s="156"/>
    </row>
    <row r="4" spans="1:20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267">
        <v>44726</v>
      </c>
      <c r="Q4" s="110">
        <v>44926</v>
      </c>
      <c r="R4" s="209"/>
      <c r="S4" s="156"/>
      <c r="T4" s="156"/>
    </row>
    <row r="5" spans="1:20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37"/>
      <c r="Q5" s="111"/>
      <c r="R5" s="8"/>
      <c r="S5" s="155"/>
    </row>
    <row r="6" spans="1:20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9">
        <v>92351</v>
      </c>
      <c r="Q6" s="249">
        <v>190000</v>
      </c>
      <c r="R6" s="190">
        <v>190000</v>
      </c>
      <c r="S6" s="217" t="s">
        <v>2605</v>
      </c>
    </row>
    <row r="7" spans="1:20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9">
        <v>177900</v>
      </c>
      <c r="Q7" s="249">
        <v>180000</v>
      </c>
      <c r="R7" s="190">
        <v>160000</v>
      </c>
      <c r="S7" s="236" t="s">
        <v>2620</v>
      </c>
    </row>
    <row r="8" spans="1:20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9">
        <v>1580</v>
      </c>
      <c r="Q8" s="249">
        <v>40000</v>
      </c>
      <c r="R8" s="190">
        <v>40000</v>
      </c>
      <c r="S8" s="217"/>
    </row>
    <row r="9" spans="1:20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9">
        <v>18342</v>
      </c>
      <c r="Q9" s="249">
        <v>23000</v>
      </c>
      <c r="R9" s="190">
        <v>15000</v>
      </c>
      <c r="S9" s="217" t="s">
        <v>2618</v>
      </c>
    </row>
    <row r="10" spans="1:20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9">
        <v>65500</v>
      </c>
      <c r="Q10" s="249">
        <v>75000</v>
      </c>
      <c r="R10" s="190">
        <v>40000</v>
      </c>
      <c r="S10" s="217" t="s">
        <v>2619</v>
      </c>
    </row>
    <row r="11" spans="1:20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9">
        <v>149095</v>
      </c>
      <c r="Q11" s="249">
        <v>149000</v>
      </c>
      <c r="R11" s="190">
        <v>110000</v>
      </c>
      <c r="S11" s="155"/>
    </row>
    <row r="12" spans="1:20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9"/>
      <c r="Q12" s="249">
        <v>0</v>
      </c>
      <c r="R12" s="190">
        <v>0</v>
      </c>
      <c r="S12" s="155"/>
    </row>
    <row r="13" spans="1:20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9"/>
      <c r="Q13" s="249">
        <v>0</v>
      </c>
      <c r="R13" s="190">
        <v>0</v>
      </c>
      <c r="S13" s="155"/>
    </row>
    <row r="14" spans="1:20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9">
        <v>10620</v>
      </c>
      <c r="Q14" s="249">
        <v>30000</v>
      </c>
      <c r="R14" s="190">
        <v>40000</v>
      </c>
      <c r="S14" s="236" t="s">
        <v>2616</v>
      </c>
    </row>
    <row r="15" spans="1:20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2">
        <f>SUM(M6:M14)</f>
        <v>627974</v>
      </c>
      <c r="N15" s="12">
        <f>SUM(N6:N14)</f>
        <v>667900</v>
      </c>
      <c r="O15" s="12">
        <f>SUM(O6:O14)</f>
        <v>701882</v>
      </c>
      <c r="P15" s="11">
        <f>SUM(P6:P14)</f>
        <v>515388</v>
      </c>
      <c r="Q15" s="250">
        <f t="shared" ref="Q15:R15" si="2">SUM(Q6:Q14)</f>
        <v>687000</v>
      </c>
      <c r="R15" s="191">
        <f t="shared" si="2"/>
        <v>595000</v>
      </c>
      <c r="S15" s="155"/>
    </row>
    <row r="16" spans="1:20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P16" s="111"/>
      <c r="Q16" s="249"/>
      <c r="R16" s="190"/>
      <c r="S16" s="155"/>
    </row>
    <row r="17" spans="1:21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P17" s="112"/>
      <c r="Q17" s="249"/>
      <c r="R17" s="190"/>
      <c r="S17" s="159"/>
      <c r="T17" s="159"/>
    </row>
    <row r="18" spans="1:21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9">
        <v>-141736</v>
      </c>
      <c r="Q18" s="249">
        <v>-160000</v>
      </c>
      <c r="R18" s="190">
        <v>-150000</v>
      </c>
      <c r="S18" s="157" t="s">
        <v>2572</v>
      </c>
      <c r="T18" s="197"/>
    </row>
    <row r="19" spans="1:21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9">
        <v>-38508</v>
      </c>
      <c r="Q19" s="249">
        <v>-120000</v>
      </c>
      <c r="R19" s="190">
        <v>-120000</v>
      </c>
      <c r="S19" s="157" t="s">
        <v>2498</v>
      </c>
      <c r="T19" s="197"/>
      <c r="U19" s="55"/>
    </row>
    <row r="20" spans="1:21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9">
        <v>0</v>
      </c>
      <c r="Q20" s="249">
        <v>0</v>
      </c>
      <c r="R20" s="190">
        <v>0</v>
      </c>
      <c r="S20" s="157"/>
      <c r="T20" s="197"/>
    </row>
    <row r="21" spans="1:21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9">
        <v>-27952</v>
      </c>
      <c r="Q21" s="249">
        <v>-35000</v>
      </c>
      <c r="R21" s="190">
        <v>-30000</v>
      </c>
      <c r="S21" s="157" t="s">
        <v>2497</v>
      </c>
      <c r="T21" s="197"/>
    </row>
    <row r="22" spans="1:21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9">
        <v>-20737</v>
      </c>
      <c r="Q22" s="249">
        <v>-50000</v>
      </c>
      <c r="R22" s="190">
        <v>-30000</v>
      </c>
      <c r="S22" s="157" t="s">
        <v>2609</v>
      </c>
      <c r="T22" s="197"/>
    </row>
    <row r="23" spans="1:21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9">
        <v>-38542</v>
      </c>
      <c r="Q23" s="249">
        <v>-80000</v>
      </c>
      <c r="R23" s="190">
        <v>-80000</v>
      </c>
      <c r="S23" s="157" t="s">
        <v>2572</v>
      </c>
      <c r="T23" s="197"/>
    </row>
    <row r="24" spans="1:21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9">
        <v>-1231</v>
      </c>
      <c r="Q24" s="249">
        <v>-6000</v>
      </c>
      <c r="R24" s="190">
        <v>-6000</v>
      </c>
      <c r="S24" s="155"/>
      <c r="T24" s="197"/>
    </row>
    <row r="25" spans="1:21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9">
        <v>-18400</v>
      </c>
      <c r="Q25" s="249">
        <v>-25000</v>
      </c>
      <c r="R25" s="190">
        <v>-15000</v>
      </c>
      <c r="S25" s="157" t="s">
        <v>2610</v>
      </c>
      <c r="T25" s="197"/>
    </row>
    <row r="26" spans="1:21" ht="24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9">
        <v>-28600</v>
      </c>
      <c r="Q26" s="249">
        <v>-35000</v>
      </c>
      <c r="R26" s="190">
        <v>-35000</v>
      </c>
      <c r="S26" s="157" t="s">
        <v>2611</v>
      </c>
      <c r="T26" s="197"/>
    </row>
    <row r="27" spans="1:21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9">
        <v>-2800</v>
      </c>
      <c r="Q27" s="249">
        <v>-15000</v>
      </c>
      <c r="R27" s="190">
        <v>-15000</v>
      </c>
      <c r="S27" s="157" t="s">
        <v>2497</v>
      </c>
      <c r="T27" s="197"/>
    </row>
    <row r="28" spans="1:21" ht="24.6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9">
        <v>0</v>
      </c>
      <c r="Q28" s="249">
        <v>-50000</v>
      </c>
      <c r="R28" s="190">
        <v>-50000</v>
      </c>
      <c r="S28" s="157" t="s">
        <v>2612</v>
      </c>
      <c r="T28" s="197"/>
    </row>
    <row r="29" spans="1:2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9">
        <v>0</v>
      </c>
      <c r="Q29" s="249">
        <v>-10000</v>
      </c>
      <c r="R29" s="190">
        <v>-10000</v>
      </c>
      <c r="S29" s="157" t="s">
        <v>2498</v>
      </c>
    </row>
    <row r="30" spans="1:21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9">
        <v>-500</v>
      </c>
      <c r="Q30" s="249">
        <v>-500</v>
      </c>
      <c r="R30" s="190">
        <v>-500</v>
      </c>
      <c r="S30" s="157"/>
    </row>
    <row r="31" spans="1:21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9">
        <v>0</v>
      </c>
      <c r="Q31" s="249">
        <v>-150000</v>
      </c>
      <c r="R31" s="190">
        <v>-110000</v>
      </c>
      <c r="S31" s="157" t="s">
        <v>2613</v>
      </c>
      <c r="T31" s="197"/>
    </row>
    <row r="32" spans="1:21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9"/>
      <c r="Q32" s="249">
        <v>0</v>
      </c>
      <c r="R32" s="190">
        <v>0</v>
      </c>
      <c r="S32" s="155"/>
      <c r="T32" s="197"/>
    </row>
    <row r="33" spans="1:21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9">
        <f>-750-1725-1000-157</f>
        <v>-3632</v>
      </c>
      <c r="Q33" s="249">
        <v>-5000</v>
      </c>
      <c r="R33" s="190">
        <v>-5000</v>
      </c>
      <c r="S33" s="157" t="s">
        <v>2615</v>
      </c>
      <c r="T33" s="197"/>
    </row>
    <row r="34" spans="1:21" x14ac:dyDescent="0.3">
      <c r="A34" s="7" t="s">
        <v>2555</v>
      </c>
      <c r="B34" s="39">
        <f t="shared" ref="B34:P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1">
        <f t="shared" si="3"/>
        <v>-322638</v>
      </c>
      <c r="Q34" s="250">
        <f>SUM(Q18:Q33)</f>
        <v>-741500</v>
      </c>
      <c r="R34" s="191">
        <f>SUM(R18:R33)</f>
        <v>-656500</v>
      </c>
      <c r="S34" s="205"/>
      <c r="T34" s="206"/>
    </row>
    <row r="35" spans="1:21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113"/>
      <c r="Q35" s="250"/>
      <c r="R35" s="191"/>
      <c r="S35" s="158"/>
      <c r="T35" s="207"/>
    </row>
    <row r="36" spans="1:21" s="13" customFormat="1" ht="38.25" hidden="1" customHeight="1" x14ac:dyDescent="0.3">
      <c r="A36" s="7" t="s">
        <v>48</v>
      </c>
      <c r="B36" s="39">
        <f t="shared" ref="B36:P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12">
        <f t="shared" si="5"/>
        <v>10177</v>
      </c>
      <c r="J36" s="12">
        <f t="shared" si="5"/>
        <v>36557</v>
      </c>
      <c r="K36" s="12">
        <f t="shared" si="5"/>
        <v>-84874</v>
      </c>
      <c r="L36" s="12">
        <f t="shared" si="5"/>
        <v>8025</v>
      </c>
      <c r="M36" s="12">
        <f t="shared" si="5"/>
        <v>-10322</v>
      </c>
      <c r="N36" s="12">
        <f t="shared" si="5"/>
        <v>122284</v>
      </c>
      <c r="O36" s="12">
        <f t="shared" si="5"/>
        <v>104927</v>
      </c>
      <c r="P36" s="11">
        <f t="shared" si="5"/>
        <v>192750</v>
      </c>
      <c r="Q36" s="250">
        <f>Q15+Q34</f>
        <v>-54500</v>
      </c>
      <c r="R36" s="191">
        <f>R15+R34</f>
        <v>-61500</v>
      </c>
      <c r="S36" s="158"/>
      <c r="T36" s="207"/>
    </row>
    <row r="37" spans="1:21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1"/>
      <c r="Q37" s="250"/>
      <c r="R37" s="191"/>
      <c r="S37" s="158"/>
      <c r="T37" s="207"/>
    </row>
    <row r="38" spans="1:21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1">
        <v>0</v>
      </c>
      <c r="Q38" s="250">
        <v>0</v>
      </c>
      <c r="R38" s="191">
        <v>0</v>
      </c>
      <c r="S38" s="155"/>
      <c r="T38" s="206"/>
    </row>
    <row r="39" spans="1:21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4"/>
      <c r="Q39" s="251"/>
      <c r="R39" s="210"/>
      <c r="S39" s="205"/>
      <c r="T39" s="206"/>
    </row>
    <row r="40" spans="1:21" s="13" customFormat="1" ht="16.2" thickBot="1" x14ac:dyDescent="0.35">
      <c r="A40" s="7" t="s">
        <v>2557</v>
      </c>
      <c r="B40" s="39">
        <f t="shared" ref="B40:Q40" si="6">+B38+B36</f>
        <v>-34674</v>
      </c>
      <c r="C40" s="39">
        <f t="shared" si="6"/>
        <v>76791</v>
      </c>
      <c r="D40" s="39">
        <f t="shared" si="6"/>
        <v>22713</v>
      </c>
      <c r="E40" s="39">
        <f t="shared" si="6"/>
        <v>-15009.140000000043</v>
      </c>
      <c r="F40" s="39">
        <f t="shared" si="6"/>
        <v>-35959.489999999991</v>
      </c>
      <c r="G40" s="39">
        <f t="shared" si="6"/>
        <v>-181974</v>
      </c>
      <c r="H40" s="39">
        <f t="shared" si="6"/>
        <v>13685</v>
      </c>
      <c r="I40" s="12">
        <f t="shared" si="6"/>
        <v>10177</v>
      </c>
      <c r="J40" s="12">
        <f>+J38+J36</f>
        <v>36557</v>
      </c>
      <c r="K40" s="12">
        <f t="shared" si="6"/>
        <v>-84874</v>
      </c>
      <c r="L40" s="12">
        <f t="shared" si="6"/>
        <v>8025</v>
      </c>
      <c r="M40" s="12">
        <f t="shared" si="6"/>
        <v>-10322</v>
      </c>
      <c r="N40" s="12">
        <f t="shared" si="6"/>
        <v>122284</v>
      </c>
      <c r="O40" s="12">
        <f t="shared" si="6"/>
        <v>104927</v>
      </c>
      <c r="P40" s="154">
        <f t="shared" si="6"/>
        <v>192750</v>
      </c>
      <c r="Q40" s="252">
        <f t="shared" si="6"/>
        <v>-54500</v>
      </c>
      <c r="R40" s="192">
        <f>+R38+R36</f>
        <v>-61500</v>
      </c>
      <c r="S40" s="155"/>
      <c r="T40" s="208"/>
    </row>
    <row r="41" spans="1:21" s="13" customFormat="1" x14ac:dyDescent="0.3">
      <c r="A41" s="4"/>
      <c r="B41" s="4"/>
      <c r="C41" s="4"/>
      <c r="D41" s="4"/>
      <c r="E41" s="4"/>
      <c r="F41" s="4"/>
      <c r="G41" s="4"/>
      <c r="H41" s="4"/>
      <c r="Q41" s="58"/>
      <c r="R41" s="58"/>
      <c r="S41" s="196"/>
      <c r="T41" s="155"/>
    </row>
    <row r="42" spans="1:21" x14ac:dyDescent="0.3">
      <c r="Q42" s="55"/>
      <c r="S42" s="155"/>
    </row>
    <row r="43" spans="1:21" x14ac:dyDescent="0.3">
      <c r="Q43" s="99"/>
    </row>
    <row r="44" spans="1:21" x14ac:dyDescent="0.3">
      <c r="Q44" s="222"/>
    </row>
    <row r="45" spans="1:21" x14ac:dyDescent="0.3">
      <c r="Q45" s="207"/>
    </row>
    <row r="46" spans="1:21" x14ac:dyDescent="0.3">
      <c r="Q46" s="222"/>
    </row>
    <row r="47" spans="1:21" s="4" customFormat="1" x14ac:dyDescent="0.3">
      <c r="Q47" s="99"/>
      <c r="S47" s="196"/>
      <c r="T47" s="155"/>
      <c r="U47" s="1"/>
    </row>
    <row r="48" spans="1:21" s="4" customFormat="1" x14ac:dyDescent="0.3">
      <c r="Q48" s="99"/>
      <c r="S48" s="196"/>
      <c r="T48" s="155"/>
      <c r="U48" s="1"/>
    </row>
    <row r="49" spans="17:21" s="4" customFormat="1" x14ac:dyDescent="0.3">
      <c r="Q49" s="99"/>
      <c r="S49" s="196"/>
      <c r="T49" s="155"/>
      <c r="U49" s="1"/>
    </row>
    <row r="50" spans="17:21" s="4" customFormat="1" x14ac:dyDescent="0.3">
      <c r="Q50" s="99"/>
      <c r="S50" s="196"/>
      <c r="T50" s="155"/>
      <c r="U50" s="1"/>
    </row>
    <row r="51" spans="17:21" x14ac:dyDescent="0.3">
      <c r="Q51" s="99"/>
    </row>
    <row r="52" spans="17:21" x14ac:dyDescent="0.3">
      <c r="Q52" s="223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F717E-9773-4BD9-A644-596FD590F654}">
  <sheetPr>
    <tabColor theme="5" tint="-0.249977111117893"/>
    <pageSetUpPr fitToPage="1"/>
  </sheetPr>
  <dimension ref="A1:U52"/>
  <sheetViews>
    <sheetView zoomScale="110" zoomScaleNormal="110" workbookViewId="0">
      <pane xSplit="1" ySplit="3" topLeftCell="L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6" width="16.44140625" style="1" customWidth="1"/>
    <col min="17" max="18" width="18.5546875" style="1" customWidth="1"/>
    <col min="19" max="19" width="27" style="196" customWidth="1"/>
    <col min="20" max="20" width="12" style="155" customWidth="1"/>
    <col min="21" max="16384" width="9.109375" style="1"/>
  </cols>
  <sheetData>
    <row r="1" spans="1:20" ht="31.8" thickBot="1" x14ac:dyDescent="0.65">
      <c r="A1" s="211" t="s">
        <v>486</v>
      </c>
      <c r="C1" s="224"/>
      <c r="D1" s="224"/>
      <c r="I1" s="4"/>
      <c r="J1" s="4"/>
      <c r="K1" s="295" t="s">
        <v>487</v>
      </c>
      <c r="L1" s="295"/>
      <c r="M1" s="295"/>
    </row>
    <row r="2" spans="1:20" ht="16.2" thickBot="1" x14ac:dyDescent="0.35"/>
    <row r="3" spans="1:20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227">
        <v>2022</v>
      </c>
      <c r="Q3" s="253" t="s">
        <v>809</v>
      </c>
      <c r="R3" s="240" t="s">
        <v>2603</v>
      </c>
      <c r="S3" s="156"/>
      <c r="T3" s="156"/>
    </row>
    <row r="4" spans="1:20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267">
        <v>44697</v>
      </c>
      <c r="Q4" s="110">
        <v>44926</v>
      </c>
      <c r="R4" s="209"/>
      <c r="S4" s="156"/>
      <c r="T4" s="156"/>
    </row>
    <row r="5" spans="1:20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37"/>
      <c r="Q5" s="111"/>
      <c r="R5" s="8"/>
      <c r="S5" s="155"/>
    </row>
    <row r="6" spans="1:20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9">
        <v>62755</v>
      </c>
      <c r="Q6" s="249">
        <v>190000</v>
      </c>
      <c r="R6" s="190">
        <v>190000</v>
      </c>
      <c r="S6" s="217" t="s">
        <v>2605</v>
      </c>
    </row>
    <row r="7" spans="1:20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9">
        <v>151800</v>
      </c>
      <c r="Q7" s="249">
        <v>170000</v>
      </c>
      <c r="R7" s="190">
        <v>160000</v>
      </c>
      <c r="S7" s="236" t="s">
        <v>2617</v>
      </c>
    </row>
    <row r="8" spans="1:20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9">
        <v>0</v>
      </c>
      <c r="Q8" s="249">
        <v>40000</v>
      </c>
      <c r="R8" s="190">
        <v>40000</v>
      </c>
      <c r="S8" s="217"/>
    </row>
    <row r="9" spans="1:20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9">
        <v>0</v>
      </c>
      <c r="Q9" s="249">
        <v>15000</v>
      </c>
      <c r="R9" s="190">
        <v>15000</v>
      </c>
      <c r="S9" s="217" t="s">
        <v>2522</v>
      </c>
    </row>
    <row r="10" spans="1:20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9">
        <v>63500</v>
      </c>
      <c r="Q10" s="249">
        <v>65000</v>
      </c>
      <c r="R10" s="190">
        <v>40000</v>
      </c>
      <c r="S10" s="217" t="s">
        <v>2614</v>
      </c>
    </row>
    <row r="11" spans="1:20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9">
        <v>86620</v>
      </c>
      <c r="Q11" s="249">
        <v>110000</v>
      </c>
      <c r="R11" s="190">
        <v>110000</v>
      </c>
      <c r="S11" s="155"/>
    </row>
    <row r="12" spans="1:20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9"/>
      <c r="Q12" s="249">
        <v>0</v>
      </c>
      <c r="R12" s="190">
        <v>0</v>
      </c>
      <c r="S12" s="155"/>
    </row>
    <row r="13" spans="1:20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9"/>
      <c r="Q13" s="249">
        <v>0</v>
      </c>
      <c r="R13" s="190">
        <v>0</v>
      </c>
      <c r="S13" s="155"/>
    </row>
    <row r="14" spans="1:20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9">
        <v>10620</v>
      </c>
      <c r="Q14" s="249">
        <v>30000</v>
      </c>
      <c r="R14" s="190">
        <v>40000</v>
      </c>
      <c r="S14" s="236" t="s">
        <v>2616</v>
      </c>
    </row>
    <row r="15" spans="1:20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2">
        <f>SUM(M6:M14)</f>
        <v>627974</v>
      </c>
      <c r="N15" s="12">
        <f>SUM(N6:N14)</f>
        <v>667900</v>
      </c>
      <c r="O15" s="12">
        <f>SUM(O6:O14)</f>
        <v>701882</v>
      </c>
      <c r="P15" s="11">
        <f>SUM(P6:P14)</f>
        <v>375295</v>
      </c>
      <c r="Q15" s="250">
        <f t="shared" ref="Q15:R15" si="2">SUM(Q6:Q14)</f>
        <v>620000</v>
      </c>
      <c r="R15" s="191">
        <f t="shared" si="2"/>
        <v>595000</v>
      </c>
      <c r="S15" s="155"/>
    </row>
    <row r="16" spans="1:20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P16" s="111"/>
      <c r="Q16" s="249"/>
      <c r="R16" s="190"/>
      <c r="S16" s="155"/>
    </row>
    <row r="17" spans="1:21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P17" s="112"/>
      <c r="Q17" s="249"/>
      <c r="R17" s="190"/>
      <c r="S17" s="159"/>
      <c r="T17" s="159"/>
    </row>
    <row r="18" spans="1:21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9">
        <v>-101474</v>
      </c>
      <c r="Q18" s="249">
        <v>-150000</v>
      </c>
      <c r="R18" s="190">
        <v>-150000</v>
      </c>
      <c r="S18" s="157" t="s">
        <v>2572</v>
      </c>
      <c r="T18" s="197"/>
    </row>
    <row r="19" spans="1:21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9">
        <v>-38508</v>
      </c>
      <c r="Q19" s="249">
        <v>-120000</v>
      </c>
      <c r="R19" s="190">
        <v>-120000</v>
      </c>
      <c r="S19" s="157" t="s">
        <v>2498</v>
      </c>
      <c r="T19" s="197"/>
      <c r="U19" s="55"/>
    </row>
    <row r="20" spans="1:21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9">
        <v>0</v>
      </c>
      <c r="Q20" s="249">
        <v>0</v>
      </c>
      <c r="R20" s="190">
        <v>0</v>
      </c>
      <c r="S20" s="157"/>
      <c r="T20" s="197"/>
    </row>
    <row r="21" spans="1:21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9">
        <v>-6352</v>
      </c>
      <c r="Q21" s="249">
        <v>-30000</v>
      </c>
      <c r="R21" s="190">
        <v>-30000</v>
      </c>
      <c r="S21" s="157" t="s">
        <v>2497</v>
      </c>
      <c r="T21" s="197"/>
    </row>
    <row r="22" spans="1:21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9">
        <v>-13837</v>
      </c>
      <c r="Q22" s="249">
        <v>-40000</v>
      </c>
      <c r="R22" s="190">
        <v>-30000</v>
      </c>
      <c r="S22" s="157" t="s">
        <v>2609</v>
      </c>
      <c r="T22" s="197"/>
    </row>
    <row r="23" spans="1:21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9">
        <v>-25144</v>
      </c>
      <c r="Q23" s="249">
        <v>-80000</v>
      </c>
      <c r="R23" s="190">
        <v>-80000</v>
      </c>
      <c r="S23" s="157" t="s">
        <v>2572</v>
      </c>
      <c r="T23" s="197"/>
    </row>
    <row r="24" spans="1:21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9">
        <v>-1231</v>
      </c>
      <c r="Q24" s="249">
        <v>-6000</v>
      </c>
      <c r="R24" s="190">
        <v>-6000</v>
      </c>
      <c r="S24" s="155"/>
      <c r="T24" s="197"/>
    </row>
    <row r="25" spans="1:21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9">
        <v>-11600</v>
      </c>
      <c r="Q25" s="249">
        <v>-25000</v>
      </c>
      <c r="R25" s="190">
        <v>-15000</v>
      </c>
      <c r="S25" s="157" t="s">
        <v>2610</v>
      </c>
      <c r="T25" s="197"/>
    </row>
    <row r="26" spans="1:21" ht="24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9">
        <v>-8200</v>
      </c>
      <c r="Q26" s="249">
        <v>-35000</v>
      </c>
      <c r="R26" s="190">
        <v>-35000</v>
      </c>
      <c r="S26" s="157" t="s">
        <v>2611</v>
      </c>
      <c r="T26" s="197"/>
    </row>
    <row r="27" spans="1:21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9">
        <v>-2800</v>
      </c>
      <c r="Q27" s="249">
        <v>-15000</v>
      </c>
      <c r="R27" s="190">
        <v>-15000</v>
      </c>
      <c r="S27" s="157" t="s">
        <v>2497</v>
      </c>
      <c r="T27" s="197"/>
    </row>
    <row r="28" spans="1:21" ht="24.6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9">
        <v>0</v>
      </c>
      <c r="Q28" s="249">
        <v>-50000</v>
      </c>
      <c r="R28" s="190">
        <v>-50000</v>
      </c>
      <c r="S28" s="157" t="s">
        <v>2612</v>
      </c>
      <c r="T28" s="197"/>
    </row>
    <row r="29" spans="1:2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9">
        <v>0</v>
      </c>
      <c r="Q29" s="249">
        <v>-10000</v>
      </c>
      <c r="R29" s="190">
        <v>-10000</v>
      </c>
      <c r="S29" s="157" t="s">
        <v>2498</v>
      </c>
    </row>
    <row r="30" spans="1:21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9">
        <v>-500</v>
      </c>
      <c r="Q30" s="249">
        <v>-500</v>
      </c>
      <c r="R30" s="190">
        <v>-500</v>
      </c>
      <c r="S30" s="157"/>
    </row>
    <row r="31" spans="1:21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9">
        <v>0</v>
      </c>
      <c r="Q31" s="249">
        <v>-110000</v>
      </c>
      <c r="R31" s="190">
        <v>-110000</v>
      </c>
      <c r="S31" s="157" t="s">
        <v>2613</v>
      </c>
      <c r="T31" s="197"/>
    </row>
    <row r="32" spans="1:21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9"/>
      <c r="Q32" s="249">
        <v>0</v>
      </c>
      <c r="R32" s="190">
        <v>0</v>
      </c>
      <c r="S32" s="155"/>
      <c r="T32" s="197"/>
    </row>
    <row r="33" spans="1:21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9">
        <f>-750-1725-1000-157</f>
        <v>-3632</v>
      </c>
      <c r="Q33" s="249">
        <v>-5000</v>
      </c>
      <c r="R33" s="190">
        <v>-5000</v>
      </c>
      <c r="S33" s="157" t="s">
        <v>2615</v>
      </c>
      <c r="T33" s="197"/>
    </row>
    <row r="34" spans="1:21" x14ac:dyDescent="0.3">
      <c r="A34" s="7" t="s">
        <v>2555</v>
      </c>
      <c r="B34" s="39">
        <f t="shared" ref="B34:P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1">
        <f t="shared" si="3"/>
        <v>-213278</v>
      </c>
      <c r="Q34" s="250">
        <f>SUM(Q18:Q33)</f>
        <v>-676500</v>
      </c>
      <c r="R34" s="191">
        <f>SUM(R18:R33)</f>
        <v>-656500</v>
      </c>
      <c r="S34" s="205"/>
      <c r="T34" s="206"/>
    </row>
    <row r="35" spans="1:21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113"/>
      <c r="Q35" s="250"/>
      <c r="R35" s="191"/>
      <c r="S35" s="158"/>
      <c r="T35" s="207"/>
    </row>
    <row r="36" spans="1:21" s="13" customFormat="1" ht="38.25" hidden="1" customHeight="1" x14ac:dyDescent="0.3">
      <c r="A36" s="7" t="s">
        <v>48</v>
      </c>
      <c r="B36" s="39">
        <f t="shared" ref="B36:P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12">
        <f t="shared" si="5"/>
        <v>10177</v>
      </c>
      <c r="J36" s="12">
        <f t="shared" si="5"/>
        <v>36557</v>
      </c>
      <c r="K36" s="12">
        <f t="shared" si="5"/>
        <v>-84874</v>
      </c>
      <c r="L36" s="12">
        <f t="shared" si="5"/>
        <v>8025</v>
      </c>
      <c r="M36" s="12">
        <f t="shared" si="5"/>
        <v>-10322</v>
      </c>
      <c r="N36" s="12">
        <f t="shared" si="5"/>
        <v>122284</v>
      </c>
      <c r="O36" s="12">
        <f t="shared" si="5"/>
        <v>104927</v>
      </c>
      <c r="P36" s="11">
        <f t="shared" si="5"/>
        <v>162017</v>
      </c>
      <c r="Q36" s="250">
        <f>Q15+Q34</f>
        <v>-56500</v>
      </c>
      <c r="R36" s="191">
        <f>R15+R34</f>
        <v>-61500</v>
      </c>
      <c r="S36" s="158"/>
      <c r="T36" s="207"/>
    </row>
    <row r="37" spans="1:21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1"/>
      <c r="Q37" s="250"/>
      <c r="R37" s="191"/>
      <c r="S37" s="158"/>
      <c r="T37" s="207"/>
    </row>
    <row r="38" spans="1:21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1">
        <v>0</v>
      </c>
      <c r="Q38" s="250">
        <v>0</v>
      </c>
      <c r="R38" s="191">
        <v>0</v>
      </c>
      <c r="S38" s="155"/>
      <c r="T38" s="206"/>
    </row>
    <row r="39" spans="1:21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4"/>
      <c r="Q39" s="251"/>
      <c r="R39" s="210"/>
      <c r="S39" s="205"/>
      <c r="T39" s="206"/>
    </row>
    <row r="40" spans="1:21" s="13" customFormat="1" ht="16.2" thickBot="1" x14ac:dyDescent="0.35">
      <c r="A40" s="7" t="s">
        <v>2557</v>
      </c>
      <c r="B40" s="39">
        <f t="shared" ref="B40:Q40" si="6">+B38+B36</f>
        <v>-34674</v>
      </c>
      <c r="C40" s="39">
        <f t="shared" si="6"/>
        <v>76791</v>
      </c>
      <c r="D40" s="39">
        <f t="shared" si="6"/>
        <v>22713</v>
      </c>
      <c r="E40" s="39">
        <f t="shared" si="6"/>
        <v>-15009.140000000043</v>
      </c>
      <c r="F40" s="39">
        <f t="shared" si="6"/>
        <v>-35959.489999999991</v>
      </c>
      <c r="G40" s="39">
        <f t="shared" si="6"/>
        <v>-181974</v>
      </c>
      <c r="H40" s="39">
        <f t="shared" si="6"/>
        <v>13685</v>
      </c>
      <c r="I40" s="12">
        <f t="shared" si="6"/>
        <v>10177</v>
      </c>
      <c r="J40" s="12">
        <f>+J38+J36</f>
        <v>36557</v>
      </c>
      <c r="K40" s="12">
        <f t="shared" si="6"/>
        <v>-84874</v>
      </c>
      <c r="L40" s="12">
        <f t="shared" si="6"/>
        <v>8025</v>
      </c>
      <c r="M40" s="12">
        <f t="shared" si="6"/>
        <v>-10322</v>
      </c>
      <c r="N40" s="12">
        <f t="shared" si="6"/>
        <v>122284</v>
      </c>
      <c r="O40" s="12">
        <f t="shared" si="6"/>
        <v>104927</v>
      </c>
      <c r="P40" s="154">
        <f t="shared" si="6"/>
        <v>162017</v>
      </c>
      <c r="Q40" s="252">
        <f t="shared" si="6"/>
        <v>-56500</v>
      </c>
      <c r="R40" s="192">
        <f>+R38+R36</f>
        <v>-61500</v>
      </c>
      <c r="S40" s="155"/>
      <c r="T40" s="208"/>
    </row>
    <row r="41" spans="1:21" s="13" customFormat="1" x14ac:dyDescent="0.3">
      <c r="A41" s="4"/>
      <c r="B41" s="4"/>
      <c r="C41" s="4"/>
      <c r="D41" s="4"/>
      <c r="E41" s="4"/>
      <c r="F41" s="4"/>
      <c r="G41" s="4"/>
      <c r="H41" s="4"/>
      <c r="Q41" s="58"/>
      <c r="R41" s="58"/>
      <c r="S41" s="196"/>
      <c r="T41" s="155"/>
    </row>
    <row r="42" spans="1:21" x14ac:dyDescent="0.3">
      <c r="Q42" s="55"/>
      <c r="S42" s="155"/>
    </row>
    <row r="43" spans="1:21" x14ac:dyDescent="0.3">
      <c r="Q43" s="99"/>
    </row>
    <row r="44" spans="1:21" x14ac:dyDescent="0.3">
      <c r="Q44" s="222"/>
    </row>
    <row r="45" spans="1:21" x14ac:dyDescent="0.3">
      <c r="Q45" s="207"/>
    </row>
    <row r="46" spans="1:21" x14ac:dyDescent="0.3">
      <c r="Q46" s="222"/>
    </row>
    <row r="47" spans="1:21" s="4" customFormat="1" x14ac:dyDescent="0.3">
      <c r="Q47" s="99"/>
      <c r="S47" s="196"/>
      <c r="T47" s="155"/>
      <c r="U47" s="1"/>
    </row>
    <row r="48" spans="1:21" s="4" customFormat="1" x14ac:dyDescent="0.3">
      <c r="Q48" s="99"/>
      <c r="S48" s="196"/>
      <c r="T48" s="155"/>
      <c r="U48" s="1"/>
    </row>
    <row r="49" spans="17:21" s="4" customFormat="1" x14ac:dyDescent="0.3">
      <c r="Q49" s="99"/>
      <c r="S49" s="196"/>
      <c r="T49" s="155"/>
      <c r="U49" s="1"/>
    </row>
    <row r="50" spans="17:21" s="4" customFormat="1" x14ac:dyDescent="0.3">
      <c r="Q50" s="99"/>
      <c r="S50" s="196"/>
      <c r="T50" s="155"/>
      <c r="U50" s="1"/>
    </row>
    <row r="51" spans="17:21" x14ac:dyDescent="0.3">
      <c r="Q51" s="99"/>
    </row>
    <row r="52" spans="17:21" x14ac:dyDescent="0.3">
      <c r="Q52" s="223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F0580-F9F8-4DFD-8EC4-C62A8019CF61}">
  <sheetPr>
    <tabColor theme="5" tint="-0.249977111117893"/>
    <pageSetUpPr fitToPage="1"/>
  </sheetPr>
  <dimension ref="A1:U52"/>
  <sheetViews>
    <sheetView zoomScale="110" zoomScaleNormal="110" workbookViewId="0">
      <pane xSplit="1" ySplit="3" topLeftCell="K4" activePane="bottomRight" state="frozen"/>
      <selection pane="topRight" activeCell="B1" sqref="B1"/>
      <selection pane="bottomLeft" activeCell="A4" sqref="A4"/>
      <selection pane="bottomRight" activeCell="P4" sqref="P4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6" width="16.44140625" style="1" customWidth="1"/>
    <col min="17" max="18" width="18.5546875" style="1" customWidth="1"/>
    <col min="19" max="19" width="27" style="196" customWidth="1"/>
    <col min="20" max="20" width="12" style="155" customWidth="1"/>
    <col min="21" max="16384" width="9.109375" style="1"/>
  </cols>
  <sheetData>
    <row r="1" spans="1:20" ht="31.8" thickBot="1" x14ac:dyDescent="0.65">
      <c r="A1" s="211" t="s">
        <v>486</v>
      </c>
      <c r="C1" s="224"/>
      <c r="D1" s="224"/>
      <c r="I1" s="4"/>
      <c r="J1" s="4"/>
      <c r="K1" s="295" t="s">
        <v>487</v>
      </c>
      <c r="L1" s="295"/>
      <c r="M1" s="295"/>
    </row>
    <row r="2" spans="1:20" ht="16.2" thickBot="1" x14ac:dyDescent="0.35"/>
    <row r="3" spans="1:20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227">
        <v>2022</v>
      </c>
      <c r="Q3" s="253" t="s">
        <v>809</v>
      </c>
      <c r="R3" s="240" t="s">
        <v>2603</v>
      </c>
      <c r="S3" s="156"/>
      <c r="T3" s="156"/>
    </row>
    <row r="4" spans="1:20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267">
        <v>44662</v>
      </c>
      <c r="Q4" s="110">
        <v>44926</v>
      </c>
      <c r="R4" s="209"/>
      <c r="S4" s="156"/>
      <c r="T4" s="156"/>
    </row>
    <row r="5" spans="1:20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37"/>
      <c r="Q5" s="111"/>
      <c r="R5" s="8"/>
      <c r="S5" s="155"/>
    </row>
    <row r="6" spans="1:20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9">
        <v>62755</v>
      </c>
      <c r="Q6" s="249">
        <v>190000</v>
      </c>
      <c r="R6" s="190">
        <v>190000</v>
      </c>
      <c r="S6" s="217" t="s">
        <v>2605</v>
      </c>
    </row>
    <row r="7" spans="1:20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9">
        <v>0</v>
      </c>
      <c r="Q7" s="249">
        <v>160000</v>
      </c>
      <c r="R7" s="190">
        <v>160000</v>
      </c>
      <c r="S7" s="236" t="s">
        <v>2606</v>
      </c>
    </row>
    <row r="8" spans="1:20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9">
        <v>0</v>
      </c>
      <c r="Q8" s="249">
        <v>40000</v>
      </c>
      <c r="R8" s="190">
        <v>40000</v>
      </c>
      <c r="S8" s="217"/>
    </row>
    <row r="9" spans="1:20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9">
        <v>0</v>
      </c>
      <c r="Q9" s="249">
        <v>15000</v>
      </c>
      <c r="R9" s="190">
        <v>15000</v>
      </c>
      <c r="S9" s="217" t="s">
        <v>2522</v>
      </c>
    </row>
    <row r="10" spans="1:20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9">
        <v>63500</v>
      </c>
      <c r="Q10" s="249">
        <v>65000</v>
      </c>
      <c r="R10" s="190">
        <v>40000</v>
      </c>
      <c r="S10" s="217" t="s">
        <v>2614</v>
      </c>
    </row>
    <row r="11" spans="1:20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9">
        <v>2380</v>
      </c>
      <c r="Q11" s="249">
        <v>110000</v>
      </c>
      <c r="R11" s="190">
        <v>110000</v>
      </c>
      <c r="S11" s="155"/>
    </row>
    <row r="12" spans="1:20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9"/>
      <c r="Q12" s="249">
        <v>0</v>
      </c>
      <c r="R12" s="190">
        <v>0</v>
      </c>
      <c r="S12" s="155"/>
    </row>
    <row r="13" spans="1:20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9"/>
      <c r="Q13" s="249">
        <v>0</v>
      </c>
      <c r="R13" s="190">
        <v>0</v>
      </c>
      <c r="S13" s="155"/>
    </row>
    <row r="14" spans="1:20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9">
        <v>0</v>
      </c>
      <c r="Q14" s="249">
        <v>30000</v>
      </c>
      <c r="R14" s="190">
        <v>40000</v>
      </c>
      <c r="S14" s="236" t="s">
        <v>2608</v>
      </c>
    </row>
    <row r="15" spans="1:20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2">
        <f>SUM(M6:M14)</f>
        <v>627974</v>
      </c>
      <c r="N15" s="12">
        <f>SUM(N6:N14)</f>
        <v>667900</v>
      </c>
      <c r="O15" s="12">
        <f>SUM(O6:O14)</f>
        <v>701882</v>
      </c>
      <c r="P15" s="11">
        <f>SUM(P6:P14)</f>
        <v>128635</v>
      </c>
      <c r="Q15" s="250">
        <f t="shared" ref="Q15:R15" si="2">SUM(Q6:Q14)</f>
        <v>610000</v>
      </c>
      <c r="R15" s="191">
        <f t="shared" si="2"/>
        <v>595000</v>
      </c>
      <c r="S15" s="155"/>
    </row>
    <row r="16" spans="1:20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P16" s="111"/>
      <c r="Q16" s="249"/>
      <c r="R16" s="190"/>
      <c r="S16" s="155"/>
    </row>
    <row r="17" spans="1:21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P17" s="112"/>
      <c r="Q17" s="249"/>
      <c r="R17" s="190"/>
      <c r="S17" s="159"/>
      <c r="T17" s="159"/>
    </row>
    <row r="18" spans="1:21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9">
        <v>-68943</v>
      </c>
      <c r="Q18" s="249">
        <v>-150000</v>
      </c>
      <c r="R18" s="190">
        <v>-150000</v>
      </c>
      <c r="S18" s="157" t="s">
        <v>2572</v>
      </c>
      <c r="T18" s="197"/>
    </row>
    <row r="19" spans="1:21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9">
        <v>-14815</v>
      </c>
      <c r="Q19" s="249">
        <v>-120000</v>
      </c>
      <c r="R19" s="190">
        <v>-120000</v>
      </c>
      <c r="S19" s="157" t="s">
        <v>2498</v>
      </c>
      <c r="T19" s="197"/>
      <c r="U19" s="55"/>
    </row>
    <row r="20" spans="1:21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9">
        <v>0</v>
      </c>
      <c r="Q20" s="249">
        <v>0</v>
      </c>
      <c r="R20" s="190">
        <v>0</v>
      </c>
      <c r="S20" s="157"/>
      <c r="T20" s="197"/>
    </row>
    <row r="21" spans="1:21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9">
        <v>-3397</v>
      </c>
      <c r="Q21" s="249">
        <v>-30000</v>
      </c>
      <c r="R21" s="190">
        <v>-30000</v>
      </c>
      <c r="S21" s="157" t="s">
        <v>2497</v>
      </c>
      <c r="T21" s="197"/>
    </row>
    <row r="22" spans="1:21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9">
        <v>0</v>
      </c>
      <c r="Q22" s="249">
        <v>-30000</v>
      </c>
      <c r="R22" s="190">
        <v>-30000</v>
      </c>
      <c r="S22" s="157" t="s">
        <v>2609</v>
      </c>
      <c r="T22" s="197"/>
    </row>
    <row r="23" spans="1:21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9">
        <v>-8123</v>
      </c>
      <c r="Q23" s="249">
        <v>-80000</v>
      </c>
      <c r="R23" s="190">
        <v>-80000</v>
      </c>
      <c r="S23" s="157" t="s">
        <v>2572</v>
      </c>
      <c r="T23" s="197"/>
    </row>
    <row r="24" spans="1:21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9">
        <v>-1231</v>
      </c>
      <c r="Q24" s="249">
        <v>-6000</v>
      </c>
      <c r="R24" s="190">
        <v>-6000</v>
      </c>
      <c r="S24" s="155"/>
      <c r="T24" s="197"/>
    </row>
    <row r="25" spans="1:21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9">
        <v>-5800</v>
      </c>
      <c r="Q25" s="249">
        <v>-20000</v>
      </c>
      <c r="R25" s="190">
        <v>-15000</v>
      </c>
      <c r="S25" s="157" t="s">
        <v>2610</v>
      </c>
      <c r="T25" s="197"/>
    </row>
    <row r="26" spans="1:21" ht="24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9">
        <v>0</v>
      </c>
      <c r="Q26" s="249">
        <v>-35000</v>
      </c>
      <c r="R26" s="190">
        <v>-35000</v>
      </c>
      <c r="S26" s="157" t="s">
        <v>2611</v>
      </c>
      <c r="T26" s="197"/>
    </row>
    <row r="27" spans="1:21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9">
        <v>-2400</v>
      </c>
      <c r="Q27" s="249">
        <v>-15000</v>
      </c>
      <c r="R27" s="190">
        <v>-15000</v>
      </c>
      <c r="S27" s="157" t="s">
        <v>2497</v>
      </c>
      <c r="T27" s="197"/>
    </row>
    <row r="28" spans="1:21" ht="24.6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9">
        <v>0</v>
      </c>
      <c r="Q28" s="249">
        <v>-50000</v>
      </c>
      <c r="R28" s="190">
        <v>-50000</v>
      </c>
      <c r="S28" s="157" t="s">
        <v>2612</v>
      </c>
      <c r="T28" s="197"/>
    </row>
    <row r="29" spans="1:2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9">
        <v>0</v>
      </c>
      <c r="Q29" s="249">
        <v>-10000</v>
      </c>
      <c r="R29" s="190">
        <v>-10000</v>
      </c>
      <c r="S29" s="157" t="s">
        <v>2498</v>
      </c>
    </row>
    <row r="30" spans="1:21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9">
        <v>-500</v>
      </c>
      <c r="Q30" s="249">
        <v>-500</v>
      </c>
      <c r="R30" s="190">
        <v>-500</v>
      </c>
      <c r="S30" s="157"/>
    </row>
    <row r="31" spans="1:21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9">
        <v>0</v>
      </c>
      <c r="Q31" s="249">
        <v>-110000</v>
      </c>
      <c r="R31" s="190">
        <v>-110000</v>
      </c>
      <c r="S31" s="157" t="s">
        <v>2613</v>
      </c>
      <c r="T31" s="197"/>
    </row>
    <row r="32" spans="1:21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9"/>
      <c r="Q32" s="249">
        <v>0</v>
      </c>
      <c r="R32" s="190">
        <v>0</v>
      </c>
      <c r="S32" s="155"/>
      <c r="T32" s="197"/>
    </row>
    <row r="33" spans="1:21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9">
        <f>-750-1725-1000-157</f>
        <v>-3632</v>
      </c>
      <c r="Q33" s="249">
        <v>-5000</v>
      </c>
      <c r="R33" s="190">
        <v>-5000</v>
      </c>
      <c r="S33" s="157" t="s">
        <v>2615</v>
      </c>
      <c r="T33" s="197"/>
    </row>
    <row r="34" spans="1:21" x14ac:dyDescent="0.3">
      <c r="A34" s="7" t="s">
        <v>2555</v>
      </c>
      <c r="B34" s="39">
        <f t="shared" ref="B34:P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1">
        <f t="shared" si="3"/>
        <v>-108841</v>
      </c>
      <c r="Q34" s="250">
        <f>SUM(Q18:Q33)</f>
        <v>-661500</v>
      </c>
      <c r="R34" s="191">
        <f>SUM(R18:R33)</f>
        <v>-656500</v>
      </c>
      <c r="S34" s="205"/>
      <c r="T34" s="206"/>
    </row>
    <row r="35" spans="1:21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113"/>
      <c r="Q35" s="250"/>
      <c r="R35" s="191"/>
      <c r="S35" s="158"/>
      <c r="T35" s="207"/>
    </row>
    <row r="36" spans="1:21" s="13" customFormat="1" ht="38.25" hidden="1" customHeight="1" x14ac:dyDescent="0.3">
      <c r="A36" s="7" t="s">
        <v>48</v>
      </c>
      <c r="B36" s="39">
        <f t="shared" ref="B36:P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12">
        <f t="shared" si="5"/>
        <v>10177</v>
      </c>
      <c r="J36" s="12">
        <f t="shared" si="5"/>
        <v>36557</v>
      </c>
      <c r="K36" s="12">
        <f t="shared" si="5"/>
        <v>-84874</v>
      </c>
      <c r="L36" s="12">
        <f t="shared" si="5"/>
        <v>8025</v>
      </c>
      <c r="M36" s="12">
        <f t="shared" si="5"/>
        <v>-10322</v>
      </c>
      <c r="N36" s="12">
        <f t="shared" si="5"/>
        <v>122284</v>
      </c>
      <c r="O36" s="12">
        <f t="shared" si="5"/>
        <v>104927</v>
      </c>
      <c r="P36" s="11">
        <f t="shared" si="5"/>
        <v>19794</v>
      </c>
      <c r="Q36" s="250">
        <f>Q15+Q34</f>
        <v>-51500</v>
      </c>
      <c r="R36" s="191">
        <f>R15+R34</f>
        <v>-61500</v>
      </c>
      <c r="S36" s="158"/>
      <c r="T36" s="207"/>
    </row>
    <row r="37" spans="1:21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1"/>
      <c r="Q37" s="250"/>
      <c r="R37" s="191"/>
      <c r="S37" s="158"/>
      <c r="T37" s="207"/>
    </row>
    <row r="38" spans="1:21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1">
        <v>0</v>
      </c>
      <c r="Q38" s="250">
        <v>0</v>
      </c>
      <c r="R38" s="191">
        <v>0</v>
      </c>
      <c r="S38" s="155"/>
      <c r="T38" s="206"/>
    </row>
    <row r="39" spans="1:21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4"/>
      <c r="Q39" s="251"/>
      <c r="R39" s="210"/>
      <c r="S39" s="205"/>
      <c r="T39" s="206"/>
    </row>
    <row r="40" spans="1:21" s="13" customFormat="1" ht="16.2" thickBot="1" x14ac:dyDescent="0.35">
      <c r="A40" s="7" t="s">
        <v>2557</v>
      </c>
      <c r="B40" s="39">
        <f t="shared" ref="B40:Q40" si="6">+B38+B36</f>
        <v>-34674</v>
      </c>
      <c r="C40" s="39">
        <f t="shared" si="6"/>
        <v>76791</v>
      </c>
      <c r="D40" s="39">
        <f t="shared" si="6"/>
        <v>22713</v>
      </c>
      <c r="E40" s="39">
        <f t="shared" si="6"/>
        <v>-15009.140000000043</v>
      </c>
      <c r="F40" s="39">
        <f t="shared" si="6"/>
        <v>-35959.489999999991</v>
      </c>
      <c r="G40" s="39">
        <f t="shared" si="6"/>
        <v>-181974</v>
      </c>
      <c r="H40" s="39">
        <f t="shared" si="6"/>
        <v>13685</v>
      </c>
      <c r="I40" s="12">
        <f t="shared" si="6"/>
        <v>10177</v>
      </c>
      <c r="J40" s="12">
        <f>+J38+J36</f>
        <v>36557</v>
      </c>
      <c r="K40" s="12">
        <f t="shared" si="6"/>
        <v>-84874</v>
      </c>
      <c r="L40" s="12">
        <f t="shared" si="6"/>
        <v>8025</v>
      </c>
      <c r="M40" s="12">
        <f t="shared" si="6"/>
        <v>-10322</v>
      </c>
      <c r="N40" s="12">
        <f t="shared" si="6"/>
        <v>122284</v>
      </c>
      <c r="O40" s="12">
        <f t="shared" si="6"/>
        <v>104927</v>
      </c>
      <c r="P40" s="154">
        <f t="shared" si="6"/>
        <v>19794</v>
      </c>
      <c r="Q40" s="252">
        <f t="shared" si="6"/>
        <v>-51500</v>
      </c>
      <c r="R40" s="192">
        <f>+R38+R36</f>
        <v>-61500</v>
      </c>
      <c r="S40" s="155"/>
      <c r="T40" s="208"/>
    </row>
    <row r="41" spans="1:21" s="13" customFormat="1" x14ac:dyDescent="0.3">
      <c r="A41" s="4"/>
      <c r="B41" s="4"/>
      <c r="C41" s="4"/>
      <c r="D41" s="4"/>
      <c r="E41" s="4"/>
      <c r="F41" s="4"/>
      <c r="G41" s="4"/>
      <c r="H41" s="4"/>
      <c r="Q41" s="58"/>
      <c r="R41" s="58"/>
      <c r="S41" s="196"/>
      <c r="T41" s="155"/>
    </row>
    <row r="42" spans="1:21" x14ac:dyDescent="0.3">
      <c r="Q42" s="55"/>
      <c r="S42" s="155"/>
    </row>
    <row r="43" spans="1:21" x14ac:dyDescent="0.3">
      <c r="Q43" s="99"/>
    </row>
    <row r="44" spans="1:21" x14ac:dyDescent="0.3">
      <c r="Q44" s="222"/>
    </row>
    <row r="45" spans="1:21" x14ac:dyDescent="0.3">
      <c r="Q45" s="207"/>
    </row>
    <row r="46" spans="1:21" x14ac:dyDescent="0.3">
      <c r="Q46" s="222"/>
    </row>
    <row r="47" spans="1:21" s="4" customFormat="1" x14ac:dyDescent="0.3">
      <c r="Q47" s="99"/>
      <c r="S47" s="196"/>
      <c r="T47" s="155"/>
      <c r="U47" s="1"/>
    </row>
    <row r="48" spans="1:21" s="4" customFormat="1" x14ac:dyDescent="0.3">
      <c r="Q48" s="99"/>
      <c r="S48" s="196"/>
      <c r="T48" s="155"/>
      <c r="U48" s="1"/>
    </row>
    <row r="49" spans="17:21" s="4" customFormat="1" x14ac:dyDescent="0.3">
      <c r="Q49" s="99"/>
      <c r="S49" s="196"/>
      <c r="T49" s="155"/>
      <c r="U49" s="1"/>
    </row>
    <row r="50" spans="17:21" s="4" customFormat="1" x14ac:dyDescent="0.3">
      <c r="Q50" s="99"/>
      <c r="S50" s="196"/>
      <c r="T50" s="155"/>
      <c r="U50" s="1"/>
    </row>
    <row r="51" spans="17:21" x14ac:dyDescent="0.3">
      <c r="Q51" s="99"/>
    </row>
    <row r="52" spans="17:21" x14ac:dyDescent="0.3">
      <c r="Q52" s="223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4F104-6869-4FC2-897F-A43481A35AAE}">
  <sheetPr>
    <tabColor theme="5" tint="-0.249977111117893"/>
    <pageSetUpPr fitToPage="1"/>
  </sheetPr>
  <dimension ref="A1:U52"/>
  <sheetViews>
    <sheetView zoomScale="110" zoomScaleNormal="110" workbookViewId="0">
      <pane xSplit="1" ySplit="3" topLeftCell="K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6" width="16.44140625" style="1" customWidth="1"/>
    <col min="17" max="18" width="18.5546875" style="1" customWidth="1"/>
    <col min="19" max="19" width="27" style="196" customWidth="1"/>
    <col min="20" max="20" width="12" style="155" customWidth="1"/>
    <col min="21" max="16384" width="9.109375" style="1"/>
  </cols>
  <sheetData>
    <row r="1" spans="1:20" ht="31.8" thickBot="1" x14ac:dyDescent="0.65">
      <c r="A1" s="211" t="s">
        <v>486</v>
      </c>
      <c r="C1" s="224"/>
      <c r="D1" s="224"/>
      <c r="I1" s="4"/>
      <c r="J1" s="4"/>
      <c r="K1" s="295" t="s">
        <v>487</v>
      </c>
      <c r="L1" s="295"/>
      <c r="M1" s="295"/>
    </row>
    <row r="2" spans="1:20" ht="16.2" thickBot="1" x14ac:dyDescent="0.35"/>
    <row r="3" spans="1:20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227">
        <v>2022</v>
      </c>
      <c r="Q3" s="253" t="s">
        <v>809</v>
      </c>
      <c r="R3" s="240" t="s">
        <v>2603</v>
      </c>
      <c r="S3" s="156"/>
      <c r="T3" s="156"/>
    </row>
    <row r="4" spans="1:20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267">
        <v>44598</v>
      </c>
      <c r="Q4" s="110">
        <v>44926</v>
      </c>
      <c r="R4" s="209"/>
      <c r="S4" s="156"/>
      <c r="T4" s="156"/>
    </row>
    <row r="5" spans="1:20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37"/>
      <c r="Q5" s="111"/>
      <c r="R5" s="8"/>
      <c r="S5" s="155"/>
    </row>
    <row r="6" spans="1:20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9">
        <v>10000</v>
      </c>
      <c r="Q6" s="249">
        <v>190000</v>
      </c>
      <c r="R6" s="190">
        <v>190000</v>
      </c>
      <c r="S6" s="217" t="s">
        <v>2605</v>
      </c>
    </row>
    <row r="7" spans="1:20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9">
        <v>0</v>
      </c>
      <c r="Q7" s="249">
        <v>160000</v>
      </c>
      <c r="R7" s="190">
        <v>160000</v>
      </c>
      <c r="S7" s="236" t="s">
        <v>2606</v>
      </c>
    </row>
    <row r="8" spans="1:20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9">
        <v>0</v>
      </c>
      <c r="Q8" s="249">
        <v>40000</v>
      </c>
      <c r="R8" s="190">
        <v>40000</v>
      </c>
      <c r="S8" s="217"/>
    </row>
    <row r="9" spans="1:20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9">
        <v>0</v>
      </c>
      <c r="Q9" s="249">
        <v>15000</v>
      </c>
      <c r="R9" s="190">
        <v>15000</v>
      </c>
      <c r="S9" s="217" t="s">
        <v>2522</v>
      </c>
    </row>
    <row r="10" spans="1:20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9">
        <v>0</v>
      </c>
      <c r="Q10" s="249">
        <v>40000</v>
      </c>
      <c r="R10" s="190">
        <v>40000</v>
      </c>
      <c r="S10" s="217" t="s">
        <v>2607</v>
      </c>
    </row>
    <row r="11" spans="1:20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9">
        <v>0</v>
      </c>
      <c r="Q11" s="249">
        <v>110000</v>
      </c>
      <c r="R11" s="190">
        <v>110000</v>
      </c>
      <c r="S11" s="155"/>
    </row>
    <row r="12" spans="1:20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9"/>
      <c r="Q12" s="249">
        <v>0</v>
      </c>
      <c r="R12" s="190">
        <v>0</v>
      </c>
      <c r="S12" s="155"/>
    </row>
    <row r="13" spans="1:20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9"/>
      <c r="Q13" s="249">
        <v>0</v>
      </c>
      <c r="R13" s="190">
        <v>0</v>
      </c>
      <c r="S13" s="155"/>
    </row>
    <row r="14" spans="1:20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9">
        <v>0</v>
      </c>
      <c r="Q14" s="249">
        <v>40000</v>
      </c>
      <c r="R14" s="190">
        <v>40000</v>
      </c>
      <c r="S14" s="236" t="s">
        <v>2608</v>
      </c>
    </row>
    <row r="15" spans="1:20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2">
        <f>SUM(M6:M14)</f>
        <v>627974</v>
      </c>
      <c r="N15" s="12">
        <f>SUM(N6:N14)</f>
        <v>667900</v>
      </c>
      <c r="O15" s="12">
        <f>SUM(O6:O14)</f>
        <v>701882</v>
      </c>
      <c r="P15" s="11">
        <f>SUM(P6:P14)</f>
        <v>10000</v>
      </c>
      <c r="Q15" s="250">
        <f t="shared" ref="Q15:R15" si="2">SUM(Q6:Q14)</f>
        <v>595000</v>
      </c>
      <c r="R15" s="191">
        <f t="shared" si="2"/>
        <v>595000</v>
      </c>
      <c r="S15" s="155"/>
    </row>
    <row r="16" spans="1:20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P16" s="111"/>
      <c r="Q16" s="249"/>
      <c r="R16" s="190"/>
      <c r="S16" s="155"/>
    </row>
    <row r="17" spans="1:21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P17" s="112"/>
      <c r="Q17" s="249"/>
      <c r="R17" s="190"/>
      <c r="S17" s="159"/>
      <c r="T17" s="159"/>
    </row>
    <row r="18" spans="1:21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9">
        <v>-4502</v>
      </c>
      <c r="Q18" s="249">
        <v>-150000</v>
      </c>
      <c r="R18" s="190">
        <v>-150000</v>
      </c>
      <c r="S18" s="157" t="s">
        <v>2572</v>
      </c>
      <c r="T18" s="197"/>
    </row>
    <row r="19" spans="1:21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9">
        <v>-5100</v>
      </c>
      <c r="Q19" s="249">
        <v>-120000</v>
      </c>
      <c r="R19" s="190">
        <v>-120000</v>
      </c>
      <c r="S19" s="157" t="s">
        <v>2498</v>
      </c>
      <c r="T19" s="197"/>
      <c r="U19" s="55"/>
    </row>
    <row r="20" spans="1:21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9">
        <v>0</v>
      </c>
      <c r="Q20" s="249">
        <v>0</v>
      </c>
      <c r="R20" s="190">
        <v>0</v>
      </c>
      <c r="S20" s="157"/>
      <c r="T20" s="197"/>
    </row>
    <row r="21" spans="1:21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9">
        <v>0</v>
      </c>
      <c r="Q21" s="249">
        <v>-30000</v>
      </c>
      <c r="R21" s="190">
        <v>-30000</v>
      </c>
      <c r="S21" s="157" t="s">
        <v>2497</v>
      </c>
      <c r="T21" s="197"/>
    </row>
    <row r="22" spans="1:21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9">
        <v>0</v>
      </c>
      <c r="Q22" s="249">
        <v>-30000</v>
      </c>
      <c r="R22" s="190">
        <v>-30000</v>
      </c>
      <c r="S22" s="157" t="s">
        <v>2609</v>
      </c>
      <c r="T22" s="197"/>
    </row>
    <row r="23" spans="1:21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9">
        <v>0</v>
      </c>
      <c r="Q23" s="249">
        <v>-80000</v>
      </c>
      <c r="R23" s="190">
        <v>-80000</v>
      </c>
      <c r="S23" s="157" t="s">
        <v>2572</v>
      </c>
      <c r="T23" s="197"/>
    </row>
    <row r="24" spans="1:21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9">
        <v>0</v>
      </c>
      <c r="Q24" s="249">
        <v>-6000</v>
      </c>
      <c r="R24" s="190">
        <v>-6000</v>
      </c>
      <c r="S24" s="155"/>
      <c r="T24" s="197"/>
    </row>
    <row r="25" spans="1:21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9">
        <v>-3000</v>
      </c>
      <c r="Q25" s="249">
        <v>-15000</v>
      </c>
      <c r="R25" s="190">
        <v>-15000</v>
      </c>
      <c r="S25" s="157" t="s">
        <v>2610</v>
      </c>
      <c r="T25" s="197"/>
    </row>
    <row r="26" spans="1:21" ht="24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9">
        <v>0</v>
      </c>
      <c r="Q26" s="249">
        <v>-35000</v>
      </c>
      <c r="R26" s="190">
        <v>-35000</v>
      </c>
      <c r="S26" s="157" t="s">
        <v>2611</v>
      </c>
      <c r="T26" s="197"/>
    </row>
    <row r="27" spans="1:21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9">
        <v>-400</v>
      </c>
      <c r="Q27" s="249">
        <v>-15000</v>
      </c>
      <c r="R27" s="190">
        <v>-15000</v>
      </c>
      <c r="S27" s="157" t="s">
        <v>2497</v>
      </c>
      <c r="T27" s="197"/>
    </row>
    <row r="28" spans="1:21" ht="24.6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9">
        <v>0</v>
      </c>
      <c r="Q28" s="249">
        <v>-50000</v>
      </c>
      <c r="R28" s="190">
        <v>-50000</v>
      </c>
      <c r="S28" s="157" t="s">
        <v>2612</v>
      </c>
      <c r="T28" s="197"/>
    </row>
    <row r="29" spans="1:2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9">
        <v>0</v>
      </c>
      <c r="Q29" s="249">
        <v>-10000</v>
      </c>
      <c r="R29" s="190">
        <v>-10000</v>
      </c>
      <c r="S29" s="157" t="s">
        <v>2498</v>
      </c>
    </row>
    <row r="30" spans="1:21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9">
        <v>-500</v>
      </c>
      <c r="Q30" s="249">
        <v>-500</v>
      </c>
      <c r="R30" s="190">
        <v>-500</v>
      </c>
      <c r="S30" s="157"/>
    </row>
    <row r="31" spans="1:21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9">
        <v>0</v>
      </c>
      <c r="Q31" s="249">
        <v>-110000</v>
      </c>
      <c r="R31" s="190">
        <v>-110000</v>
      </c>
      <c r="S31" s="157" t="s">
        <v>2613</v>
      </c>
      <c r="T31" s="197"/>
    </row>
    <row r="32" spans="1:21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9"/>
      <c r="Q32" s="249">
        <v>0</v>
      </c>
      <c r="R32" s="190">
        <v>0</v>
      </c>
      <c r="S32" s="155"/>
      <c r="T32" s="197"/>
    </row>
    <row r="33" spans="1:21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9">
        <v>-2475</v>
      </c>
      <c r="Q33" s="249">
        <v>-5000</v>
      </c>
      <c r="R33" s="190">
        <v>-5000</v>
      </c>
      <c r="S33" s="157" t="s">
        <v>2586</v>
      </c>
      <c r="T33" s="197"/>
    </row>
    <row r="34" spans="1:21" x14ac:dyDescent="0.3">
      <c r="A34" s="7" t="s">
        <v>2555</v>
      </c>
      <c r="B34" s="39">
        <f t="shared" ref="B34:P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1">
        <f t="shared" si="3"/>
        <v>-15977</v>
      </c>
      <c r="Q34" s="250">
        <f>SUM(Q18:Q33)</f>
        <v>-656500</v>
      </c>
      <c r="R34" s="191">
        <f>SUM(R18:R33)</f>
        <v>-656500</v>
      </c>
      <c r="S34" s="205"/>
      <c r="T34" s="206"/>
    </row>
    <row r="35" spans="1:21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113"/>
      <c r="Q35" s="250"/>
      <c r="R35" s="191"/>
      <c r="S35" s="158"/>
      <c r="T35" s="207"/>
    </row>
    <row r="36" spans="1:21" s="13" customFormat="1" ht="38.25" hidden="1" customHeight="1" x14ac:dyDescent="0.3">
      <c r="A36" s="7" t="s">
        <v>48</v>
      </c>
      <c r="B36" s="39">
        <f t="shared" ref="B36:P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12">
        <f t="shared" si="5"/>
        <v>10177</v>
      </c>
      <c r="J36" s="12">
        <f t="shared" si="5"/>
        <v>36557</v>
      </c>
      <c r="K36" s="12">
        <f t="shared" si="5"/>
        <v>-84874</v>
      </c>
      <c r="L36" s="12">
        <f t="shared" si="5"/>
        <v>8025</v>
      </c>
      <c r="M36" s="12">
        <f t="shared" si="5"/>
        <v>-10322</v>
      </c>
      <c r="N36" s="12">
        <f t="shared" si="5"/>
        <v>122284</v>
      </c>
      <c r="O36" s="12">
        <f t="shared" ref="O36" si="6">+O34+O15</f>
        <v>104927</v>
      </c>
      <c r="P36" s="11">
        <f t="shared" si="5"/>
        <v>-5977</v>
      </c>
      <c r="Q36" s="250">
        <f>Q15+Q34</f>
        <v>-61500</v>
      </c>
      <c r="R36" s="191">
        <f>R15+R34</f>
        <v>-61500</v>
      </c>
      <c r="S36" s="158"/>
      <c r="T36" s="207"/>
    </row>
    <row r="37" spans="1:21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1"/>
      <c r="Q37" s="250"/>
      <c r="R37" s="191"/>
      <c r="S37" s="158"/>
      <c r="T37" s="207"/>
    </row>
    <row r="38" spans="1:21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1">
        <v>0</v>
      </c>
      <c r="Q38" s="250">
        <v>0</v>
      </c>
      <c r="R38" s="191">
        <v>0</v>
      </c>
      <c r="S38" s="155"/>
      <c r="T38" s="206"/>
    </row>
    <row r="39" spans="1:21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4"/>
      <c r="Q39" s="251"/>
      <c r="R39" s="210"/>
      <c r="S39" s="205"/>
      <c r="T39" s="206"/>
    </row>
    <row r="40" spans="1:21" s="13" customFormat="1" ht="16.2" thickBot="1" x14ac:dyDescent="0.35">
      <c r="A40" s="7" t="s">
        <v>2557</v>
      </c>
      <c r="B40" s="39">
        <f t="shared" ref="B40:Q40" si="7">+B38+B36</f>
        <v>-34674</v>
      </c>
      <c r="C40" s="39">
        <f t="shared" si="7"/>
        <v>76791</v>
      </c>
      <c r="D40" s="39">
        <f t="shared" si="7"/>
        <v>22713</v>
      </c>
      <c r="E40" s="39">
        <f t="shared" si="7"/>
        <v>-15009.140000000043</v>
      </c>
      <c r="F40" s="39">
        <f t="shared" si="7"/>
        <v>-35959.489999999991</v>
      </c>
      <c r="G40" s="39">
        <f t="shared" si="7"/>
        <v>-181974</v>
      </c>
      <c r="H40" s="39">
        <f t="shared" si="7"/>
        <v>13685</v>
      </c>
      <c r="I40" s="12">
        <f t="shared" si="7"/>
        <v>10177</v>
      </c>
      <c r="J40" s="12">
        <f>+J38+J36</f>
        <v>36557</v>
      </c>
      <c r="K40" s="12">
        <f t="shared" si="7"/>
        <v>-84874</v>
      </c>
      <c r="L40" s="12">
        <f t="shared" si="7"/>
        <v>8025</v>
      </c>
      <c r="M40" s="12">
        <f t="shared" si="7"/>
        <v>-10322</v>
      </c>
      <c r="N40" s="12">
        <f t="shared" si="7"/>
        <v>122284</v>
      </c>
      <c r="O40" s="12">
        <f t="shared" ref="O40" si="8">+O38+O36</f>
        <v>104927</v>
      </c>
      <c r="P40" s="154">
        <f t="shared" si="7"/>
        <v>-5977</v>
      </c>
      <c r="Q40" s="252">
        <f t="shared" si="7"/>
        <v>-61500</v>
      </c>
      <c r="R40" s="192">
        <f>+R38+R36</f>
        <v>-61500</v>
      </c>
      <c r="S40" s="155"/>
      <c r="T40" s="208"/>
    </row>
    <row r="41" spans="1:21" s="13" customFormat="1" x14ac:dyDescent="0.3">
      <c r="A41" s="4"/>
      <c r="B41" s="4"/>
      <c r="C41" s="4"/>
      <c r="D41" s="4"/>
      <c r="E41" s="4"/>
      <c r="F41" s="4"/>
      <c r="G41" s="4"/>
      <c r="H41" s="4"/>
      <c r="Q41" s="58"/>
      <c r="R41" s="58"/>
      <c r="S41" s="196"/>
      <c r="T41" s="155"/>
    </row>
    <row r="42" spans="1:21" x14ac:dyDescent="0.3">
      <c r="Q42" s="55"/>
      <c r="S42" s="155"/>
    </row>
    <row r="43" spans="1:21" x14ac:dyDescent="0.3">
      <c r="Q43" s="99"/>
    </row>
    <row r="44" spans="1:21" x14ac:dyDescent="0.3">
      <c r="Q44" s="222"/>
    </row>
    <row r="45" spans="1:21" x14ac:dyDescent="0.3">
      <c r="Q45" s="207"/>
    </row>
    <row r="46" spans="1:21" x14ac:dyDescent="0.3">
      <c r="Q46" s="222"/>
    </row>
    <row r="47" spans="1:21" s="4" customFormat="1" x14ac:dyDescent="0.3">
      <c r="Q47" s="99"/>
      <c r="S47" s="196"/>
      <c r="T47" s="155"/>
      <c r="U47" s="1"/>
    </row>
    <row r="48" spans="1:21" s="4" customFormat="1" x14ac:dyDescent="0.3">
      <c r="Q48" s="99"/>
      <c r="S48" s="196"/>
      <c r="T48" s="155"/>
      <c r="U48" s="1"/>
    </row>
    <row r="49" spans="17:21" s="4" customFormat="1" x14ac:dyDescent="0.3">
      <c r="Q49" s="99"/>
      <c r="S49" s="196"/>
      <c r="T49" s="155"/>
      <c r="U49" s="1"/>
    </row>
    <row r="50" spans="17:21" s="4" customFormat="1" x14ac:dyDescent="0.3">
      <c r="Q50" s="99"/>
      <c r="S50" s="196"/>
      <c r="T50" s="155"/>
      <c r="U50" s="1"/>
    </row>
    <row r="51" spans="17:21" x14ac:dyDescent="0.3">
      <c r="Q51" s="99"/>
    </row>
    <row r="52" spans="17:21" x14ac:dyDescent="0.3">
      <c r="Q52" s="223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6BFF5-4AC5-4859-BD28-A691F4DD1CDE}">
  <sheetPr>
    <tabColor theme="5" tint="-0.249977111117893"/>
    <pageSetUpPr fitToPage="1"/>
  </sheetPr>
  <dimension ref="A1:S50"/>
  <sheetViews>
    <sheetView zoomScaleNormal="100" workbookViewId="0">
      <pane xSplit="1" ySplit="3" topLeftCell="K4" activePane="bottomRight" state="frozen"/>
      <selection pane="topRight" activeCell="B1" sqref="B1"/>
      <selection pane="bottomLeft" activeCell="A4" sqref="A4"/>
      <selection pane="bottomRight" activeCell="P2" sqref="P1:P1048576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1" width="16.44140625" style="1" hidden="1" customWidth="1"/>
    <col min="12" max="14" width="16.44140625" style="1" customWidth="1"/>
    <col min="15" max="15" width="18.44140625" style="1" customWidth="1"/>
    <col min="16" max="16" width="18.5546875" style="1" customWidth="1"/>
    <col min="17" max="17" width="27" style="196" customWidth="1"/>
    <col min="18" max="18" width="12" style="155" customWidth="1"/>
    <col min="19" max="16384" width="9.109375" style="1"/>
  </cols>
  <sheetData>
    <row r="1" spans="1:18" ht="31.8" thickBot="1" x14ac:dyDescent="0.65">
      <c r="A1" s="211" t="s">
        <v>486</v>
      </c>
      <c r="B1" s="254"/>
      <c r="C1" s="255"/>
      <c r="D1" s="255"/>
      <c r="G1" s="1"/>
      <c r="I1" s="4"/>
      <c r="K1" s="291" t="s">
        <v>487</v>
      </c>
      <c r="L1" s="291"/>
      <c r="M1" s="291"/>
      <c r="N1" s="291"/>
      <c r="O1" s="291"/>
      <c r="P1" s="292"/>
    </row>
    <row r="2" spans="1:18" ht="16.2" thickBot="1" x14ac:dyDescent="0.35"/>
    <row r="3" spans="1:18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37">
        <v>2016</v>
      </c>
      <c r="K3" s="241">
        <v>2017</v>
      </c>
      <c r="L3" s="37">
        <v>2018</v>
      </c>
      <c r="M3" s="37">
        <v>2019</v>
      </c>
      <c r="N3" s="37">
        <v>2020</v>
      </c>
      <c r="O3" s="37">
        <v>2021</v>
      </c>
      <c r="P3" s="240" t="s">
        <v>2603</v>
      </c>
      <c r="Q3" s="156"/>
      <c r="R3" s="156"/>
    </row>
    <row r="4" spans="1:18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263"/>
      <c r="O4" s="267"/>
      <c r="P4" s="209"/>
      <c r="Q4" s="156"/>
      <c r="R4" s="156"/>
    </row>
    <row r="5" spans="1:18" ht="16.2" thickBot="1" x14ac:dyDescent="0.35">
      <c r="A5" s="32" t="s">
        <v>19</v>
      </c>
      <c r="B5" s="10"/>
      <c r="C5" s="7"/>
      <c r="D5" s="7"/>
      <c r="I5" s="4"/>
      <c r="J5" s="4"/>
      <c r="K5" s="262"/>
      <c r="L5" s="262"/>
      <c r="M5" s="262"/>
      <c r="N5" s="264"/>
      <c r="O5" s="237"/>
      <c r="P5" s="8"/>
      <c r="Q5" s="155"/>
    </row>
    <row r="6" spans="1:18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38">
        <v>183801</v>
      </c>
      <c r="L6" s="38">
        <v>157419</v>
      </c>
      <c r="M6" s="38">
        <v>174547</v>
      </c>
      <c r="N6" s="38">
        <v>201753</v>
      </c>
      <c r="O6" s="9">
        <v>201232</v>
      </c>
      <c r="P6" s="190">
        <v>190000</v>
      </c>
      <c r="Q6" s="217"/>
    </row>
    <row r="7" spans="1:18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38">
        <v>131700</v>
      </c>
      <c r="L7" s="38">
        <v>136075</v>
      </c>
      <c r="M7" s="38">
        <v>171450</v>
      </c>
      <c r="N7" s="38">
        <v>179900</v>
      </c>
      <c r="O7" s="9">
        <v>165825</v>
      </c>
      <c r="P7" s="190">
        <v>160000</v>
      </c>
      <c r="Q7" s="236"/>
    </row>
    <row r="8" spans="1:18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38">
        <v>96525</v>
      </c>
      <c r="L8" s="38">
        <v>71440</v>
      </c>
      <c r="M8" s="38">
        <v>94105</v>
      </c>
      <c r="N8" s="38">
        <v>36227</v>
      </c>
      <c r="O8" s="9">
        <v>38377</v>
      </c>
      <c r="P8" s="190">
        <v>40000</v>
      </c>
      <c r="Q8" s="155"/>
    </row>
    <row r="9" spans="1:18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38">
        <v>13700</v>
      </c>
      <c r="L9" s="38">
        <v>18200</v>
      </c>
      <c r="M9" s="38">
        <v>12988</v>
      </c>
      <c r="N9" s="38">
        <v>20320</v>
      </c>
      <c r="O9" s="9">
        <v>16440</v>
      </c>
      <c r="P9" s="190">
        <v>15000</v>
      </c>
      <c r="Q9" s="217"/>
    </row>
    <row r="10" spans="1:18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38">
        <v>104297</v>
      </c>
      <c r="L10" s="38">
        <v>93420</v>
      </c>
      <c r="M10" s="38">
        <v>63900</v>
      </c>
      <c r="N10" s="38">
        <v>40260</v>
      </c>
      <c r="O10" s="9">
        <v>93603</v>
      </c>
      <c r="P10" s="190">
        <v>40000</v>
      </c>
      <c r="Q10" s="217"/>
    </row>
    <row r="11" spans="1:18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38">
        <v>85200</v>
      </c>
      <c r="L11" s="38">
        <v>69517</v>
      </c>
      <c r="M11" s="38">
        <v>89680</v>
      </c>
      <c r="N11" s="38">
        <v>95633</v>
      </c>
      <c r="O11" s="9">
        <v>124778</v>
      </c>
      <c r="P11" s="190">
        <v>110000</v>
      </c>
      <c r="Q11" s="155"/>
    </row>
    <row r="12" spans="1:18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38">
        <v>5455</v>
      </c>
      <c r="L12" s="38">
        <v>0</v>
      </c>
      <c r="M12" s="38">
        <v>0</v>
      </c>
      <c r="N12" s="38">
        <v>0</v>
      </c>
      <c r="O12" s="9"/>
      <c r="P12" s="190">
        <v>0</v>
      </c>
      <c r="Q12" s="155"/>
    </row>
    <row r="13" spans="1:18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9"/>
      <c r="P13" s="190">
        <v>0</v>
      </c>
      <c r="Q13" s="155"/>
    </row>
    <row r="14" spans="1:18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38">
        <v>29446</v>
      </c>
      <c r="L14" s="38">
        <v>56040</v>
      </c>
      <c r="M14" s="38">
        <v>21304</v>
      </c>
      <c r="N14" s="38">
        <v>93807</v>
      </c>
      <c r="O14" s="9">
        <v>61627</v>
      </c>
      <c r="P14" s="190">
        <v>40000</v>
      </c>
      <c r="Q14" s="217"/>
    </row>
    <row r="15" spans="1:18" x14ac:dyDescent="0.3">
      <c r="A15" s="7" t="s">
        <v>2554</v>
      </c>
      <c r="B15" s="39">
        <f t="shared" ref="B15:P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si="0"/>
        <v>621290</v>
      </c>
      <c r="K15" s="39">
        <f t="shared" si="0"/>
        <v>650124</v>
      </c>
      <c r="L15" s="39">
        <f>SUM(L6:L14)</f>
        <v>602111</v>
      </c>
      <c r="M15" s="39">
        <v>627974</v>
      </c>
      <c r="N15" s="39">
        <f>SUM(N6:N14)</f>
        <v>667900</v>
      </c>
      <c r="O15" s="11">
        <f>SUM(O6:O14)</f>
        <v>701882</v>
      </c>
      <c r="P15" s="191">
        <f t="shared" si="0"/>
        <v>595000</v>
      </c>
      <c r="Q15" s="155"/>
    </row>
    <row r="16" spans="1:18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K16" s="40"/>
      <c r="O16" s="111"/>
      <c r="P16" s="190"/>
      <c r="Q16" s="155"/>
    </row>
    <row r="17" spans="1:19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K17" s="41"/>
      <c r="O17" s="112"/>
      <c r="P17" s="190"/>
      <c r="Q17" s="159"/>
      <c r="R17" s="159"/>
    </row>
    <row r="18" spans="1:19" x14ac:dyDescent="0.3">
      <c r="A18" s="4" t="s">
        <v>46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38">
        <v>-134562</v>
      </c>
      <c r="L18" s="38">
        <v>-150140</v>
      </c>
      <c r="M18" s="38">
        <v>-104717</v>
      </c>
      <c r="N18" s="38">
        <v>-122818</v>
      </c>
      <c r="O18" s="9">
        <v>-159842</v>
      </c>
      <c r="P18" s="190">
        <v>-150000</v>
      </c>
      <c r="Q18" s="155"/>
      <c r="R18" s="197"/>
      <c r="S18" s="55"/>
    </row>
    <row r="19" spans="1:19" x14ac:dyDescent="0.3">
      <c r="A19" s="4" t="s">
        <v>45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38">
        <v>-201761</v>
      </c>
      <c r="L19" s="38">
        <v>-70226</v>
      </c>
      <c r="M19" s="38">
        <v>-120875</v>
      </c>
      <c r="N19" s="38">
        <v>-81372</v>
      </c>
      <c r="O19" s="9">
        <v>-100638</v>
      </c>
      <c r="P19" s="190">
        <v>-120000</v>
      </c>
      <c r="Q19" s="157"/>
      <c r="R19" s="197"/>
    </row>
    <row r="20" spans="1:19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38">
        <v>-17887</v>
      </c>
      <c r="L20" s="38">
        <v>-4522</v>
      </c>
      <c r="M20" s="38">
        <v>0</v>
      </c>
      <c r="N20" s="38">
        <v>-469</v>
      </c>
      <c r="O20" s="9">
        <v>-225</v>
      </c>
      <c r="P20" s="190">
        <v>0</v>
      </c>
      <c r="Q20" s="157"/>
      <c r="R20" s="197"/>
    </row>
    <row r="21" spans="1:19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38">
        <v>-38345</v>
      </c>
      <c r="L21" s="38">
        <v>-52120</v>
      </c>
      <c r="M21" s="38">
        <v>-70704</v>
      </c>
      <c r="N21" s="38">
        <v>-10498</v>
      </c>
      <c r="O21" s="9">
        <v>-17059</v>
      </c>
      <c r="P21" s="190">
        <v>-30000</v>
      </c>
      <c r="Q21" s="155"/>
      <c r="R21" s="197"/>
    </row>
    <row r="22" spans="1:19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38">
        <v>-40515</v>
      </c>
      <c r="L22" s="38">
        <v>-23150</v>
      </c>
      <c r="M22" s="38">
        <v>-39500</v>
      </c>
      <c r="N22" s="38">
        <v>-35192</v>
      </c>
      <c r="O22" s="9">
        <v>-26250</v>
      </c>
      <c r="P22" s="190">
        <v>-30000</v>
      </c>
      <c r="Q22" s="155"/>
      <c r="R22" s="197"/>
    </row>
    <row r="23" spans="1:19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38">
        <v>-76389</v>
      </c>
      <c r="L23" s="38">
        <v>-81515</v>
      </c>
      <c r="M23" s="38">
        <v>-88679</v>
      </c>
      <c r="N23" s="38">
        <v>-72732</v>
      </c>
      <c r="O23" s="9">
        <v>-58100</v>
      </c>
      <c r="P23" s="190">
        <v>-80000</v>
      </c>
      <c r="Q23" s="157"/>
      <c r="R23" s="197"/>
    </row>
    <row r="24" spans="1:19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38">
        <v>-2500</v>
      </c>
      <c r="L24" s="38">
        <v>-3050</v>
      </c>
      <c r="M24" s="38">
        <v>-3860</v>
      </c>
      <c r="N24" s="38">
        <v>-7420</v>
      </c>
      <c r="O24" s="9">
        <v>-4750</v>
      </c>
      <c r="P24" s="190">
        <v>-6000</v>
      </c>
      <c r="Q24" s="155"/>
      <c r="R24" s="197"/>
    </row>
    <row r="25" spans="1:19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38">
        <v>-23700</v>
      </c>
      <c r="L25" s="38">
        <v>-23490</v>
      </c>
      <c r="M25" s="38">
        <v>-20500</v>
      </c>
      <c r="N25" s="38">
        <v>-6700</v>
      </c>
      <c r="O25" s="9">
        <v>-4050</v>
      </c>
      <c r="P25" s="190">
        <v>-15000</v>
      </c>
      <c r="Q25" s="157"/>
      <c r="R25" s="197"/>
    </row>
    <row r="26" spans="1:19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38">
        <v>-30550</v>
      </c>
      <c r="L26" s="38">
        <v>-32750</v>
      </c>
      <c r="M26" s="38">
        <v>-41400</v>
      </c>
      <c r="N26" s="38">
        <v>-35920</v>
      </c>
      <c r="O26" s="9">
        <v>-14840</v>
      </c>
      <c r="P26" s="190">
        <v>-35000</v>
      </c>
      <c r="Q26" s="157"/>
      <c r="R26" s="197"/>
    </row>
    <row r="27" spans="1:19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38">
        <v>-14710</v>
      </c>
      <c r="L27" s="38">
        <v>-18980</v>
      </c>
      <c r="M27" s="38">
        <v>-15500</v>
      </c>
      <c r="N27" s="38">
        <v>-14350</v>
      </c>
      <c r="O27" s="9">
        <v>-15370</v>
      </c>
      <c r="P27" s="190">
        <v>-15000</v>
      </c>
      <c r="Q27" s="155"/>
      <c r="R27" s="197"/>
    </row>
    <row r="28" spans="1:19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38">
        <v>-39400</v>
      </c>
      <c r="L28" s="38">
        <v>-28600</v>
      </c>
      <c r="M28" s="38">
        <v>-18000</v>
      </c>
      <c r="N28" s="38">
        <v>-25600</v>
      </c>
      <c r="O28" s="9">
        <v>-53500</v>
      </c>
      <c r="P28" s="190">
        <v>-50000</v>
      </c>
      <c r="Q28" s="157"/>
      <c r="R28" s="197"/>
    </row>
    <row r="29" spans="1:19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38">
        <v>-10000</v>
      </c>
      <c r="L29" s="38">
        <v>-14500</v>
      </c>
      <c r="M29" s="38">
        <v>-12500</v>
      </c>
      <c r="N29" s="38">
        <v>-14000</v>
      </c>
      <c r="O29" s="9">
        <v>-9500</v>
      </c>
      <c r="P29" s="190">
        <v>-10000</v>
      </c>
      <c r="Q29" s="157"/>
    </row>
    <row r="30" spans="1:19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38">
        <v>-3000</v>
      </c>
      <c r="L30" s="38">
        <v>-500</v>
      </c>
      <c r="M30" s="38">
        <v>-500</v>
      </c>
      <c r="N30" s="38">
        <v>-500</v>
      </c>
      <c r="O30" s="9">
        <v>-500</v>
      </c>
      <c r="P30" s="190">
        <v>-500</v>
      </c>
      <c r="Q30" s="157"/>
    </row>
    <row r="31" spans="1:19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38">
        <v>-90569</v>
      </c>
      <c r="L31" s="38">
        <v>-87302</v>
      </c>
      <c r="M31" s="38">
        <v>-94382</v>
      </c>
      <c r="N31" s="38">
        <v>-111217</v>
      </c>
      <c r="O31" s="9">
        <v>-128246</v>
      </c>
      <c r="P31" s="190">
        <v>-110000</v>
      </c>
      <c r="Q31" s="155"/>
      <c r="R31" s="197"/>
    </row>
    <row r="32" spans="1:19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38">
        <v>0</v>
      </c>
      <c r="L32" s="38">
        <v>0</v>
      </c>
      <c r="M32" s="38">
        <v>0</v>
      </c>
      <c r="N32" s="38">
        <v>0</v>
      </c>
      <c r="O32" s="9"/>
      <c r="P32" s="190">
        <v>0</v>
      </c>
      <c r="Q32" s="155"/>
      <c r="R32" s="197"/>
    </row>
    <row r="33" spans="1:19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38">
        <v>-11110</v>
      </c>
      <c r="L33" s="38">
        <f>-1688+-1553</f>
        <v>-3241</v>
      </c>
      <c r="M33" s="38">
        <v>-7179</v>
      </c>
      <c r="N33" s="38">
        <f>-2226-250-4352</f>
        <v>-6828</v>
      </c>
      <c r="O33" s="9">
        <f>-2835-250-1000</f>
        <v>-4085</v>
      </c>
      <c r="P33" s="190">
        <v>-5000</v>
      </c>
      <c r="Q33" s="155"/>
      <c r="R33" s="197"/>
    </row>
    <row r="34" spans="1:19" x14ac:dyDescent="0.3">
      <c r="A34" s="7" t="s">
        <v>2555</v>
      </c>
      <c r="B34" s="39">
        <f>SUM(B18:B33)</f>
        <v>-218877</v>
      </c>
      <c r="C34" s="39">
        <f t="shared" ref="C34:H34" si="1">SUM(C18:C33)</f>
        <v>-258934</v>
      </c>
      <c r="D34" s="39">
        <f t="shared" si="1"/>
        <v>-187844</v>
      </c>
      <c r="E34" s="39">
        <f t="shared" si="1"/>
        <v>-247088.42</v>
      </c>
      <c r="F34" s="39">
        <f t="shared" si="1"/>
        <v>-325572.77</v>
      </c>
      <c r="G34" s="39">
        <f t="shared" si="1"/>
        <v>-457445</v>
      </c>
      <c r="H34" s="39">
        <f t="shared" si="1"/>
        <v>-467066</v>
      </c>
      <c r="I34" s="39">
        <f>SUM(I18:I33)</f>
        <v>-618159</v>
      </c>
      <c r="J34" s="39">
        <f>SUM(J18:J33)</f>
        <v>-584733</v>
      </c>
      <c r="K34" s="39">
        <f>SUM(K18:K33)</f>
        <v>-734998</v>
      </c>
      <c r="L34" s="39">
        <f t="shared" ref="L34" si="2">SUM(L18:L33)</f>
        <v>-594086</v>
      </c>
      <c r="M34" s="39">
        <v>-638296</v>
      </c>
      <c r="N34" s="39">
        <f t="shared" ref="N34" si="3">SUM(N18:N33)</f>
        <v>-545616</v>
      </c>
      <c r="O34" s="11">
        <f t="shared" ref="O34" si="4">SUM(O18:O33)</f>
        <v>-596955</v>
      </c>
      <c r="P34" s="191">
        <f>SUM(P18:P33)</f>
        <v>-656500</v>
      </c>
      <c r="Q34" s="205"/>
      <c r="R34" s="206"/>
    </row>
    <row r="35" spans="1:19" hidden="1" x14ac:dyDescent="0.3">
      <c r="A35" s="7"/>
      <c r="B35" s="41"/>
      <c r="C35" s="41"/>
      <c r="D35" s="41"/>
      <c r="E35" s="39"/>
      <c r="F35" s="39"/>
      <c r="G35" s="39"/>
      <c r="H35" s="39"/>
      <c r="I35" s="259"/>
      <c r="J35" s="259"/>
      <c r="K35" s="259"/>
      <c r="L35" s="259"/>
      <c r="M35" s="259"/>
      <c r="N35" s="259"/>
      <c r="O35" s="113"/>
      <c r="P35" s="191"/>
      <c r="Q35" s="158"/>
      <c r="R35" s="207"/>
    </row>
    <row r="36" spans="1:19" s="13" customFormat="1" hidden="1" x14ac:dyDescent="0.3">
      <c r="A36" s="7" t="s">
        <v>48</v>
      </c>
      <c r="B36" s="39">
        <f t="shared" ref="B36:K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39">
        <f t="shared" si="5"/>
        <v>10177</v>
      </c>
      <c r="J36" s="39">
        <f t="shared" si="5"/>
        <v>36557</v>
      </c>
      <c r="K36" s="39">
        <f t="shared" si="5"/>
        <v>-84874</v>
      </c>
      <c r="L36" s="39">
        <f>+L34+L15</f>
        <v>8025</v>
      </c>
      <c r="M36" s="39">
        <v>-10322</v>
      </c>
      <c r="N36" s="39">
        <f>+N34+N15</f>
        <v>122284</v>
      </c>
      <c r="O36" s="11">
        <f t="shared" ref="O36" si="6">+O34+O15</f>
        <v>104927</v>
      </c>
      <c r="P36" s="191">
        <f>P15+P34</f>
        <v>-61500</v>
      </c>
      <c r="Q36" s="158"/>
      <c r="R36" s="207"/>
    </row>
    <row r="37" spans="1:19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11"/>
      <c r="P37" s="191"/>
      <c r="Q37" s="158"/>
      <c r="R37" s="207"/>
    </row>
    <row r="38" spans="1:19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11">
        <v>0</v>
      </c>
      <c r="P38" s="191">
        <v>0</v>
      </c>
      <c r="Q38" s="155"/>
      <c r="R38" s="206"/>
    </row>
    <row r="39" spans="1:19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39"/>
      <c r="J39" s="39"/>
      <c r="K39" s="39"/>
      <c r="L39" s="39"/>
      <c r="M39" s="39"/>
      <c r="N39" s="260"/>
      <c r="O39" s="14"/>
      <c r="P39" s="210"/>
      <c r="Q39" s="205"/>
      <c r="R39" s="206"/>
    </row>
    <row r="40" spans="1:19" s="13" customFormat="1" ht="16.2" thickBot="1" x14ac:dyDescent="0.35">
      <c r="A40" s="7" t="s">
        <v>2556</v>
      </c>
      <c r="B40" s="39">
        <f t="shared" ref="B40:K40" si="7">+B38+B36</f>
        <v>-34674</v>
      </c>
      <c r="C40" s="39">
        <f t="shared" si="7"/>
        <v>76791</v>
      </c>
      <c r="D40" s="39">
        <f t="shared" si="7"/>
        <v>22713</v>
      </c>
      <c r="E40" s="39">
        <f t="shared" si="7"/>
        <v>-15009.140000000043</v>
      </c>
      <c r="F40" s="248">
        <f t="shared" si="7"/>
        <v>-35959.489999999991</v>
      </c>
      <c r="G40" s="248">
        <f t="shared" si="7"/>
        <v>-181974</v>
      </c>
      <c r="H40" s="248">
        <f t="shared" si="7"/>
        <v>13685</v>
      </c>
      <c r="I40" s="248">
        <f t="shared" si="7"/>
        <v>10177</v>
      </c>
      <c r="J40" s="248">
        <f t="shared" si="7"/>
        <v>36557</v>
      </c>
      <c r="K40" s="248">
        <f t="shared" si="7"/>
        <v>-84874</v>
      </c>
      <c r="L40" s="248">
        <f>+L38+L36</f>
        <v>8025</v>
      </c>
      <c r="M40" s="248">
        <v>-10322</v>
      </c>
      <c r="N40" s="248">
        <f>+N38+N36</f>
        <v>122284</v>
      </c>
      <c r="O40" s="154">
        <f t="shared" ref="O40" si="8">+O38+O36</f>
        <v>104927</v>
      </c>
      <c r="P40" s="192">
        <f>+P38+P36</f>
        <v>-61500</v>
      </c>
      <c r="Q40" s="155"/>
      <c r="R40" s="208"/>
    </row>
    <row r="41" spans="1:19" s="13" customFormat="1" x14ac:dyDescent="0.3">
      <c r="A41" s="4"/>
      <c r="B41" s="4"/>
      <c r="C41" s="4"/>
      <c r="D41" s="4"/>
      <c r="E41" s="4"/>
      <c r="F41" s="4"/>
      <c r="G41" s="4"/>
      <c r="H41" s="4"/>
      <c r="P41" s="58"/>
      <c r="Q41" s="196"/>
      <c r="R41" s="155"/>
    </row>
    <row r="47" spans="1:19" s="4" customFormat="1" x14ac:dyDescent="0.3">
      <c r="Q47" s="196"/>
      <c r="R47" s="155"/>
      <c r="S47" s="1"/>
    </row>
    <row r="48" spans="1:19" s="4" customFormat="1" x14ac:dyDescent="0.3">
      <c r="Q48" s="196"/>
      <c r="R48" s="155"/>
      <c r="S48" s="1"/>
    </row>
    <row r="49" spans="17:19" s="4" customFormat="1" x14ac:dyDescent="0.3">
      <c r="Q49" s="196"/>
      <c r="R49" s="155"/>
      <c r="S49" s="1"/>
    </row>
    <row r="50" spans="17:19" s="4" customFormat="1" x14ac:dyDescent="0.3">
      <c r="Q50" s="196"/>
      <c r="R50" s="155"/>
      <c r="S50" s="1"/>
    </row>
  </sheetData>
  <mergeCells count="1">
    <mergeCell ref="K1:P1"/>
  </mergeCells>
  <pageMargins left="0.7" right="0.7" top="0.75" bottom="0.75" header="0.3" footer="0.3"/>
  <pageSetup paperSize="9" scale="73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56F81-24E5-40C1-BB4E-58C2D29388B7}">
  <sheetPr>
    <tabColor theme="9" tint="-0.499984740745262"/>
    <pageSetUpPr fitToPage="1"/>
  </sheetPr>
  <dimension ref="A1:G33"/>
  <sheetViews>
    <sheetView workbookViewId="0"/>
  </sheetViews>
  <sheetFormatPr defaultColWidth="9.109375" defaultRowHeight="14.4" x14ac:dyDescent="0.3"/>
  <cols>
    <col min="1" max="1" width="9.109375" style="1"/>
    <col min="2" max="2" width="39.6640625" style="1" customWidth="1"/>
    <col min="3" max="5" width="13.6640625" style="1" customWidth="1"/>
    <col min="6" max="16384" width="9.109375" style="1"/>
  </cols>
  <sheetData>
    <row r="1" spans="1:7" ht="34.200000000000003" thickBot="1" x14ac:dyDescent="0.7">
      <c r="A1" s="193" t="s">
        <v>2602</v>
      </c>
      <c r="B1" s="194"/>
      <c r="C1" s="195"/>
      <c r="D1" s="195"/>
      <c r="E1" s="194"/>
    </row>
    <row r="2" spans="1:7" ht="18.75" customHeight="1" thickBot="1" x14ac:dyDescent="0.7">
      <c r="A2" s="135"/>
      <c r="B2" s="130"/>
      <c r="E2" s="136"/>
    </row>
    <row r="3" spans="1:7" ht="15" thickBot="1" x14ac:dyDescent="0.35">
      <c r="A3" s="124"/>
      <c r="C3" s="102" t="s">
        <v>0</v>
      </c>
      <c r="D3" s="102" t="s">
        <v>904</v>
      </c>
      <c r="E3" s="102" t="s">
        <v>2</v>
      </c>
    </row>
    <row r="4" spans="1:7" ht="15" thickBot="1" x14ac:dyDescent="0.35">
      <c r="A4" s="147" t="s">
        <v>905</v>
      </c>
      <c r="C4" s="103">
        <v>44196</v>
      </c>
      <c r="D4" s="104"/>
      <c r="E4" s="103">
        <v>44561</v>
      </c>
    </row>
    <row r="5" spans="1:7" x14ac:dyDescent="0.3">
      <c r="A5" s="124"/>
      <c r="E5" s="136"/>
    </row>
    <row r="6" spans="1:7" ht="15.6" x14ac:dyDescent="0.3">
      <c r="A6" s="146" t="s">
        <v>906</v>
      </c>
      <c r="E6" s="136"/>
    </row>
    <row r="7" spans="1:7" ht="15" thickBot="1" x14ac:dyDescent="0.35">
      <c r="A7" s="124"/>
      <c r="B7" s="1" t="s">
        <v>5</v>
      </c>
      <c r="C7" s="105">
        <v>0</v>
      </c>
      <c r="D7" s="105">
        <v>0</v>
      </c>
      <c r="E7" s="140">
        <v>0</v>
      </c>
    </row>
    <row r="8" spans="1:7" x14ac:dyDescent="0.3">
      <c r="A8" s="137" t="s">
        <v>907</v>
      </c>
      <c r="C8" s="106">
        <f>SUM(C7:C7)</f>
        <v>0</v>
      </c>
      <c r="D8" s="106">
        <f>SUM(D7:D7)</f>
        <v>0</v>
      </c>
      <c r="E8" s="141">
        <f>SUM(E7:E7)</f>
        <v>0</v>
      </c>
    </row>
    <row r="9" spans="1:7" x14ac:dyDescent="0.3">
      <c r="A9" s="124"/>
      <c r="C9" s="138"/>
      <c r="D9" s="138"/>
      <c r="E9" s="139"/>
    </row>
    <row r="10" spans="1:7" ht="15.6" x14ac:dyDescent="0.3">
      <c r="A10" s="146" t="s">
        <v>9</v>
      </c>
      <c r="C10" s="138"/>
      <c r="D10" s="138"/>
      <c r="E10" s="139"/>
    </row>
    <row r="11" spans="1:7" x14ac:dyDescent="0.3">
      <c r="A11" s="124"/>
      <c r="B11" s="55" t="s">
        <v>2432</v>
      </c>
      <c r="C11" s="138">
        <v>210467.33</v>
      </c>
      <c r="D11" s="138">
        <f>+E11-C11</f>
        <v>103677.4</v>
      </c>
      <c r="E11" s="184">
        <v>314144.73</v>
      </c>
    </row>
    <row r="12" spans="1:7" ht="15" thickBot="1" x14ac:dyDescent="0.35">
      <c r="A12" s="124"/>
      <c r="B12" s="55" t="s">
        <v>2433</v>
      </c>
      <c r="C12" s="107">
        <v>0</v>
      </c>
      <c r="D12" s="105">
        <f>+E12-C12</f>
        <v>0</v>
      </c>
      <c r="E12" s="142">
        <v>0</v>
      </c>
      <c r="G12" s="2"/>
    </row>
    <row r="13" spans="1:7" x14ac:dyDescent="0.3">
      <c r="A13" s="137" t="s">
        <v>14</v>
      </c>
      <c r="C13" s="106">
        <f>SUM(C11:C12)</f>
        <v>210467.33</v>
      </c>
      <c r="D13" s="106">
        <f>SUM(D11:D12)</f>
        <v>103677.4</v>
      </c>
      <c r="E13" s="141">
        <f>SUM(E11:E12)</f>
        <v>314144.73</v>
      </c>
    </row>
    <row r="14" spans="1:7" x14ac:dyDescent="0.3">
      <c r="A14" s="124"/>
      <c r="C14" s="138"/>
      <c r="D14" s="138"/>
      <c r="E14" s="139"/>
    </row>
    <row r="15" spans="1:7" ht="15.6" x14ac:dyDescent="0.3">
      <c r="A15" s="146" t="s">
        <v>911</v>
      </c>
      <c r="C15" s="138"/>
      <c r="D15" s="138"/>
      <c r="E15" s="139"/>
    </row>
    <row r="16" spans="1:7" ht="15" thickBot="1" x14ac:dyDescent="0.35">
      <c r="A16" s="122"/>
      <c r="B16" s="55"/>
      <c r="C16" s="107">
        <v>0</v>
      </c>
      <c r="D16" s="105">
        <f>+E16-C16</f>
        <v>1250</v>
      </c>
      <c r="E16" s="142">
        <v>1250</v>
      </c>
    </row>
    <row r="17" spans="1:5" x14ac:dyDescent="0.3">
      <c r="A17" s="137" t="s">
        <v>913</v>
      </c>
      <c r="C17" s="106">
        <f>SUM(C16:C16)</f>
        <v>0</v>
      </c>
      <c r="D17" s="106">
        <f>SUM(D16:D16)</f>
        <v>1250</v>
      </c>
      <c r="E17" s="141">
        <f>SUM(E16:E16)</f>
        <v>1250</v>
      </c>
    </row>
    <row r="18" spans="1:5" x14ac:dyDescent="0.3">
      <c r="A18" s="124"/>
      <c r="C18" s="138"/>
      <c r="D18" s="138"/>
      <c r="E18" s="139"/>
    </row>
    <row r="19" spans="1:5" s="58" customFormat="1" ht="15" thickBot="1" x14ac:dyDescent="0.35">
      <c r="A19" s="143" t="s">
        <v>15</v>
      </c>
      <c r="C19" s="108">
        <f>+C8+C13+C17</f>
        <v>210467.33</v>
      </c>
      <c r="D19" s="108">
        <f>+E19-C19</f>
        <v>104927.4</v>
      </c>
      <c r="E19" s="144">
        <f>+E8+E13+E16</f>
        <v>315394.73</v>
      </c>
    </row>
    <row r="20" spans="1:5" ht="15" thickTop="1" x14ac:dyDescent="0.3">
      <c r="A20" s="124"/>
      <c r="C20" s="138"/>
      <c r="D20" s="138"/>
      <c r="E20" s="139"/>
    </row>
    <row r="21" spans="1:5" x14ac:dyDescent="0.3">
      <c r="A21" s="124"/>
      <c r="C21" s="138"/>
      <c r="D21" s="138"/>
      <c r="E21" s="139"/>
    </row>
    <row r="22" spans="1:5" x14ac:dyDescent="0.3">
      <c r="A22" s="147" t="s">
        <v>923</v>
      </c>
      <c r="C22" s="138"/>
      <c r="D22" s="138"/>
      <c r="E22" s="139"/>
    </row>
    <row r="23" spans="1:5" x14ac:dyDescent="0.3">
      <c r="A23" s="124"/>
      <c r="C23" s="138"/>
      <c r="D23" s="138"/>
      <c r="E23" s="139"/>
    </row>
    <row r="24" spans="1:5" ht="15.6" x14ac:dyDescent="0.3">
      <c r="A24" s="146" t="s">
        <v>2461</v>
      </c>
      <c r="C24" s="138"/>
      <c r="D24" s="138"/>
      <c r="E24" s="139"/>
    </row>
    <row r="25" spans="1:5" ht="15" thickBot="1" x14ac:dyDescent="0.35">
      <c r="A25" s="122"/>
      <c r="B25" s="55" t="s">
        <v>2463</v>
      </c>
      <c r="C25" s="107">
        <v>0</v>
      </c>
      <c r="D25" s="105">
        <f>+E25-C25</f>
        <v>0</v>
      </c>
      <c r="E25" s="142">
        <v>0</v>
      </c>
    </row>
    <row r="26" spans="1:5" x14ac:dyDescent="0.3">
      <c r="A26" s="137" t="s">
        <v>2462</v>
      </c>
      <c r="C26" s="106">
        <f>SUM(C25:C25)</f>
        <v>0</v>
      </c>
      <c r="D26" s="106">
        <f>SUM(D25:D25)</f>
        <v>0</v>
      </c>
      <c r="E26" s="141">
        <f>SUM(E25:E25)</f>
        <v>0</v>
      </c>
    </row>
    <row r="27" spans="1:5" x14ac:dyDescent="0.3">
      <c r="A27" s="137"/>
      <c r="C27" s="106"/>
      <c r="D27" s="106"/>
      <c r="E27" s="141"/>
    </row>
    <row r="28" spans="1:5" ht="15.6" x14ac:dyDescent="0.3">
      <c r="A28" s="146" t="s">
        <v>8</v>
      </c>
      <c r="C28" s="138"/>
      <c r="D28" s="138"/>
      <c r="E28" s="139"/>
    </row>
    <row r="29" spans="1:5" ht="15" thickBot="1" x14ac:dyDescent="0.35">
      <c r="A29" s="124"/>
      <c r="B29" s="55" t="s">
        <v>8</v>
      </c>
      <c r="C29" s="105">
        <v>210467.33</v>
      </c>
      <c r="D29" s="105">
        <f>+E29-C29</f>
        <v>104927.4</v>
      </c>
      <c r="E29" s="140">
        <v>315394.73</v>
      </c>
    </row>
    <row r="30" spans="1:5" x14ac:dyDescent="0.3">
      <c r="A30" s="137" t="s">
        <v>914</v>
      </c>
      <c r="C30" s="106">
        <f>SUM(C29:C29)</f>
        <v>210467.33</v>
      </c>
      <c r="D30" s="106">
        <f>SUM(D29:D29)</f>
        <v>104927.4</v>
      </c>
      <c r="E30" s="141">
        <f>SUM(E29:E29)</f>
        <v>315394.73</v>
      </c>
    </row>
    <row r="31" spans="1:5" x14ac:dyDescent="0.3">
      <c r="A31" s="124"/>
      <c r="E31" s="136"/>
    </row>
    <row r="32" spans="1:5" s="58" customFormat="1" ht="15" thickBot="1" x14ac:dyDescent="0.35">
      <c r="A32" s="143" t="s">
        <v>915</v>
      </c>
      <c r="C32" s="108">
        <f>+C30+C26</f>
        <v>210467.33</v>
      </c>
      <c r="D32" s="108">
        <f>+D30+D26</f>
        <v>104927.4</v>
      </c>
      <c r="E32" s="144">
        <f>+E30+E26</f>
        <v>315394.73</v>
      </c>
    </row>
    <row r="33" spans="1:5" ht="15.6" thickTop="1" thickBot="1" x14ac:dyDescent="0.35">
      <c r="A33" s="125"/>
      <c r="B33" s="126"/>
      <c r="C33" s="126"/>
      <c r="D33" s="126"/>
      <c r="E33" s="145"/>
    </row>
  </sheetData>
  <pageMargins left="1.18" right="0.7" top="0.75" bottom="0.75" header="0.3" footer="0.3"/>
  <pageSetup paperSize="9" scale="90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5C113-7DAB-4BFD-817F-566FC9CDB02A}">
  <sheetPr>
    <tabColor theme="5" tint="-0.249977111117893"/>
    <pageSetUpPr fitToPage="1"/>
  </sheetPr>
  <dimension ref="A1:R50"/>
  <sheetViews>
    <sheetView zoomScaleNormal="100" workbookViewId="0">
      <pane xSplit="1" ySplit="3" topLeftCell="K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1" width="16.44140625" style="1" hidden="1" customWidth="1"/>
    <col min="12" max="16" width="18.44140625" style="1" customWidth="1"/>
    <col min="17" max="17" width="15.88671875" style="155" customWidth="1"/>
    <col min="18" max="16384" width="9.109375" style="1"/>
  </cols>
  <sheetData>
    <row r="1" spans="1:17" ht="31.8" thickBot="1" x14ac:dyDescent="0.65">
      <c r="A1" s="211" t="s">
        <v>486</v>
      </c>
      <c r="C1" s="224"/>
      <c r="D1" s="224"/>
      <c r="I1" s="4"/>
      <c r="J1" s="4"/>
      <c r="K1" s="295" t="s">
        <v>487</v>
      </c>
      <c r="L1" s="295"/>
      <c r="M1" s="295"/>
    </row>
    <row r="2" spans="1:17" ht="16.2" thickBot="1" x14ac:dyDescent="0.35"/>
    <row r="3" spans="1:17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227">
        <v>2021</v>
      </c>
      <c r="P3" s="240" t="s">
        <v>2567</v>
      </c>
      <c r="Q3" s="156"/>
    </row>
    <row r="4" spans="1:17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267"/>
      <c r="P4" s="209"/>
      <c r="Q4" s="156"/>
    </row>
    <row r="5" spans="1:17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37"/>
      <c r="P5" s="8"/>
    </row>
    <row r="6" spans="1:17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9">
        <v>201232</v>
      </c>
      <c r="P6" s="190">
        <v>180000</v>
      </c>
    </row>
    <row r="7" spans="1:17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9">
        <v>165825</v>
      </c>
      <c r="P7" s="190">
        <v>180000</v>
      </c>
    </row>
    <row r="8" spans="1:17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9">
        <v>38377</v>
      </c>
      <c r="P8" s="190">
        <v>50000</v>
      </c>
    </row>
    <row r="9" spans="1:17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9">
        <v>16440</v>
      </c>
      <c r="P9" s="190">
        <v>15000</v>
      </c>
    </row>
    <row r="10" spans="1:17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9">
        <v>93603</v>
      </c>
      <c r="P10" s="190">
        <v>40000</v>
      </c>
    </row>
    <row r="11" spans="1:17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9">
        <v>124778</v>
      </c>
      <c r="P11" s="190">
        <v>95000</v>
      </c>
    </row>
    <row r="12" spans="1:17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9"/>
      <c r="P12" s="190">
        <v>0</v>
      </c>
    </row>
    <row r="13" spans="1:17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9"/>
      <c r="P13" s="190">
        <v>0</v>
      </c>
    </row>
    <row r="14" spans="1:17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9">
        <v>61627</v>
      </c>
      <c r="P14" s="190">
        <v>40000</v>
      </c>
    </row>
    <row r="15" spans="1:17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2">
        <f>SUM(M6:M14)</f>
        <v>627974</v>
      </c>
      <c r="N15" s="12">
        <f>SUM(N6:N14)</f>
        <v>667900</v>
      </c>
      <c r="O15" s="11">
        <f>SUM(O6:O14)</f>
        <v>701882</v>
      </c>
      <c r="P15" s="191">
        <f t="shared" ref="P15" si="2">SUM(P6:P14)</f>
        <v>600000</v>
      </c>
    </row>
    <row r="16" spans="1:17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O16" s="111"/>
      <c r="P16" s="190"/>
    </row>
    <row r="17" spans="1:18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O17" s="112"/>
      <c r="P17" s="190"/>
      <c r="Q17" s="159"/>
    </row>
    <row r="18" spans="1:18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9">
        <v>-159842</v>
      </c>
      <c r="P18" s="190">
        <v>-140000</v>
      </c>
      <c r="Q18" s="197"/>
    </row>
    <row r="19" spans="1:18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9">
        <v>-100638</v>
      </c>
      <c r="P19" s="190">
        <v>-130000</v>
      </c>
      <c r="Q19" s="197"/>
      <c r="R19" s="55"/>
    </row>
    <row r="20" spans="1:18" ht="27.6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9">
        <v>-225</v>
      </c>
      <c r="P20" s="190">
        <v>-40000</v>
      </c>
      <c r="Q20" s="268" t="s">
        <v>2604</v>
      </c>
    </row>
    <row r="21" spans="1:18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9">
        <v>-17059</v>
      </c>
      <c r="P21" s="190">
        <v>-30000</v>
      </c>
      <c r="Q21" s="197"/>
    </row>
    <row r="22" spans="1:18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9">
        <v>-26250</v>
      </c>
      <c r="P22" s="190">
        <v>-40000</v>
      </c>
      <c r="Q22" s="197"/>
    </row>
    <row r="23" spans="1:18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9">
        <v>-58100</v>
      </c>
      <c r="P23" s="190">
        <v>-90000</v>
      </c>
      <c r="Q23" s="197"/>
    </row>
    <row r="24" spans="1:18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9">
        <v>-4750</v>
      </c>
      <c r="P24" s="190">
        <v>-8000</v>
      </c>
      <c r="Q24" s="197"/>
    </row>
    <row r="25" spans="1:18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9">
        <v>-4050</v>
      </c>
      <c r="P25" s="190">
        <v>-15000</v>
      </c>
      <c r="Q25" s="197"/>
    </row>
    <row r="26" spans="1:18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9">
        <v>-14840</v>
      </c>
      <c r="P26" s="190">
        <v>-35000</v>
      </c>
      <c r="Q26" s="197"/>
    </row>
    <row r="27" spans="1:18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9">
        <v>-15370</v>
      </c>
      <c r="P27" s="190">
        <v>-15000</v>
      </c>
      <c r="Q27" s="197"/>
    </row>
    <row r="28" spans="1:18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9">
        <v>-53500</v>
      </c>
      <c r="P28" s="190">
        <v>-25000</v>
      </c>
      <c r="Q28" s="197"/>
    </row>
    <row r="29" spans="1:18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9">
        <v>-9500</v>
      </c>
      <c r="P29" s="190">
        <v>-15000</v>
      </c>
    </row>
    <row r="30" spans="1:18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9">
        <v>-500</v>
      </c>
      <c r="P30" s="190">
        <v>-500</v>
      </c>
    </row>
    <row r="31" spans="1:18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9">
        <v>-128246</v>
      </c>
      <c r="P31" s="190">
        <v>-110000</v>
      </c>
      <c r="Q31" s="197"/>
    </row>
    <row r="32" spans="1:18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9"/>
      <c r="P32" s="190">
        <v>0</v>
      </c>
      <c r="Q32" s="197"/>
    </row>
    <row r="33" spans="1:18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9">
        <f>-2835-250-1000</f>
        <v>-4085</v>
      </c>
      <c r="P33" s="190">
        <v>-5000</v>
      </c>
      <c r="Q33" s="197"/>
    </row>
    <row r="34" spans="1:18" x14ac:dyDescent="0.3">
      <c r="A34" s="7" t="s">
        <v>2555</v>
      </c>
      <c r="B34" s="39">
        <f t="shared" ref="B34:P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1">
        <f t="shared" si="3"/>
        <v>-596955</v>
      </c>
      <c r="P34" s="191">
        <f t="shared" si="3"/>
        <v>-698500</v>
      </c>
      <c r="Q34" s="206"/>
    </row>
    <row r="35" spans="1:18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113"/>
      <c r="P35" s="191"/>
      <c r="Q35" s="207"/>
    </row>
    <row r="36" spans="1:18" s="13" customFormat="1" ht="38.25" hidden="1" customHeight="1" x14ac:dyDescent="0.3">
      <c r="A36" s="7" t="s">
        <v>48</v>
      </c>
      <c r="B36" s="39">
        <f t="shared" ref="B36:O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 t="shared" si="4"/>
        <v>36557</v>
      </c>
      <c r="K36" s="12">
        <f t="shared" si="4"/>
        <v>-84874</v>
      </c>
      <c r="L36" s="12">
        <f t="shared" si="4"/>
        <v>8025</v>
      </c>
      <c r="M36" s="12">
        <f t="shared" si="4"/>
        <v>-10322</v>
      </c>
      <c r="N36" s="12">
        <f t="shared" si="4"/>
        <v>122284</v>
      </c>
      <c r="O36" s="11">
        <f t="shared" si="4"/>
        <v>104927</v>
      </c>
      <c r="P36" s="191">
        <f>P15+P34</f>
        <v>-98500</v>
      </c>
      <c r="Q36" s="207"/>
    </row>
    <row r="37" spans="1:18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1"/>
      <c r="P37" s="191"/>
      <c r="Q37" s="207"/>
    </row>
    <row r="38" spans="1:18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1">
        <v>0</v>
      </c>
      <c r="P38" s="191">
        <v>0</v>
      </c>
      <c r="Q38" s="206"/>
    </row>
    <row r="39" spans="1:18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4"/>
      <c r="P39" s="210"/>
      <c r="Q39" s="206"/>
    </row>
    <row r="40" spans="1:18" s="13" customFormat="1" ht="16.2" thickBot="1" x14ac:dyDescent="0.35">
      <c r="A40" s="7" t="s">
        <v>2557</v>
      </c>
      <c r="B40" s="39">
        <f t="shared" ref="B40:P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2">
        <f t="shared" si="5"/>
        <v>8025</v>
      </c>
      <c r="M40" s="12">
        <f t="shared" si="5"/>
        <v>-10322</v>
      </c>
      <c r="N40" s="12">
        <f t="shared" si="5"/>
        <v>122284</v>
      </c>
      <c r="O40" s="154">
        <f t="shared" si="5"/>
        <v>104927</v>
      </c>
      <c r="P40" s="192">
        <f t="shared" si="5"/>
        <v>-98500</v>
      </c>
      <c r="Q40" s="208"/>
    </row>
    <row r="41" spans="1:18" s="13" customFormat="1" x14ac:dyDescent="0.3">
      <c r="A41" s="4"/>
      <c r="B41" s="4"/>
      <c r="C41" s="4"/>
      <c r="D41" s="4"/>
      <c r="E41" s="4"/>
      <c r="F41" s="4"/>
      <c r="G41" s="4"/>
      <c r="H41" s="4"/>
      <c r="P41" s="58"/>
      <c r="Q41" s="155"/>
    </row>
    <row r="42" spans="1:18" x14ac:dyDescent="0.3">
      <c r="P42" s="261"/>
    </row>
    <row r="47" spans="1:18" s="4" customFormat="1" x14ac:dyDescent="0.3">
      <c r="Q47" s="155"/>
      <c r="R47" s="1"/>
    </row>
    <row r="48" spans="1:18" s="4" customFormat="1" x14ac:dyDescent="0.3">
      <c r="Q48" s="155"/>
      <c r="R48" s="1"/>
    </row>
    <row r="49" spans="17:18" s="4" customFormat="1" x14ac:dyDescent="0.3">
      <c r="Q49" s="155"/>
      <c r="R49" s="1"/>
    </row>
    <row r="50" spans="17:18" s="4" customFormat="1" x14ac:dyDescent="0.3">
      <c r="Q50" s="155"/>
      <c r="R50" s="1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23DFB-A802-430E-B161-E8B1149C5D89}">
  <sheetPr>
    <tabColor theme="5" tint="-0.249977111117893"/>
    <pageSetUpPr fitToPage="1"/>
  </sheetPr>
  <dimension ref="A1:T52"/>
  <sheetViews>
    <sheetView zoomScale="110" zoomScaleNormal="110" workbookViewId="0">
      <pane xSplit="1" ySplit="3" topLeftCell="K4" activePane="bottomRight" state="frozen"/>
      <selection pane="topRight" activeCell="B1" sqref="B1"/>
      <selection pane="bottomLeft" activeCell="A4" sqref="A4"/>
      <selection pane="bottomRight" activeCell="R10" sqref="R10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5" width="16.44140625" style="1" customWidth="1"/>
    <col min="16" max="17" width="18.5546875" style="1" customWidth="1"/>
    <col min="18" max="18" width="27" style="196" customWidth="1"/>
    <col min="19" max="19" width="12" style="155" customWidth="1"/>
    <col min="20" max="16384" width="9.109375" style="1"/>
  </cols>
  <sheetData>
    <row r="1" spans="1:19" ht="31.8" thickBot="1" x14ac:dyDescent="0.65">
      <c r="A1" s="211" t="s">
        <v>486</v>
      </c>
      <c r="C1" s="224"/>
      <c r="D1" s="224"/>
      <c r="I1" s="4"/>
      <c r="J1" s="4"/>
      <c r="K1" s="295" t="s">
        <v>487</v>
      </c>
      <c r="L1" s="295"/>
      <c r="M1" s="295"/>
    </row>
    <row r="2" spans="1:19" ht="16.2" thickBot="1" x14ac:dyDescent="0.35"/>
    <row r="3" spans="1:19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227">
        <v>2021</v>
      </c>
      <c r="P3" s="253" t="s">
        <v>809</v>
      </c>
      <c r="Q3" s="240" t="s">
        <v>2567</v>
      </c>
      <c r="R3" s="156"/>
      <c r="S3" s="156"/>
    </row>
    <row r="4" spans="1:19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267">
        <v>44561</v>
      </c>
      <c r="P4" s="110">
        <v>44561</v>
      </c>
      <c r="Q4" s="209"/>
      <c r="R4" s="156"/>
      <c r="S4" s="156"/>
    </row>
    <row r="5" spans="1:19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37"/>
      <c r="P5" s="111"/>
      <c r="Q5" s="8"/>
      <c r="R5" s="155"/>
    </row>
    <row r="6" spans="1:19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9">
        <v>201232</v>
      </c>
      <c r="P6" s="249">
        <v>201232</v>
      </c>
      <c r="Q6" s="190">
        <v>180000</v>
      </c>
      <c r="R6" s="217" t="s">
        <v>2590</v>
      </c>
    </row>
    <row r="7" spans="1:19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9">
        <v>165825</v>
      </c>
      <c r="P7" s="249">
        <v>165825</v>
      </c>
      <c r="Q7" s="190">
        <v>180000</v>
      </c>
      <c r="R7" s="236" t="s">
        <v>2591</v>
      </c>
    </row>
    <row r="8" spans="1:19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9">
        <v>38377</v>
      </c>
      <c r="P8" s="249">
        <v>38377</v>
      </c>
      <c r="Q8" s="190">
        <v>50000</v>
      </c>
      <c r="R8" s="217"/>
    </row>
    <row r="9" spans="1:19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9">
        <v>16440</v>
      </c>
      <c r="P9" s="249">
        <v>16440</v>
      </c>
      <c r="Q9" s="190">
        <v>15000</v>
      </c>
      <c r="R9" s="217" t="s">
        <v>2522</v>
      </c>
    </row>
    <row r="10" spans="1:19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9">
        <v>93603</v>
      </c>
      <c r="P10" s="249">
        <v>93603</v>
      </c>
      <c r="Q10" s="190">
        <v>40000</v>
      </c>
      <c r="R10" s="217" t="s">
        <v>2589</v>
      </c>
    </row>
    <row r="11" spans="1:19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9">
        <v>124778</v>
      </c>
      <c r="P11" s="249">
        <v>124778</v>
      </c>
      <c r="Q11" s="190">
        <v>95000</v>
      </c>
      <c r="R11" s="155"/>
    </row>
    <row r="12" spans="1:19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9"/>
      <c r="P12" s="249">
        <v>0</v>
      </c>
      <c r="Q12" s="190">
        <v>0</v>
      </c>
      <c r="R12" s="155"/>
    </row>
    <row r="13" spans="1:19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9"/>
      <c r="P13" s="249">
        <v>0</v>
      </c>
      <c r="Q13" s="190">
        <v>0</v>
      </c>
      <c r="R13" s="155"/>
    </row>
    <row r="14" spans="1:19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9">
        <v>61627</v>
      </c>
      <c r="P14" s="249">
        <v>61627</v>
      </c>
      <c r="Q14" s="190">
        <v>40000</v>
      </c>
      <c r="R14" s="236" t="s">
        <v>2588</v>
      </c>
    </row>
    <row r="15" spans="1:19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2">
        <f>SUM(M6:M14)</f>
        <v>627974</v>
      </c>
      <c r="N15" s="12">
        <f>SUM(N6:N14)</f>
        <v>667900</v>
      </c>
      <c r="O15" s="11">
        <f>SUM(O6:O14)</f>
        <v>701882</v>
      </c>
      <c r="P15" s="250">
        <f t="shared" ref="P15:Q15" si="2">SUM(P6:P14)</f>
        <v>701882</v>
      </c>
      <c r="Q15" s="191">
        <f t="shared" si="2"/>
        <v>600000</v>
      </c>
      <c r="R15" s="155"/>
    </row>
    <row r="16" spans="1:19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O16" s="111"/>
      <c r="P16" s="249"/>
      <c r="Q16" s="190"/>
      <c r="R16" s="155"/>
    </row>
    <row r="17" spans="1:20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O17" s="112"/>
      <c r="P17" s="249"/>
      <c r="Q17" s="190"/>
      <c r="R17" s="159"/>
      <c r="S17" s="159"/>
    </row>
    <row r="18" spans="1:20" ht="24.6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9">
        <v>-159842</v>
      </c>
      <c r="P18" s="249">
        <v>-159842</v>
      </c>
      <c r="Q18" s="190">
        <v>-140000</v>
      </c>
      <c r="R18" s="157" t="s">
        <v>2599</v>
      </c>
      <c r="S18" s="197"/>
    </row>
    <row r="19" spans="1:20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9">
        <v>-100638</v>
      </c>
      <c r="P19" s="249">
        <v>-100638</v>
      </c>
      <c r="Q19" s="190">
        <v>-130000</v>
      </c>
      <c r="R19" s="157" t="s">
        <v>2597</v>
      </c>
      <c r="S19" s="197"/>
      <c r="T19" s="55"/>
    </row>
    <row r="20" spans="1:20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9">
        <v>-225</v>
      </c>
      <c r="P20" s="249">
        <v>-225</v>
      </c>
      <c r="Q20" s="190">
        <v>0</v>
      </c>
      <c r="R20" s="157"/>
      <c r="S20" s="197"/>
    </row>
    <row r="21" spans="1:20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9">
        <v>-17059</v>
      </c>
      <c r="P21" s="249">
        <v>-17059</v>
      </c>
      <c r="Q21" s="190">
        <v>-30000</v>
      </c>
      <c r="R21" s="157" t="s">
        <v>2592</v>
      </c>
      <c r="S21" s="197"/>
    </row>
    <row r="22" spans="1:20" ht="24.6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9">
        <v>-26250</v>
      </c>
      <c r="P22" s="249">
        <v>-26250</v>
      </c>
      <c r="Q22" s="190">
        <v>-40000</v>
      </c>
      <c r="R22" s="157" t="s">
        <v>2596</v>
      </c>
      <c r="S22" s="197"/>
    </row>
    <row r="23" spans="1:20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9">
        <v>-58100</v>
      </c>
      <c r="P23" s="249">
        <v>-58100</v>
      </c>
      <c r="Q23" s="190">
        <v>-90000</v>
      </c>
      <c r="R23" s="157" t="s">
        <v>2598</v>
      </c>
      <c r="S23" s="197"/>
    </row>
    <row r="24" spans="1:20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9">
        <v>-4750</v>
      </c>
      <c r="P24" s="249">
        <v>-4750</v>
      </c>
      <c r="Q24" s="190">
        <v>-8000</v>
      </c>
      <c r="R24" s="155"/>
      <c r="S24" s="197"/>
    </row>
    <row r="25" spans="1:20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9">
        <v>-4050</v>
      </c>
      <c r="P25" s="249">
        <v>-4050</v>
      </c>
      <c r="Q25" s="190">
        <v>-15000</v>
      </c>
      <c r="R25" s="157" t="s">
        <v>2601</v>
      </c>
      <c r="S25" s="197"/>
    </row>
    <row r="26" spans="1:20" ht="24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9">
        <v>-14840</v>
      </c>
      <c r="P26" s="249">
        <v>-14840</v>
      </c>
      <c r="Q26" s="190">
        <v>-35000</v>
      </c>
      <c r="R26" s="157" t="s">
        <v>2600</v>
      </c>
      <c r="S26" s="197"/>
    </row>
    <row r="27" spans="1:20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9">
        <v>-15370</v>
      </c>
      <c r="P27" s="249">
        <v>-15370</v>
      </c>
      <c r="Q27" s="190">
        <v>-15000</v>
      </c>
      <c r="R27" s="157" t="s">
        <v>2593</v>
      </c>
      <c r="S27" s="197"/>
    </row>
    <row r="28" spans="1:20" ht="24.6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9">
        <v>-53500</v>
      </c>
      <c r="P28" s="249">
        <v>-53500</v>
      </c>
      <c r="Q28" s="190">
        <v>-25000</v>
      </c>
      <c r="R28" s="157" t="s">
        <v>2594</v>
      </c>
      <c r="S28" s="197"/>
    </row>
    <row r="29" spans="1:20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9">
        <v>-9500</v>
      </c>
      <c r="P29" s="249">
        <v>-9500</v>
      </c>
      <c r="Q29" s="190">
        <v>-15000</v>
      </c>
      <c r="R29" s="157" t="s">
        <v>2595</v>
      </c>
    </row>
    <row r="30" spans="1:20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9">
        <v>-500</v>
      </c>
      <c r="P30" s="249">
        <v>-500</v>
      </c>
      <c r="Q30" s="190">
        <v>-500</v>
      </c>
      <c r="R30" s="157"/>
    </row>
    <row r="31" spans="1:20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9">
        <v>-128246</v>
      </c>
      <c r="P31" s="249">
        <v>-128246</v>
      </c>
      <c r="Q31" s="190">
        <v>-110000</v>
      </c>
      <c r="R31" s="157" t="s">
        <v>2585</v>
      </c>
      <c r="S31" s="197"/>
    </row>
    <row r="32" spans="1:20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9"/>
      <c r="P32" s="249">
        <v>0</v>
      </c>
      <c r="Q32" s="190">
        <v>0</v>
      </c>
      <c r="R32" s="155"/>
      <c r="S32" s="197"/>
    </row>
    <row r="33" spans="1:20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9">
        <f>-2835-250-1000</f>
        <v>-4085</v>
      </c>
      <c r="P33" s="249">
        <v>-4085</v>
      </c>
      <c r="Q33" s="190">
        <v>-5000</v>
      </c>
      <c r="R33" s="157" t="s">
        <v>2586</v>
      </c>
      <c r="S33" s="197"/>
    </row>
    <row r="34" spans="1:20" x14ac:dyDescent="0.3">
      <c r="A34" s="7" t="s">
        <v>2555</v>
      </c>
      <c r="B34" s="39">
        <f t="shared" ref="B34:Q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1">
        <f t="shared" si="3"/>
        <v>-596955</v>
      </c>
      <c r="P34" s="250">
        <f t="shared" si="3"/>
        <v>-596955</v>
      </c>
      <c r="Q34" s="191">
        <f t="shared" si="3"/>
        <v>-658500</v>
      </c>
      <c r="R34" s="205"/>
      <c r="S34" s="206"/>
    </row>
    <row r="35" spans="1:20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113"/>
      <c r="P35" s="250"/>
      <c r="Q35" s="191"/>
      <c r="R35" s="158"/>
      <c r="S35" s="207"/>
    </row>
    <row r="36" spans="1:20" s="13" customFormat="1" ht="38.25" hidden="1" customHeight="1" x14ac:dyDescent="0.3">
      <c r="A36" s="7" t="s">
        <v>48</v>
      </c>
      <c r="B36" s="39">
        <f t="shared" ref="B36:O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 t="shared" si="4"/>
        <v>36557</v>
      </c>
      <c r="K36" s="12">
        <f t="shared" si="4"/>
        <v>-84874</v>
      </c>
      <c r="L36" s="12">
        <f t="shared" si="4"/>
        <v>8025</v>
      </c>
      <c r="M36" s="12">
        <f t="shared" si="4"/>
        <v>-10322</v>
      </c>
      <c r="N36" s="12">
        <f t="shared" si="4"/>
        <v>122284</v>
      </c>
      <c r="O36" s="11">
        <f t="shared" si="4"/>
        <v>104927</v>
      </c>
      <c r="P36" s="250">
        <f>P15+P34</f>
        <v>104927</v>
      </c>
      <c r="Q36" s="191">
        <f>Q15+Q34</f>
        <v>-58500</v>
      </c>
      <c r="R36" s="158"/>
      <c r="S36" s="207"/>
    </row>
    <row r="37" spans="1:20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1"/>
      <c r="P37" s="250"/>
      <c r="Q37" s="191"/>
      <c r="R37" s="158"/>
      <c r="S37" s="207"/>
    </row>
    <row r="38" spans="1:20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1">
        <v>0</v>
      </c>
      <c r="P38" s="250">
        <v>0</v>
      </c>
      <c r="Q38" s="191">
        <v>0</v>
      </c>
      <c r="R38" s="155"/>
      <c r="S38" s="206"/>
    </row>
    <row r="39" spans="1:20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4"/>
      <c r="P39" s="251"/>
      <c r="Q39" s="210"/>
      <c r="R39" s="205"/>
      <c r="S39" s="206"/>
    </row>
    <row r="40" spans="1:20" s="13" customFormat="1" ht="16.2" thickBot="1" x14ac:dyDescent="0.35">
      <c r="A40" s="7" t="s">
        <v>2557</v>
      </c>
      <c r="B40" s="39">
        <f t="shared" ref="B40:Q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2">
        <f t="shared" si="5"/>
        <v>8025</v>
      </c>
      <c r="M40" s="12">
        <f t="shared" si="5"/>
        <v>-10322</v>
      </c>
      <c r="N40" s="12">
        <f t="shared" si="5"/>
        <v>122284</v>
      </c>
      <c r="O40" s="154">
        <f t="shared" si="5"/>
        <v>104927</v>
      </c>
      <c r="P40" s="252">
        <f t="shared" si="5"/>
        <v>104927</v>
      </c>
      <c r="Q40" s="192">
        <f t="shared" si="5"/>
        <v>-58500</v>
      </c>
      <c r="R40" s="155"/>
      <c r="S40" s="208"/>
    </row>
    <row r="41" spans="1:20" s="13" customFormat="1" x14ac:dyDescent="0.3">
      <c r="A41" s="4"/>
      <c r="B41" s="4"/>
      <c r="C41" s="4"/>
      <c r="D41" s="4"/>
      <c r="E41" s="4"/>
      <c r="F41" s="4"/>
      <c r="G41" s="4"/>
      <c r="H41" s="4"/>
      <c r="P41" s="58"/>
      <c r="Q41" s="58"/>
      <c r="R41" s="196"/>
      <c r="S41" s="155"/>
    </row>
    <row r="42" spans="1:20" x14ac:dyDescent="0.3">
      <c r="P42" s="55"/>
      <c r="Q42" s="261"/>
      <c r="R42" s="155"/>
    </row>
    <row r="43" spans="1:20" x14ac:dyDescent="0.3">
      <c r="P43" s="99"/>
    </row>
    <row r="44" spans="1:20" x14ac:dyDescent="0.3">
      <c r="P44" s="222"/>
    </row>
    <row r="45" spans="1:20" x14ac:dyDescent="0.3">
      <c r="P45" s="207"/>
    </row>
    <row r="46" spans="1:20" x14ac:dyDescent="0.3">
      <c r="P46" s="222"/>
    </row>
    <row r="47" spans="1:20" s="4" customFormat="1" x14ac:dyDescent="0.3">
      <c r="P47" s="99"/>
      <c r="R47" s="196"/>
      <c r="S47" s="155"/>
      <c r="T47" s="1"/>
    </row>
    <row r="48" spans="1:20" s="4" customFormat="1" x14ac:dyDescent="0.3">
      <c r="P48" s="99"/>
      <c r="R48" s="196"/>
      <c r="S48" s="155"/>
      <c r="T48" s="1"/>
    </row>
    <row r="49" spans="16:20" s="4" customFormat="1" x14ac:dyDescent="0.3">
      <c r="P49" s="99"/>
      <c r="R49" s="196"/>
      <c r="S49" s="155"/>
      <c r="T49" s="1"/>
    </row>
    <row r="50" spans="16:20" s="4" customFormat="1" x14ac:dyDescent="0.3">
      <c r="P50" s="99"/>
      <c r="R50" s="196"/>
      <c r="S50" s="155"/>
      <c r="T50" s="1"/>
    </row>
    <row r="51" spans="16:20" x14ac:dyDescent="0.3">
      <c r="P51" s="99"/>
    </row>
    <row r="52" spans="16:20" x14ac:dyDescent="0.3">
      <c r="P52" s="223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8D60B-8288-4855-A851-7E5BA3D2474C}">
  <sheetPr>
    <tabColor theme="5" tint="-0.249977111117893"/>
    <pageSetUpPr fitToPage="1"/>
  </sheetPr>
  <dimension ref="A1:X58"/>
  <sheetViews>
    <sheetView zoomScale="110" zoomScaleNormal="110" workbookViewId="0">
      <pane xSplit="1" ySplit="3" topLeftCell="P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2" width="16.44140625" style="1" hidden="1" customWidth="1"/>
    <col min="13" max="13" width="18" style="1" hidden="1" customWidth="1"/>
    <col min="14" max="14" width="16.44140625" style="1" hidden="1" customWidth="1"/>
    <col min="15" max="18" width="16.44140625" style="1" customWidth="1"/>
    <col min="19" max="19" width="17.6640625" style="1" customWidth="1"/>
    <col min="20" max="21" width="18.5546875" style="1" customWidth="1"/>
    <col min="22" max="22" width="27" style="217" customWidth="1"/>
    <col min="23" max="23" width="15.88671875" style="155" customWidth="1"/>
    <col min="24" max="16384" width="9.109375" style="1"/>
  </cols>
  <sheetData>
    <row r="1" spans="1:23" ht="31.8" thickBot="1" x14ac:dyDescent="0.65">
      <c r="A1" s="211" t="s">
        <v>486</v>
      </c>
      <c r="C1" s="224"/>
      <c r="D1" s="224"/>
      <c r="I1" s="4"/>
      <c r="J1" s="4"/>
      <c r="K1" s="289"/>
      <c r="L1" s="289"/>
      <c r="M1" s="289"/>
      <c r="O1" s="290" t="s">
        <v>2786</v>
      </c>
      <c r="P1" s="290"/>
    </row>
    <row r="2" spans="1:23" ht="16.2" thickBot="1" x14ac:dyDescent="0.35"/>
    <row r="3" spans="1:23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37">
        <v>2023</v>
      </c>
      <c r="R3" s="37">
        <v>2024</v>
      </c>
      <c r="S3" s="227">
        <v>2025</v>
      </c>
      <c r="T3" s="253" t="s">
        <v>809</v>
      </c>
      <c r="U3" s="240" t="s">
        <v>2812</v>
      </c>
      <c r="V3" s="270"/>
      <c r="W3" s="156"/>
    </row>
    <row r="4" spans="1:23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42"/>
      <c r="R4" s="42"/>
      <c r="S4" s="110">
        <v>45966</v>
      </c>
      <c r="T4" s="110">
        <v>46022</v>
      </c>
      <c r="U4" s="209"/>
      <c r="V4" s="270"/>
      <c r="W4" s="156"/>
    </row>
    <row r="5" spans="1:23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56"/>
      <c r="R5" s="256"/>
      <c r="S5" s="237"/>
      <c r="T5" s="111"/>
      <c r="U5" s="8"/>
    </row>
    <row r="6" spans="1:23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10">
        <v>225734</v>
      </c>
      <c r="Q6" s="10">
        <v>252983</v>
      </c>
      <c r="R6" s="10">
        <v>209138</v>
      </c>
      <c r="S6" s="9">
        <v>212300</v>
      </c>
      <c r="T6" s="249">
        <v>212300</v>
      </c>
      <c r="U6" s="190">
        <v>210000</v>
      </c>
      <c r="V6" s="217" t="s">
        <v>2605</v>
      </c>
    </row>
    <row r="7" spans="1:23" ht="36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10">
        <v>187000</v>
      </c>
      <c r="Q7" s="10">
        <v>181250</v>
      </c>
      <c r="R7" s="10">
        <v>211575</v>
      </c>
      <c r="S7" s="9">
        <v>343975</v>
      </c>
      <c r="T7" s="249">
        <v>343975</v>
      </c>
      <c r="U7" s="190">
        <v>350000</v>
      </c>
      <c r="V7" s="236" t="s">
        <v>2863</v>
      </c>
    </row>
    <row r="8" spans="1:23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10">
        <v>83434</v>
      </c>
      <c r="Q8" s="10">
        <v>177917</v>
      </c>
      <c r="R8" s="10">
        <v>112047</v>
      </c>
      <c r="S8" s="9">
        <v>126770</v>
      </c>
      <c r="T8" s="249">
        <v>126770</v>
      </c>
      <c r="U8" s="190">
        <v>115000</v>
      </c>
      <c r="V8" s="236"/>
    </row>
    <row r="9" spans="1:23" ht="21.6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10">
        <v>33422</v>
      </c>
      <c r="Q9" s="10">
        <v>14330</v>
      </c>
      <c r="R9" s="10">
        <v>27500</v>
      </c>
      <c r="S9" s="9">
        <v>106574</v>
      </c>
      <c r="T9" s="249">
        <v>106574</v>
      </c>
      <c r="U9" s="190">
        <v>105000</v>
      </c>
      <c r="V9" s="236" t="s">
        <v>2889</v>
      </c>
    </row>
    <row r="10" spans="1:23" ht="35.4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10">
        <v>109900</v>
      </c>
      <c r="Q10" s="10">
        <v>137850</v>
      </c>
      <c r="R10" s="10">
        <v>125900</v>
      </c>
      <c r="S10" s="9">
        <v>198897</v>
      </c>
      <c r="T10" s="249">
        <v>198897</v>
      </c>
      <c r="U10" s="190">
        <v>100000</v>
      </c>
      <c r="V10" s="236" t="s">
        <v>2890</v>
      </c>
    </row>
    <row r="11" spans="1:23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10">
        <v>145695</v>
      </c>
      <c r="Q11" s="10">
        <v>163300</v>
      </c>
      <c r="R11" s="10">
        <v>203280</v>
      </c>
      <c r="S11" s="9">
        <v>218230</v>
      </c>
      <c r="T11" s="249">
        <v>218230</v>
      </c>
      <c r="U11" s="190">
        <v>200000</v>
      </c>
    </row>
    <row r="12" spans="1:23" x14ac:dyDescent="0.3">
      <c r="A12" s="4" t="s">
        <v>2823</v>
      </c>
      <c r="B12" s="38">
        <v>500</v>
      </c>
      <c r="C12" s="38">
        <v>85850</v>
      </c>
      <c r="D12" s="38">
        <v>62250</v>
      </c>
      <c r="E12" s="38">
        <v>66900</v>
      </c>
      <c r="F12" s="38">
        <v>91100</v>
      </c>
      <c r="G12" s="38">
        <v>83700</v>
      </c>
      <c r="H12" s="38">
        <v>94424</v>
      </c>
      <c r="I12" s="38">
        <f>99500</f>
        <v>99500</v>
      </c>
      <c r="J12" s="38">
        <f>81000</f>
        <v>81000</v>
      </c>
      <c r="K12" s="10">
        <v>85200</v>
      </c>
      <c r="L12" s="10">
        <v>69517</v>
      </c>
      <c r="M12" s="10">
        <v>89680</v>
      </c>
      <c r="N12" s="10">
        <v>95633</v>
      </c>
      <c r="O12" s="10"/>
      <c r="P12" s="10"/>
      <c r="Q12" s="10"/>
      <c r="R12" s="10"/>
      <c r="S12" s="9">
        <v>133778</v>
      </c>
      <c r="T12" s="249">
        <v>130789</v>
      </c>
      <c r="U12" s="190">
        <v>124000</v>
      </c>
    </row>
    <row r="13" spans="1:23" hidden="1" x14ac:dyDescent="0.3">
      <c r="A13" s="4" t="s">
        <v>2143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0</v>
      </c>
      <c r="G13" s="38">
        <v>0</v>
      </c>
      <c r="H13" s="38">
        <v>0</v>
      </c>
      <c r="I13" s="38">
        <v>0</v>
      </c>
      <c r="J13" s="38">
        <f>5750-1743-1743-1453-3486-4358-15750+10000+7640+840+1463+5660</f>
        <v>2820</v>
      </c>
      <c r="K13" s="10">
        <v>5455</v>
      </c>
      <c r="L13" s="10">
        <v>0</v>
      </c>
      <c r="M13" s="10">
        <v>0</v>
      </c>
      <c r="N13" s="10">
        <v>0</v>
      </c>
      <c r="O13" s="10"/>
      <c r="P13" s="10"/>
      <c r="Q13" s="10"/>
      <c r="R13" s="10"/>
      <c r="S13" s="9"/>
      <c r="T13" s="249">
        <v>0</v>
      </c>
      <c r="U13" s="190">
        <v>0</v>
      </c>
    </row>
    <row r="14" spans="1:23" x14ac:dyDescent="0.3">
      <c r="A14" s="4" t="s">
        <v>27</v>
      </c>
      <c r="B14" s="38">
        <v>2474</v>
      </c>
      <c r="C14" s="38">
        <v>239</v>
      </c>
      <c r="D14" s="38">
        <v>450</v>
      </c>
      <c r="E14" s="38">
        <v>2470.9899999999998</v>
      </c>
      <c r="F14" s="38">
        <v>1824.88</v>
      </c>
      <c r="G14" s="38">
        <v>514</v>
      </c>
      <c r="H14" s="38">
        <v>101</v>
      </c>
      <c r="I14" s="38">
        <v>13</v>
      </c>
      <c r="J14" s="38">
        <v>0</v>
      </c>
      <c r="K14" s="10">
        <v>0</v>
      </c>
      <c r="L14" s="10">
        <v>0</v>
      </c>
      <c r="M14" s="10">
        <v>0</v>
      </c>
      <c r="N14" s="10">
        <v>0</v>
      </c>
      <c r="O14" s="10"/>
      <c r="P14" s="10"/>
      <c r="Q14" s="10"/>
      <c r="R14" s="10">
        <v>6206</v>
      </c>
      <c r="S14" s="9">
        <v>0</v>
      </c>
      <c r="T14" s="249">
        <v>3000</v>
      </c>
      <c r="U14" s="190">
        <v>3000</v>
      </c>
    </row>
    <row r="15" spans="1:23" ht="21.6" x14ac:dyDescent="0.3">
      <c r="A15" s="4" t="s">
        <v>490</v>
      </c>
      <c r="B15" s="38">
        <f>3455+2000</f>
        <v>5455</v>
      </c>
      <c r="C15" s="38">
        <f>400+10000+12000</f>
        <v>22400</v>
      </c>
      <c r="D15" s="38">
        <v>4112</v>
      </c>
      <c r="E15" s="38">
        <f>4135+5600</f>
        <v>9735</v>
      </c>
      <c r="F15" s="38">
        <f>1987+4050</f>
        <v>6037</v>
      </c>
      <c r="G15" s="38">
        <v>1630</v>
      </c>
      <c r="H15" s="38">
        <v>16554</v>
      </c>
      <c r="I15" s="38">
        <f>28269-19125+4390+6756</f>
        <v>20290</v>
      </c>
      <c r="J15" s="38">
        <f>2914+5838+4950+240+1000+6365+1880+2390</f>
        <v>25577</v>
      </c>
      <c r="K15" s="10">
        <v>29446</v>
      </c>
      <c r="L15" s="10">
        <v>56040</v>
      </c>
      <c r="M15" s="10">
        <v>21304</v>
      </c>
      <c r="N15" s="10">
        <v>93807</v>
      </c>
      <c r="O15" s="10">
        <v>61627</v>
      </c>
      <c r="P15" s="10">
        <v>46439</v>
      </c>
      <c r="Q15" s="10">
        <v>11035</v>
      </c>
      <c r="R15" s="10">
        <v>17071</v>
      </c>
      <c r="S15" s="9">
        <v>16635</v>
      </c>
      <c r="T15" s="249">
        <v>20000</v>
      </c>
      <c r="U15" s="190">
        <v>15000</v>
      </c>
      <c r="V15" s="236" t="s">
        <v>2875</v>
      </c>
    </row>
    <row r="16" spans="1:23" x14ac:dyDescent="0.3">
      <c r="A16" s="7" t="s">
        <v>2554</v>
      </c>
      <c r="B16" s="39">
        <f t="shared" ref="B16:K16" si="0">SUM(B6:B15)</f>
        <v>194703</v>
      </c>
      <c r="C16" s="39">
        <f t="shared" si="0"/>
        <v>431575</v>
      </c>
      <c r="D16" s="39">
        <f t="shared" si="0"/>
        <v>282807</v>
      </c>
      <c r="E16" s="39">
        <f t="shared" si="0"/>
        <v>308979.27999999997</v>
      </c>
      <c r="F16" s="39">
        <f t="shared" si="0"/>
        <v>390713.28</v>
      </c>
      <c r="G16" s="39">
        <f t="shared" si="0"/>
        <v>373620</v>
      </c>
      <c r="H16" s="39">
        <f t="shared" si="0"/>
        <v>575175</v>
      </c>
      <c r="I16" s="39">
        <f>SUM(I6:I15)</f>
        <v>727836</v>
      </c>
      <c r="J16" s="39">
        <f t="shared" ref="J16" si="1">SUM(J6:J15)</f>
        <v>702290</v>
      </c>
      <c r="K16" s="12">
        <f t="shared" si="0"/>
        <v>735324</v>
      </c>
      <c r="L16" s="12">
        <f t="shared" ref="L16:R16" si="2">SUM(L6:L15)</f>
        <v>671628</v>
      </c>
      <c r="M16" s="12">
        <f t="shared" si="2"/>
        <v>717654</v>
      </c>
      <c r="N16" s="12">
        <f t="shared" si="2"/>
        <v>763533</v>
      </c>
      <c r="O16" s="12">
        <f t="shared" si="2"/>
        <v>701882</v>
      </c>
      <c r="P16" s="12">
        <f t="shared" si="2"/>
        <v>831624</v>
      </c>
      <c r="Q16" s="12">
        <f t="shared" si="2"/>
        <v>938665</v>
      </c>
      <c r="R16" s="12">
        <f t="shared" si="2"/>
        <v>912717</v>
      </c>
      <c r="S16" s="11">
        <f>SUM(S6:S15)</f>
        <v>1357159</v>
      </c>
      <c r="T16" s="250">
        <f>SUM(T6:T15)</f>
        <v>1360535</v>
      </c>
      <c r="U16" s="191">
        <f>SUM(U6:U15)</f>
        <v>1222000</v>
      </c>
    </row>
    <row r="17" spans="1:24" ht="16.2" thickBot="1" x14ac:dyDescent="0.35">
      <c r="B17" s="38"/>
      <c r="C17" s="40"/>
      <c r="D17" s="40"/>
      <c r="E17" s="38"/>
      <c r="F17" s="40"/>
      <c r="G17" s="40"/>
      <c r="H17" s="40"/>
      <c r="I17" s="40"/>
      <c r="J17" s="40"/>
      <c r="S17" s="111"/>
      <c r="T17" s="249"/>
      <c r="U17" s="190"/>
    </row>
    <row r="18" spans="1:24" s="13" customFormat="1" ht="16.2" thickBot="1" x14ac:dyDescent="0.35">
      <c r="A18" s="32" t="s">
        <v>30</v>
      </c>
      <c r="B18" s="38"/>
      <c r="C18" s="41"/>
      <c r="D18" s="41"/>
      <c r="E18" s="38"/>
      <c r="F18" s="41"/>
      <c r="G18" s="41"/>
      <c r="H18" s="41"/>
      <c r="I18" s="41"/>
      <c r="J18" s="41"/>
      <c r="S18" s="112"/>
      <c r="T18" s="249"/>
      <c r="U18" s="190"/>
      <c r="V18" s="271"/>
      <c r="W18" s="159"/>
    </row>
    <row r="19" spans="1:24" ht="64.8" customHeight="1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10">
        <v>-70226</v>
      </c>
      <c r="M19" s="10">
        <v>-120875</v>
      </c>
      <c r="N19" s="10">
        <v>-81372</v>
      </c>
      <c r="O19" s="10">
        <v>-159842</v>
      </c>
      <c r="P19" s="10">
        <v>-181432</v>
      </c>
      <c r="Q19" s="10">
        <v>-220492</v>
      </c>
      <c r="R19" s="10">
        <v>-95687</v>
      </c>
      <c r="S19" s="9">
        <f>-224293</f>
        <v>-224293</v>
      </c>
      <c r="T19" s="249">
        <v>-250000</v>
      </c>
      <c r="U19" s="190">
        <v>-130000</v>
      </c>
      <c r="V19" s="236" t="s">
        <v>2891</v>
      </c>
      <c r="W19" s="276" t="s">
        <v>2892</v>
      </c>
    </row>
    <row r="20" spans="1:24" x14ac:dyDescent="0.3">
      <c r="A20" s="4" t="s">
        <v>45</v>
      </c>
      <c r="B20" s="38">
        <v>-32646</v>
      </c>
      <c r="C20" s="38">
        <v>-42437</v>
      </c>
      <c r="D20" s="38">
        <v>-26923</v>
      </c>
      <c r="E20" s="38">
        <v>-32572</v>
      </c>
      <c r="F20" s="38">
        <v>-50743</v>
      </c>
      <c r="G20" s="38">
        <v>-52811</v>
      </c>
      <c r="H20" s="38">
        <v>-126816</v>
      </c>
      <c r="I20" s="38">
        <f>-953-23023-1120-3576-498-29220-3576-3576-48894</f>
        <v>-114436</v>
      </c>
      <c r="J20" s="38">
        <f>-975-3576-25151+2412-26894-7152-45412</f>
        <v>-106748</v>
      </c>
      <c r="K20" s="10">
        <v>-134562</v>
      </c>
      <c r="L20" s="10">
        <v>-150140</v>
      </c>
      <c r="M20" s="10">
        <v>-104717</v>
      </c>
      <c r="N20" s="10">
        <v>-122818</v>
      </c>
      <c r="O20" s="10">
        <v>-100638</v>
      </c>
      <c r="P20" s="10">
        <v>-133504</v>
      </c>
      <c r="Q20" s="10">
        <v>-140769</v>
      </c>
      <c r="R20" s="10">
        <v>-121835</v>
      </c>
      <c r="S20" s="9">
        <v>-112580</v>
      </c>
      <c r="T20" s="249">
        <v>-145000</v>
      </c>
      <c r="U20" s="190">
        <v>-120000</v>
      </c>
      <c r="W20" s="197"/>
      <c r="X20" s="55"/>
    </row>
    <row r="21" spans="1:24" ht="21.6" x14ac:dyDescent="0.3">
      <c r="A21" s="4" t="s">
        <v>508</v>
      </c>
      <c r="B21" s="38">
        <v>-11755</v>
      </c>
      <c r="C21" s="38">
        <v>-20024</v>
      </c>
      <c r="D21" s="38">
        <v>-13297</v>
      </c>
      <c r="E21" s="38">
        <v>-14853.42</v>
      </c>
      <c r="F21" s="38">
        <v>-18717</v>
      </c>
      <c r="G21" s="38">
        <v>-4027</v>
      </c>
      <c r="H21" s="38">
        <v>-20624</v>
      </c>
      <c r="I21" s="38">
        <f>-3208-5440+2557-5729-1907+1985-874-1767-2130-3432-789-9120-114-867-1407-1435-38-5807-8282</f>
        <v>-47804</v>
      </c>
      <c r="J21" s="38">
        <f>-3760-1277-3685+3685-2253-17843-2444-4021-349-5145-111-368-279-322</f>
        <v>-38172</v>
      </c>
      <c r="K21" s="10">
        <v>-17887</v>
      </c>
      <c r="L21" s="10">
        <v>-4522</v>
      </c>
      <c r="M21" s="10">
        <v>0</v>
      </c>
      <c r="N21" s="10">
        <v>-469</v>
      </c>
      <c r="O21" s="10">
        <v>-225</v>
      </c>
      <c r="P21" s="10">
        <v>-519</v>
      </c>
      <c r="Q21" s="10">
        <v>-58306</v>
      </c>
      <c r="R21" s="10">
        <v>-29423</v>
      </c>
      <c r="S21" s="9">
        <v>-8757</v>
      </c>
      <c r="T21" s="249">
        <v>-20000</v>
      </c>
      <c r="U21" s="190">
        <v>-45000</v>
      </c>
      <c r="V21" s="217" t="s">
        <v>2878</v>
      </c>
      <c r="W21" s="197"/>
    </row>
    <row r="22" spans="1:24" ht="28.8" customHeight="1" x14ac:dyDescent="0.3">
      <c r="A22" s="4" t="s">
        <v>1633</v>
      </c>
      <c r="B22" s="38">
        <v>-4800</v>
      </c>
      <c r="C22" s="38">
        <v>-3398</v>
      </c>
      <c r="D22" s="38">
        <v>0</v>
      </c>
      <c r="E22" s="38">
        <v>-7138</v>
      </c>
      <c r="F22" s="38">
        <v>-3450</v>
      </c>
      <c r="G22" s="38">
        <v>-8100</v>
      </c>
      <c r="H22" s="38">
        <v>-6790</v>
      </c>
      <c r="I22" s="38">
        <f>-2940-7000-2500-2800-185+23111-23111-31150-1700-495-1000</f>
        <v>-49770</v>
      </c>
      <c r="J22" s="38">
        <f>-2100-1969-5000-500-15500-1440-629-7355</f>
        <v>-34493</v>
      </c>
      <c r="K22" s="10">
        <v>-38345</v>
      </c>
      <c r="L22" s="10">
        <v>-52120</v>
      </c>
      <c r="M22" s="10">
        <v>-70704</v>
      </c>
      <c r="N22" s="10">
        <v>-10498</v>
      </c>
      <c r="O22" s="10">
        <v>-17059</v>
      </c>
      <c r="P22" s="10">
        <v>-29952</v>
      </c>
      <c r="Q22" s="10">
        <v>-42358</v>
      </c>
      <c r="R22" s="10">
        <v>-52555</v>
      </c>
      <c r="S22" s="9">
        <f>-84920</f>
        <v>-84920</v>
      </c>
      <c r="T22" s="249">
        <v>-90000</v>
      </c>
      <c r="U22" s="190">
        <v>-90000</v>
      </c>
      <c r="V22" s="217" t="s">
        <v>2893</v>
      </c>
      <c r="W22" s="197"/>
    </row>
    <row r="23" spans="1:24" ht="33.6" customHeight="1" x14ac:dyDescent="0.3">
      <c r="A23" s="4" t="s">
        <v>940</v>
      </c>
      <c r="B23" s="38">
        <v>0</v>
      </c>
      <c r="C23" s="38">
        <v>-1700</v>
      </c>
      <c r="D23" s="38">
        <v>0</v>
      </c>
      <c r="E23" s="38">
        <v>-3400</v>
      </c>
      <c r="F23" s="38">
        <v>-3900</v>
      </c>
      <c r="G23" s="38">
        <v>-4550</v>
      </c>
      <c r="H23" s="38">
        <v>-7520</v>
      </c>
      <c r="I23" s="38">
        <f>-4500-4000-682-4000-1110</f>
        <v>-14292</v>
      </c>
      <c r="J23" s="38">
        <f>-4000-5500-4000-407</f>
        <v>-13907</v>
      </c>
      <c r="K23" s="10">
        <v>-40515</v>
      </c>
      <c r="L23" s="10">
        <v>-23150</v>
      </c>
      <c r="M23" s="10">
        <v>-39500</v>
      </c>
      <c r="N23" s="10">
        <v>-35192</v>
      </c>
      <c r="O23" s="10">
        <v>-26250</v>
      </c>
      <c r="P23" s="10">
        <v>-92029</v>
      </c>
      <c r="Q23" s="10">
        <v>-99926</v>
      </c>
      <c r="R23" s="10">
        <v>-108845</v>
      </c>
      <c r="S23" s="9">
        <f>-84077-10000</f>
        <v>-94077</v>
      </c>
      <c r="T23" s="249">
        <v>-100000</v>
      </c>
      <c r="U23" s="190">
        <v>-210000</v>
      </c>
      <c r="V23" s="217" t="s">
        <v>2899</v>
      </c>
      <c r="W23" s="197"/>
    </row>
    <row r="24" spans="1:24" ht="28.2" customHeight="1" x14ac:dyDescent="0.3">
      <c r="A24" s="4" t="s">
        <v>39</v>
      </c>
      <c r="B24" s="38">
        <v>-18016</v>
      </c>
      <c r="C24" s="38">
        <v>-18105</v>
      </c>
      <c r="D24" s="38">
        <v>-14387</v>
      </c>
      <c r="E24" s="38">
        <v>-7915</v>
      </c>
      <c r="F24" s="38">
        <v>-13828</v>
      </c>
      <c r="G24" s="38">
        <v>-24118</v>
      </c>
      <c r="H24" s="38">
        <v>-30770</v>
      </c>
      <c r="I24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4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4" s="10">
        <v>-76389</v>
      </c>
      <c r="L24" s="10">
        <v>-81515</v>
      </c>
      <c r="M24" s="10">
        <v>-88679</v>
      </c>
      <c r="N24" s="10">
        <v>-72732</v>
      </c>
      <c r="O24" s="10">
        <v>-58100</v>
      </c>
      <c r="P24" s="10">
        <v>-79144</v>
      </c>
      <c r="Q24" s="10">
        <v>-104788</v>
      </c>
      <c r="R24" s="10">
        <v>-88174</v>
      </c>
      <c r="S24" s="9">
        <f>-100729</f>
        <v>-100729</v>
      </c>
      <c r="T24" s="249">
        <v>-105000</v>
      </c>
      <c r="U24" s="190">
        <v>-95000</v>
      </c>
      <c r="V24" s="236" t="s">
        <v>2894</v>
      </c>
      <c r="W24" s="197"/>
    </row>
    <row r="25" spans="1:24" x14ac:dyDescent="0.3">
      <c r="A25" s="4" t="s">
        <v>40</v>
      </c>
      <c r="B25" s="38">
        <v>0</v>
      </c>
      <c r="C25" s="38">
        <v>-850</v>
      </c>
      <c r="D25" s="38">
        <v>-625</v>
      </c>
      <c r="E25" s="38">
        <v>-8200</v>
      </c>
      <c r="F25" s="38">
        <v>0</v>
      </c>
      <c r="G25" s="38">
        <v>0</v>
      </c>
      <c r="H25" s="38">
        <v>-2100</v>
      </c>
      <c r="I25" s="38">
        <f>-3950</f>
        <v>-3950</v>
      </c>
      <c r="J25" s="38">
        <f>-2750</f>
        <v>-2750</v>
      </c>
      <c r="K25" s="10">
        <v>-2500</v>
      </c>
      <c r="L25" s="10">
        <v>-3050</v>
      </c>
      <c r="M25" s="10">
        <v>-3860</v>
      </c>
      <c r="N25" s="10">
        <v>-7420</v>
      </c>
      <c r="O25" s="10">
        <v>-4750</v>
      </c>
      <c r="P25" s="10">
        <v>-1231</v>
      </c>
      <c r="Q25" s="10">
        <v>-13700</v>
      </c>
      <c r="R25" s="10">
        <v>-14628</v>
      </c>
      <c r="S25" s="9">
        <v>-18771</v>
      </c>
      <c r="T25" s="249">
        <v>-18770</v>
      </c>
      <c r="U25" s="190">
        <v>-15000</v>
      </c>
      <c r="V25" s="236" t="s">
        <v>2895</v>
      </c>
      <c r="W25" s="197"/>
    </row>
    <row r="26" spans="1:24" ht="26.4" customHeight="1" x14ac:dyDescent="0.3">
      <c r="A26" s="4" t="s">
        <v>36</v>
      </c>
      <c r="B26" s="38">
        <v>-5000</v>
      </c>
      <c r="C26" s="38">
        <v>-350</v>
      </c>
      <c r="D26" s="38">
        <v>0</v>
      </c>
      <c r="E26" s="38">
        <v>-3550</v>
      </c>
      <c r="F26" s="38">
        <v>-10190</v>
      </c>
      <c r="G26" s="38">
        <v>-27295</v>
      </c>
      <c r="H26" s="38">
        <v>-13550</v>
      </c>
      <c r="I26" s="38">
        <f>-1400-1400-2700-3000-1500-1200-1400-1000-1200-1300-1500-800-1200-1400-1400-1190</f>
        <v>-23590</v>
      </c>
      <c r="J26" s="38">
        <f>-800-1200-1100-3350-1400-1000-2000-1000-1400-300-1200-1400-1800-1500-1500-1600-1400-1400</f>
        <v>-25350</v>
      </c>
      <c r="K26" s="10">
        <v>-23700</v>
      </c>
      <c r="L26" s="10">
        <v>-23490</v>
      </c>
      <c r="M26" s="10">
        <v>-20500</v>
      </c>
      <c r="N26" s="10">
        <v>-6700</v>
      </c>
      <c r="O26" s="10">
        <v>-4050</v>
      </c>
      <c r="P26" s="10">
        <v>-22800</v>
      </c>
      <c r="Q26" s="10">
        <v>-34900</v>
      </c>
      <c r="R26" s="10">
        <v>-31665</v>
      </c>
      <c r="S26" s="9">
        <v>-40100</v>
      </c>
      <c r="T26" s="249">
        <v>-45000</v>
      </c>
      <c r="U26" s="190">
        <v>-30000</v>
      </c>
      <c r="V26" s="217" t="s">
        <v>2896</v>
      </c>
      <c r="W26" s="197"/>
    </row>
    <row r="27" spans="1:24" ht="22.8" customHeight="1" x14ac:dyDescent="0.3">
      <c r="A27" s="4" t="s">
        <v>154</v>
      </c>
      <c r="B27" s="38">
        <v>-19050</v>
      </c>
      <c r="C27" s="38">
        <f>-13250-1750</f>
        <v>-15000</v>
      </c>
      <c r="D27" s="38">
        <v>-19650</v>
      </c>
      <c r="E27" s="38">
        <v>-15750</v>
      </c>
      <c r="F27" s="38">
        <v>-21750</v>
      </c>
      <c r="G27" s="38">
        <v>-30300</v>
      </c>
      <c r="H27" s="38">
        <v>-23520</v>
      </c>
      <c r="I27" s="38">
        <f>950+4008-3900-500-15200+1000-500-1000-2000+1000-250-7000-600-7500</f>
        <v>-31492</v>
      </c>
      <c r="J27" s="38">
        <f>-1000-3000-6600-9700-4500-1900-1200-2000-2400-2000-400-500-2000</f>
        <v>-37200</v>
      </c>
      <c r="K27" s="10">
        <v>-30550</v>
      </c>
      <c r="L27" s="10">
        <v>-32750</v>
      </c>
      <c r="M27" s="10">
        <v>-41400</v>
      </c>
      <c r="N27" s="10">
        <v>-35920</v>
      </c>
      <c r="O27" s="10">
        <v>-14840</v>
      </c>
      <c r="P27" s="10">
        <v>-30440</v>
      </c>
      <c r="Q27" s="10">
        <v>-32200</v>
      </c>
      <c r="R27" s="10">
        <v>-24300</v>
      </c>
      <c r="S27" s="9">
        <v>-32650</v>
      </c>
      <c r="T27" s="249">
        <v>-32650</v>
      </c>
      <c r="U27" s="190">
        <v>-25000</v>
      </c>
      <c r="V27" s="217" t="s">
        <v>2897</v>
      </c>
      <c r="W27" s="197"/>
    </row>
    <row r="28" spans="1:24" x14ac:dyDescent="0.3">
      <c r="A28" s="4" t="s">
        <v>43</v>
      </c>
      <c r="B28" s="38">
        <v>-14470</v>
      </c>
      <c r="C28" s="38">
        <v>-10300</v>
      </c>
      <c r="D28" s="38">
        <v>-4860</v>
      </c>
      <c r="E28" s="38">
        <v>0</v>
      </c>
      <c r="F28" s="38">
        <v>-18405</v>
      </c>
      <c r="G28" s="38">
        <v>-10950</v>
      </c>
      <c r="H28" s="38">
        <v>-9515</v>
      </c>
      <c r="I28" s="38">
        <f>-300-8900+850-1250-3500</f>
        <v>-13100</v>
      </c>
      <c r="J28" s="38">
        <f>-4700-2390-8400</f>
        <v>-15490</v>
      </c>
      <c r="K28" s="10">
        <v>-14710</v>
      </c>
      <c r="L28" s="10">
        <v>-18980</v>
      </c>
      <c r="M28" s="10">
        <v>-15500</v>
      </c>
      <c r="N28" s="10">
        <v>-14350</v>
      </c>
      <c r="O28" s="10">
        <v>-15370</v>
      </c>
      <c r="P28" s="10">
        <v>-5340</v>
      </c>
      <c r="Q28" s="10">
        <v>-4080</v>
      </c>
      <c r="R28" s="10">
        <v>-23540</v>
      </c>
      <c r="S28" s="9">
        <v>-16800</v>
      </c>
      <c r="T28" s="249">
        <v>-20000</v>
      </c>
      <c r="U28" s="190">
        <v>-10000</v>
      </c>
      <c r="V28" s="217" t="s">
        <v>2884</v>
      </c>
      <c r="W28" s="197"/>
    </row>
    <row r="29" spans="1:24" ht="34.799999999999997" customHeight="1" x14ac:dyDescent="0.3">
      <c r="A29" s="4" t="s">
        <v>44</v>
      </c>
      <c r="B29" s="38">
        <v>-25000</v>
      </c>
      <c r="C29" s="38">
        <v>-15000</v>
      </c>
      <c r="D29" s="38">
        <v>-17500</v>
      </c>
      <c r="E29" s="38">
        <v>-30416</v>
      </c>
      <c r="F29" s="38">
        <v>-16000</v>
      </c>
      <c r="G29" s="38">
        <v>-34000</v>
      </c>
      <c r="H29" s="38">
        <v>-27000</v>
      </c>
      <c r="I29" s="38">
        <f>-12500-1000-2000-5000-3000</f>
        <v>-23500</v>
      </c>
      <c r="J29" s="38">
        <f>-1500-10000-500-4000</f>
        <v>-16000</v>
      </c>
      <c r="K29" s="10">
        <v>-39400</v>
      </c>
      <c r="L29" s="10">
        <v>-28600</v>
      </c>
      <c r="M29" s="10">
        <v>-18000</v>
      </c>
      <c r="N29" s="10">
        <v>-25600</v>
      </c>
      <c r="O29" s="10">
        <v>-53500</v>
      </c>
      <c r="P29" s="10">
        <f>-55750</f>
        <v>-55750</v>
      </c>
      <c r="Q29" s="10">
        <v>-66350</v>
      </c>
      <c r="R29" s="10">
        <v>-80025</v>
      </c>
      <c r="S29" s="9">
        <f>-67825</f>
        <v>-67825</v>
      </c>
      <c r="T29" s="249">
        <v>-77000</v>
      </c>
      <c r="U29" s="190">
        <v>-80000</v>
      </c>
      <c r="V29" s="217" t="s">
        <v>2898</v>
      </c>
      <c r="W29" s="197"/>
    </row>
    <row r="30" spans="1:24" ht="27" customHeight="1" x14ac:dyDescent="0.3">
      <c r="A30" s="4" t="s">
        <v>56</v>
      </c>
      <c r="B30" s="38">
        <v>-4459</v>
      </c>
      <c r="C30" s="38">
        <v>-12173</v>
      </c>
      <c r="D30" s="38">
        <v>0</v>
      </c>
      <c r="E30" s="38">
        <v>-180</v>
      </c>
      <c r="F30" s="38">
        <v>-1887</v>
      </c>
      <c r="G30" s="38">
        <v>0</v>
      </c>
      <c r="H30" s="38">
        <v>0</v>
      </c>
      <c r="I30" s="38">
        <v>0</v>
      </c>
      <c r="J30" s="38">
        <f>-500-2500-500-1000</f>
        <v>-4500</v>
      </c>
      <c r="K30" s="10">
        <v>-10000</v>
      </c>
      <c r="L30" s="10">
        <v>-14500</v>
      </c>
      <c r="M30" s="10">
        <v>-12500</v>
      </c>
      <c r="N30" s="10">
        <v>-14000</v>
      </c>
      <c r="O30" s="10">
        <v>-9500</v>
      </c>
      <c r="P30" s="10">
        <f>-19000-4000</f>
        <v>-23000</v>
      </c>
      <c r="Q30" s="10">
        <v>-19850</v>
      </c>
      <c r="R30" s="10">
        <v>-27630</v>
      </c>
      <c r="S30" s="9">
        <v>-36000</v>
      </c>
      <c r="T30" s="249">
        <v>-36000</v>
      </c>
      <c r="U30" s="190">
        <v>-36000</v>
      </c>
      <c r="V30" s="217" t="s">
        <v>2888</v>
      </c>
    </row>
    <row r="31" spans="1:24" x14ac:dyDescent="0.3">
      <c r="A31" s="4" t="s">
        <v>32</v>
      </c>
      <c r="B31" s="38">
        <f>-2650-3100-1600</f>
        <v>-7350</v>
      </c>
      <c r="C31" s="38">
        <f>-250-2500-1842</f>
        <v>-4592</v>
      </c>
      <c r="D31" s="38">
        <f>-250-4500-1899</f>
        <v>-6649</v>
      </c>
      <c r="E31" s="38">
        <v>-6338</v>
      </c>
      <c r="F31" s="38">
        <v>-6643</v>
      </c>
      <c r="G31" s="38">
        <v>-3530</v>
      </c>
      <c r="H31" s="38">
        <v>-1024</v>
      </c>
      <c r="I31" s="38">
        <f>-774-250</f>
        <v>-1024</v>
      </c>
      <c r="J31" s="38">
        <f>-771-500</f>
        <v>-1271</v>
      </c>
      <c r="K31" s="10">
        <v>-3000</v>
      </c>
      <c r="L31" s="10">
        <v>-500</v>
      </c>
      <c r="M31" s="10">
        <v>-500</v>
      </c>
      <c r="N31" s="10">
        <v>-500</v>
      </c>
      <c r="O31" s="10">
        <v>-500</v>
      </c>
      <c r="P31" s="10">
        <v>-500</v>
      </c>
      <c r="Q31" s="10">
        <v>-500</v>
      </c>
      <c r="R31" s="10">
        <v>-500</v>
      </c>
      <c r="S31" s="9">
        <v>-500</v>
      </c>
      <c r="T31" s="249">
        <v>-500</v>
      </c>
      <c r="U31" s="190">
        <v>-500</v>
      </c>
    </row>
    <row r="32" spans="1:24" ht="21.6" x14ac:dyDescent="0.3">
      <c r="A32" s="4" t="s">
        <v>491</v>
      </c>
      <c r="B32" s="38">
        <v>0</v>
      </c>
      <c r="C32" s="38">
        <f>-75994-6425</f>
        <v>-82419</v>
      </c>
      <c r="D32" s="38">
        <f>-29362-12800</f>
        <v>-42162</v>
      </c>
      <c r="E32" s="38">
        <v>0</v>
      </c>
      <c r="F32" s="38">
        <v>0</v>
      </c>
      <c r="G32" s="38">
        <v>-102305</v>
      </c>
      <c r="H32" s="38">
        <v>-94393</v>
      </c>
      <c r="I32" s="38">
        <f>-1824-(23*800)-34400-1130-45448</f>
        <v>-101202</v>
      </c>
      <c r="J32" s="38">
        <f>-268-800-800-800-800-800-800-800-800-800-800-800-800-800-800-800-800-800-264-800-800-28998-800-800-800-36777</f>
        <v>-83907</v>
      </c>
      <c r="K32" s="10">
        <v>-90569</v>
      </c>
      <c r="L32" s="10">
        <v>-87302</v>
      </c>
      <c r="M32" s="10">
        <v>-94382</v>
      </c>
      <c r="N32" s="10">
        <v>-111217</v>
      </c>
      <c r="O32" s="10">
        <v>-128246</v>
      </c>
      <c r="P32" s="10">
        <v>-166907</v>
      </c>
      <c r="Q32" s="10">
        <v>-161843</v>
      </c>
      <c r="R32" s="10">
        <v>-202575</v>
      </c>
      <c r="S32" s="9">
        <f>-256550</f>
        <v>-256550</v>
      </c>
      <c r="T32" s="249">
        <v>-256550</v>
      </c>
      <c r="U32" s="190">
        <v>-200000</v>
      </c>
      <c r="V32" s="217" t="s">
        <v>2886</v>
      </c>
      <c r="W32" s="197"/>
    </row>
    <row r="33" spans="1:23" ht="21.6" x14ac:dyDescent="0.3">
      <c r="A33" s="4" t="s">
        <v>2830</v>
      </c>
      <c r="B33" s="38">
        <v>0</v>
      </c>
      <c r="C33" s="38">
        <f>-75994-6425</f>
        <v>-82419</v>
      </c>
      <c r="D33" s="38">
        <f>-29362-12800</f>
        <v>-42162</v>
      </c>
      <c r="E33" s="38">
        <v>0</v>
      </c>
      <c r="F33" s="38">
        <v>0</v>
      </c>
      <c r="G33" s="38">
        <v>-102305</v>
      </c>
      <c r="H33" s="38">
        <v>-94393</v>
      </c>
      <c r="I33" s="38">
        <f>-1824-(23*800)-34400-1130-45448</f>
        <v>-101202</v>
      </c>
      <c r="J33" s="38">
        <f>-268-800-800-800-800-800-800-800-800-800-800-800-800-800-800-800-800-800-264-800-800-28998-800-800-800-36777</f>
        <v>-83907</v>
      </c>
      <c r="K33" s="10">
        <v>-90569</v>
      </c>
      <c r="L33" s="10">
        <v>-87302</v>
      </c>
      <c r="M33" s="10">
        <v>-94382</v>
      </c>
      <c r="N33" s="10">
        <v>-111217</v>
      </c>
      <c r="O33" s="10"/>
      <c r="P33" s="10"/>
      <c r="Q33" s="10"/>
      <c r="R33" s="10"/>
      <c r="S33" s="9">
        <v>-114703</v>
      </c>
      <c r="T33" s="249">
        <v>-114700</v>
      </c>
      <c r="U33" s="190">
        <v>-120000</v>
      </c>
      <c r="V33" s="217" t="s">
        <v>2887</v>
      </c>
      <c r="W33" s="197"/>
    </row>
    <row r="34" spans="1:23" hidden="1" x14ac:dyDescent="0.3">
      <c r="A34" s="4" t="s">
        <v>33</v>
      </c>
      <c r="B34" s="38">
        <v>0</v>
      </c>
      <c r="C34" s="38">
        <v>0</v>
      </c>
      <c r="D34" s="38">
        <v>0</v>
      </c>
      <c r="E34" s="38">
        <v>-741</v>
      </c>
      <c r="F34" s="38">
        <v>-547</v>
      </c>
      <c r="G34" s="38">
        <v>-154</v>
      </c>
      <c r="H34" s="38">
        <v>-510</v>
      </c>
      <c r="I34" s="38">
        <v>0</v>
      </c>
      <c r="J34" s="38">
        <f>-160</f>
        <v>-160</v>
      </c>
      <c r="K34" s="10">
        <v>0</v>
      </c>
      <c r="L34" s="10">
        <v>0</v>
      </c>
      <c r="M34" s="10">
        <v>0</v>
      </c>
      <c r="N34" s="10">
        <v>0</v>
      </c>
      <c r="O34" s="10"/>
      <c r="P34" s="10"/>
      <c r="Q34" s="10"/>
      <c r="R34" s="10"/>
      <c r="S34" s="9"/>
      <c r="T34" s="249">
        <v>0</v>
      </c>
      <c r="U34" s="190">
        <v>0</v>
      </c>
      <c r="W34" s="197"/>
    </row>
    <row r="35" spans="1:23" ht="31.2" customHeight="1" x14ac:dyDescent="0.3">
      <c r="A35" s="4" t="s">
        <v>493</v>
      </c>
      <c r="B35" s="38">
        <f>-635-7900</f>
        <v>-8535</v>
      </c>
      <c r="C35" s="38">
        <f>-1500-935-3800-2859-81</f>
        <v>-9175</v>
      </c>
      <c r="D35" s="38">
        <f>-755-1100</f>
        <v>-1855</v>
      </c>
      <c r="E35" s="38">
        <f>-2424-5850</f>
        <v>-8274</v>
      </c>
      <c r="F35" s="38">
        <v>-4637.7700000000004</v>
      </c>
      <c r="G35" s="38">
        <f>-2261-14329</f>
        <v>-16590</v>
      </c>
      <c r="H35" s="38">
        <v>-8129</v>
      </c>
      <c r="I35" s="38">
        <f>-469-740+140+140-4815-234</f>
        <v>-5978</v>
      </c>
      <c r="J35" s="38">
        <f>140-1170-608-2080-341</f>
        <v>-4059</v>
      </c>
      <c r="K35" s="10">
        <v>-11110</v>
      </c>
      <c r="L35" s="10">
        <f>-1688+-1553</f>
        <v>-3241</v>
      </c>
      <c r="M35" s="10">
        <f>-6416-763</f>
        <v>-7179</v>
      </c>
      <c r="N35" s="10">
        <f>-2226-250-4352</f>
        <v>-6828</v>
      </c>
      <c r="O35" s="10">
        <f>-2835-250-1000</f>
        <v>-4085</v>
      </c>
      <c r="P35" s="10">
        <v>-5059</v>
      </c>
      <c r="Q35" s="10">
        <f>-750-1134-300-1094-78-365-350-711-1000-295-148</f>
        <v>-6225</v>
      </c>
      <c r="R35" s="244">
        <f>-750-65-1368-1000-308-1600-90-74-1368-187-130-75-500-800-100-132-500</f>
        <v>-9047</v>
      </c>
      <c r="S35" s="9">
        <f>-10438</f>
        <v>-10438</v>
      </c>
      <c r="T35" s="249">
        <v>-12500</v>
      </c>
      <c r="U35" s="190">
        <v>-5000</v>
      </c>
      <c r="V35" s="217" t="s">
        <v>2772</v>
      </c>
      <c r="W35" s="197"/>
    </row>
    <row r="36" spans="1:23" x14ac:dyDescent="0.3">
      <c r="A36" s="7" t="s">
        <v>2555</v>
      </c>
      <c r="B36" s="39">
        <f t="shared" ref="B36:S36" si="3">SUM(B19:B35)</f>
        <v>-218877</v>
      </c>
      <c r="C36" s="39">
        <f t="shared" si="3"/>
        <v>-341353</v>
      </c>
      <c r="D36" s="39">
        <f t="shared" si="3"/>
        <v>-230006</v>
      </c>
      <c r="E36" s="39">
        <f t="shared" si="3"/>
        <v>-247088.42</v>
      </c>
      <c r="F36" s="39">
        <f t="shared" si="3"/>
        <v>-325572.77</v>
      </c>
      <c r="G36" s="39">
        <f t="shared" si="3"/>
        <v>-559750</v>
      </c>
      <c r="H36" s="39">
        <f t="shared" si="3"/>
        <v>-561459</v>
      </c>
      <c r="I36" s="39">
        <f t="shared" si="3"/>
        <v>-719361</v>
      </c>
      <c r="J36" s="39">
        <f t="shared" si="3"/>
        <v>-668640</v>
      </c>
      <c r="K36" s="12">
        <f t="shared" si="3"/>
        <v>-825567</v>
      </c>
      <c r="L36" s="12">
        <f t="shared" si="3"/>
        <v>-681388</v>
      </c>
      <c r="M36" s="12">
        <f t="shared" si="3"/>
        <v>-732678</v>
      </c>
      <c r="N36" s="12">
        <f t="shared" si="3"/>
        <v>-656833</v>
      </c>
      <c r="O36" s="12">
        <f t="shared" ref="O36" si="4">SUM(O19:O35)</f>
        <v>-596955</v>
      </c>
      <c r="P36" s="12">
        <f t="shared" si="3"/>
        <v>-827607</v>
      </c>
      <c r="Q36" s="12">
        <f t="shared" ref="Q36:R36" si="5">SUM(Q19:Q35)</f>
        <v>-1006287</v>
      </c>
      <c r="R36" s="12">
        <f t="shared" si="5"/>
        <v>-910429</v>
      </c>
      <c r="S36" s="11">
        <f t="shared" si="3"/>
        <v>-1219693</v>
      </c>
      <c r="T36" s="250">
        <f>SUM(T19:T35)</f>
        <v>-1323670</v>
      </c>
      <c r="U36" s="191">
        <f>SUM(U19:U35)</f>
        <v>-1211500</v>
      </c>
      <c r="V36" s="272"/>
      <c r="W36" s="206"/>
    </row>
    <row r="37" spans="1:23" hidden="1" x14ac:dyDescent="0.3">
      <c r="A37" s="7"/>
      <c r="B37" s="41"/>
      <c r="C37" s="41"/>
      <c r="D37" s="41"/>
      <c r="E37" s="39"/>
      <c r="F37" s="39"/>
      <c r="G37" s="39"/>
      <c r="H37" s="39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113"/>
      <c r="T37" s="250"/>
      <c r="U37" s="191"/>
      <c r="W37" s="207"/>
    </row>
    <row r="38" spans="1:23" s="13" customFormat="1" ht="38.25" hidden="1" customHeight="1" x14ac:dyDescent="0.3">
      <c r="A38" s="7" t="s">
        <v>48</v>
      </c>
      <c r="B38" s="39">
        <f t="shared" ref="B38:S38" si="6">+B36+B16</f>
        <v>-24174</v>
      </c>
      <c r="C38" s="39">
        <f t="shared" si="6"/>
        <v>90222</v>
      </c>
      <c r="D38" s="39">
        <f t="shared" si="6"/>
        <v>52801</v>
      </c>
      <c r="E38" s="39">
        <f t="shared" si="6"/>
        <v>61890.859999999957</v>
      </c>
      <c r="F38" s="39">
        <f t="shared" si="6"/>
        <v>65140.510000000009</v>
      </c>
      <c r="G38" s="39">
        <f t="shared" si="6"/>
        <v>-186130</v>
      </c>
      <c r="H38" s="39">
        <f t="shared" si="6"/>
        <v>13716</v>
      </c>
      <c r="I38" s="12">
        <f t="shared" si="6"/>
        <v>8475</v>
      </c>
      <c r="J38" s="12">
        <f t="shared" si="6"/>
        <v>33650</v>
      </c>
      <c r="K38" s="12">
        <f t="shared" si="6"/>
        <v>-90243</v>
      </c>
      <c r="L38" s="12">
        <f t="shared" si="6"/>
        <v>-9760</v>
      </c>
      <c r="M38" s="12">
        <f t="shared" si="6"/>
        <v>-15024</v>
      </c>
      <c r="N38" s="12">
        <f t="shared" si="6"/>
        <v>106700</v>
      </c>
      <c r="O38" s="12">
        <f t="shared" si="6"/>
        <v>104927</v>
      </c>
      <c r="P38" s="12">
        <f t="shared" si="6"/>
        <v>4017</v>
      </c>
      <c r="Q38" s="12">
        <f t="shared" si="6"/>
        <v>-67622</v>
      </c>
      <c r="R38" s="12">
        <f t="shared" si="6"/>
        <v>2288</v>
      </c>
      <c r="S38" s="11">
        <f t="shared" si="6"/>
        <v>137466</v>
      </c>
      <c r="T38" s="250">
        <f>T16+T36</f>
        <v>36865</v>
      </c>
      <c r="U38" s="191">
        <f>U16+U36</f>
        <v>10500</v>
      </c>
      <c r="V38" s="217"/>
      <c r="W38" s="207"/>
    </row>
    <row r="39" spans="1:23" s="13" customFormat="1" hidden="1" x14ac:dyDescent="0.3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1"/>
      <c r="T39" s="250"/>
      <c r="U39" s="191"/>
      <c r="V39" s="217"/>
      <c r="W39" s="207"/>
    </row>
    <row r="40" spans="1:23" s="13" customFormat="1" hidden="1" x14ac:dyDescent="0.3">
      <c r="A40" s="7" t="s">
        <v>1530</v>
      </c>
      <c r="B40" s="39">
        <v>-10000</v>
      </c>
      <c r="C40" s="39">
        <v>-10000</v>
      </c>
      <c r="D40" s="39">
        <v>-10000</v>
      </c>
      <c r="E40" s="39">
        <v>-10000</v>
      </c>
      <c r="F40" s="39">
        <v>-10000</v>
      </c>
      <c r="G40" s="39">
        <v>-14449</v>
      </c>
      <c r="H40" s="39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1">
        <v>0</v>
      </c>
      <c r="T40" s="250">
        <v>0</v>
      </c>
      <c r="U40" s="191">
        <v>0</v>
      </c>
      <c r="V40" s="217"/>
      <c r="W40" s="206"/>
    </row>
    <row r="41" spans="1:23" s="13" customFormat="1" ht="16.2" thickBot="1" x14ac:dyDescent="0.35">
      <c r="A41" s="7"/>
      <c r="B41" s="41"/>
      <c r="C41" s="41"/>
      <c r="D41" s="41"/>
      <c r="E41" s="39"/>
      <c r="F41" s="39"/>
      <c r="G41" s="39"/>
      <c r="H41" s="39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4"/>
      <c r="T41" s="251"/>
      <c r="U41" s="210"/>
      <c r="V41" s="272"/>
      <c r="W41" s="206"/>
    </row>
    <row r="42" spans="1:23" s="13" customFormat="1" ht="16.2" thickBot="1" x14ac:dyDescent="0.35">
      <c r="A42" s="7" t="s">
        <v>2557</v>
      </c>
      <c r="B42" s="39">
        <f t="shared" ref="B42:T42" si="7">+B40+B38</f>
        <v>-34174</v>
      </c>
      <c r="C42" s="39">
        <f t="shared" si="7"/>
        <v>80222</v>
      </c>
      <c r="D42" s="39">
        <f t="shared" si="7"/>
        <v>42801</v>
      </c>
      <c r="E42" s="39">
        <f t="shared" si="7"/>
        <v>51890.859999999957</v>
      </c>
      <c r="F42" s="39">
        <f t="shared" si="7"/>
        <v>55140.510000000009</v>
      </c>
      <c r="G42" s="39">
        <f t="shared" si="7"/>
        <v>-200579</v>
      </c>
      <c r="H42" s="39">
        <f t="shared" si="7"/>
        <v>13716</v>
      </c>
      <c r="I42" s="12">
        <f t="shared" si="7"/>
        <v>8475</v>
      </c>
      <c r="J42" s="12">
        <f>+J40+J38</f>
        <v>33650</v>
      </c>
      <c r="K42" s="12">
        <f t="shared" si="7"/>
        <v>-90243</v>
      </c>
      <c r="L42" s="12">
        <f t="shared" si="7"/>
        <v>-9760</v>
      </c>
      <c r="M42" s="12">
        <f t="shared" si="7"/>
        <v>-15024</v>
      </c>
      <c r="N42" s="12">
        <f t="shared" si="7"/>
        <v>106700</v>
      </c>
      <c r="O42" s="12">
        <f t="shared" si="7"/>
        <v>104927</v>
      </c>
      <c r="P42" s="12">
        <f t="shared" si="7"/>
        <v>4017</v>
      </c>
      <c r="Q42" s="12">
        <f t="shared" si="7"/>
        <v>-67622</v>
      </c>
      <c r="R42" s="12">
        <f t="shared" si="7"/>
        <v>2288</v>
      </c>
      <c r="S42" s="154">
        <f t="shared" si="7"/>
        <v>137466</v>
      </c>
      <c r="T42" s="252">
        <f t="shared" si="7"/>
        <v>36865</v>
      </c>
      <c r="U42" s="192">
        <f>+U40+U38</f>
        <v>10500</v>
      </c>
      <c r="V42" s="217"/>
      <c r="W42" s="208"/>
    </row>
    <row r="43" spans="1:23" s="13" customFormat="1" x14ac:dyDescent="0.3">
      <c r="A43" s="4"/>
      <c r="B43" s="4"/>
      <c r="C43" s="4"/>
      <c r="D43" s="4"/>
      <c r="E43" s="4"/>
      <c r="F43" s="4"/>
      <c r="G43" s="4"/>
      <c r="H43" s="4"/>
      <c r="T43" s="58"/>
      <c r="U43" s="58"/>
      <c r="V43" s="217"/>
      <c r="W43" s="155"/>
    </row>
    <row r="44" spans="1:23" s="13" customFormat="1" x14ac:dyDescent="0.3">
      <c r="A44" s="4"/>
      <c r="B44" s="4"/>
      <c r="C44" s="4"/>
      <c r="D44" s="4"/>
      <c r="E44" s="4"/>
      <c r="F44" s="4"/>
      <c r="G44" s="4"/>
      <c r="H44" s="4"/>
      <c r="Q44" s="281"/>
      <c r="R44" s="281"/>
      <c r="S44" s="1"/>
      <c r="T44" s="278"/>
      <c r="U44" s="1"/>
      <c r="V44" s="282"/>
      <c r="W44" s="157"/>
    </row>
    <row r="45" spans="1:23" x14ac:dyDescent="0.3">
      <c r="O45" s="13"/>
      <c r="Q45" s="281"/>
      <c r="R45" s="281"/>
      <c r="T45" s="278"/>
      <c r="V45" s="282"/>
    </row>
    <row r="46" spans="1:23" x14ac:dyDescent="0.3">
      <c r="Q46" s="281"/>
      <c r="R46" s="281"/>
      <c r="T46" s="278"/>
      <c r="V46" s="282"/>
    </row>
    <row r="47" spans="1:23" x14ac:dyDescent="0.3">
      <c r="Q47" s="281"/>
      <c r="R47" s="281"/>
      <c r="T47" s="278"/>
      <c r="V47" s="282"/>
    </row>
    <row r="48" spans="1:23" x14ac:dyDescent="0.3">
      <c r="Q48" s="283"/>
      <c r="R48" s="283"/>
      <c r="V48" s="284"/>
    </row>
    <row r="49" spans="16:24" x14ac:dyDescent="0.3">
      <c r="Q49" s="285"/>
      <c r="R49" s="285"/>
      <c r="T49" s="281"/>
      <c r="U49" s="4"/>
    </row>
    <row r="50" spans="16:24" s="4" customFormat="1" x14ac:dyDescent="0.3">
      <c r="P50" s="1"/>
      <c r="S50" s="1"/>
      <c r="T50" s="283"/>
      <c r="V50" s="282"/>
      <c r="W50" s="155"/>
      <c r="X50" s="1"/>
    </row>
    <row r="51" spans="16:24" s="4" customFormat="1" x14ac:dyDescent="0.3">
      <c r="S51" s="1"/>
      <c r="T51" s="283"/>
      <c r="V51" s="282"/>
      <c r="W51" s="155"/>
      <c r="X51" s="1"/>
    </row>
    <row r="52" spans="16:24" s="4" customFormat="1" x14ac:dyDescent="0.3">
      <c r="S52" s="1"/>
      <c r="T52" s="283"/>
      <c r="V52" s="282"/>
      <c r="W52" s="155"/>
      <c r="X52" s="1"/>
    </row>
    <row r="53" spans="16:24" s="4" customFormat="1" x14ac:dyDescent="0.3">
      <c r="Q53" s="1"/>
      <c r="R53" s="1"/>
      <c r="S53" s="1"/>
      <c r="T53" s="283"/>
      <c r="U53" s="1"/>
      <c r="V53" s="282"/>
      <c r="W53" s="155"/>
      <c r="X53" s="1"/>
    </row>
    <row r="54" spans="16:24" x14ac:dyDescent="0.3">
      <c r="T54" s="286"/>
      <c r="V54" s="282"/>
    </row>
    <row r="55" spans="16:24" x14ac:dyDescent="0.3">
      <c r="T55" s="286"/>
      <c r="V55" s="282"/>
    </row>
    <row r="56" spans="16:24" x14ac:dyDescent="0.3">
      <c r="V56" s="282"/>
    </row>
    <row r="57" spans="16:24" x14ac:dyDescent="0.3">
      <c r="V57" s="282"/>
    </row>
    <row r="58" spans="16:24" x14ac:dyDescent="0.3">
      <c r="V58" s="284"/>
    </row>
  </sheetData>
  <mergeCells count="2">
    <mergeCell ref="K1:M1"/>
    <mergeCell ref="O1:P1"/>
  </mergeCells>
  <pageMargins left="0.7" right="0.7" top="0.75" bottom="0.75" header="0.3" footer="0.3"/>
  <pageSetup paperSize="9" scale="58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4773-F4B0-437E-94BF-448952BC9128}">
  <sheetPr>
    <tabColor theme="5" tint="-0.249977111117893"/>
    <pageSetUpPr fitToPage="1"/>
  </sheetPr>
  <dimension ref="A1:T52"/>
  <sheetViews>
    <sheetView zoomScale="110" zoomScaleNormal="11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5" width="16.44140625" style="1" customWidth="1"/>
    <col min="16" max="17" width="18.5546875" style="1" customWidth="1"/>
    <col min="18" max="18" width="27" style="196" customWidth="1"/>
    <col min="19" max="19" width="12" style="155" customWidth="1"/>
    <col min="20" max="16384" width="9.109375" style="1"/>
  </cols>
  <sheetData>
    <row r="1" spans="1:19" ht="31.8" thickBot="1" x14ac:dyDescent="0.65">
      <c r="A1" s="211" t="s">
        <v>486</v>
      </c>
      <c r="C1" s="224"/>
      <c r="D1" s="224"/>
      <c r="I1" s="4"/>
      <c r="J1" s="4"/>
      <c r="K1" s="295" t="s">
        <v>487</v>
      </c>
      <c r="L1" s="295"/>
      <c r="M1" s="295"/>
    </row>
    <row r="2" spans="1:19" ht="16.2" thickBot="1" x14ac:dyDescent="0.35"/>
    <row r="3" spans="1:19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227">
        <v>2021</v>
      </c>
      <c r="P3" s="253" t="s">
        <v>809</v>
      </c>
      <c r="Q3" s="240" t="s">
        <v>2567</v>
      </c>
      <c r="R3" s="156"/>
      <c r="S3" s="156"/>
    </row>
    <row r="4" spans="1:19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267">
        <v>44528</v>
      </c>
      <c r="P4" s="110">
        <v>44561</v>
      </c>
      <c r="Q4" s="209"/>
      <c r="R4" s="156"/>
      <c r="S4" s="156"/>
    </row>
    <row r="5" spans="1:19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37"/>
      <c r="P5" s="111"/>
      <c r="Q5" s="8"/>
      <c r="R5" s="155"/>
    </row>
    <row r="6" spans="1:19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9">
        <v>157424</v>
      </c>
      <c r="P6" s="249">
        <v>180000</v>
      </c>
      <c r="Q6" s="190">
        <v>180000</v>
      </c>
      <c r="R6" s="217" t="s">
        <v>2568</v>
      </c>
    </row>
    <row r="7" spans="1:19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9">
        <v>165825</v>
      </c>
      <c r="P7" s="249">
        <v>165825</v>
      </c>
      <c r="Q7" s="190">
        <v>180000</v>
      </c>
      <c r="R7" s="236" t="s">
        <v>2587</v>
      </c>
    </row>
    <row r="8" spans="1:19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9">
        <v>38377</v>
      </c>
      <c r="P8" s="249">
        <v>38377</v>
      </c>
      <c r="Q8" s="190">
        <v>50000</v>
      </c>
      <c r="R8" s="217"/>
    </row>
    <row r="9" spans="1:19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9">
        <v>16440</v>
      </c>
      <c r="P9" s="249">
        <v>16440</v>
      </c>
      <c r="Q9" s="190">
        <v>15000</v>
      </c>
      <c r="R9" s="217" t="s">
        <v>2522</v>
      </c>
    </row>
    <row r="10" spans="1:19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9">
        <v>87103</v>
      </c>
      <c r="P10" s="249">
        <v>87103</v>
      </c>
      <c r="Q10" s="190">
        <v>40000</v>
      </c>
      <c r="R10" s="217" t="s">
        <v>2579</v>
      </c>
    </row>
    <row r="11" spans="1:19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9">
        <v>124778</v>
      </c>
      <c r="P11" s="249">
        <v>124778</v>
      </c>
      <c r="Q11" s="190">
        <v>95000</v>
      </c>
      <c r="R11" s="155"/>
    </row>
    <row r="12" spans="1:19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9"/>
      <c r="P12" s="249">
        <v>0</v>
      </c>
      <c r="Q12" s="190">
        <v>0</v>
      </c>
      <c r="R12" s="155"/>
    </row>
    <row r="13" spans="1:19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9"/>
      <c r="P13" s="249">
        <v>0</v>
      </c>
      <c r="Q13" s="190">
        <v>0</v>
      </c>
      <c r="R13" s="155"/>
    </row>
    <row r="14" spans="1:19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9">
        <v>47779</v>
      </c>
      <c r="P14" s="249">
        <v>75000</v>
      </c>
      <c r="Q14" s="190">
        <v>40000</v>
      </c>
      <c r="R14" s="236" t="s">
        <v>2581</v>
      </c>
    </row>
    <row r="15" spans="1:19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2">
        <f>SUM(M6:M14)</f>
        <v>627974</v>
      </c>
      <c r="N15" s="12">
        <f>SUM(N6:N14)</f>
        <v>667900</v>
      </c>
      <c r="O15" s="11">
        <f>SUM(O6:O14)</f>
        <v>637726</v>
      </c>
      <c r="P15" s="250">
        <f t="shared" ref="P15:Q15" si="2">SUM(P6:P14)</f>
        <v>687523</v>
      </c>
      <c r="Q15" s="191">
        <f t="shared" si="2"/>
        <v>600000</v>
      </c>
      <c r="R15" s="155"/>
    </row>
    <row r="16" spans="1:19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O16" s="111"/>
      <c r="P16" s="249"/>
      <c r="Q16" s="190"/>
      <c r="R16" s="155"/>
    </row>
    <row r="17" spans="1:20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O17" s="112"/>
      <c r="P17" s="249"/>
      <c r="Q17" s="190"/>
      <c r="R17" s="159"/>
      <c r="S17" s="159"/>
    </row>
    <row r="18" spans="1:20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9">
        <v>-157652</v>
      </c>
      <c r="P18" s="249">
        <v>-160000</v>
      </c>
      <c r="Q18" s="190">
        <v>-140000</v>
      </c>
      <c r="R18" s="157" t="s">
        <v>2572</v>
      </c>
      <c r="S18" s="197"/>
    </row>
    <row r="19" spans="1:20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9">
        <v>-100638</v>
      </c>
      <c r="P19" s="249">
        <v>-115000</v>
      </c>
      <c r="Q19" s="190">
        <v>-130000</v>
      </c>
      <c r="R19" s="157" t="s">
        <v>2527</v>
      </c>
      <c r="S19" s="197"/>
      <c r="T19" s="55"/>
    </row>
    <row r="20" spans="1:20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9">
        <v>-225</v>
      </c>
      <c r="P20" s="249">
        <v>-225</v>
      </c>
      <c r="Q20" s="190">
        <v>0</v>
      </c>
      <c r="R20" s="157"/>
      <c r="S20" s="197"/>
    </row>
    <row r="21" spans="1:20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9">
        <v>-14559</v>
      </c>
      <c r="P21" s="249">
        <v>-20000</v>
      </c>
      <c r="Q21" s="190">
        <v>-30000</v>
      </c>
      <c r="R21" s="157" t="s">
        <v>2529</v>
      </c>
      <c r="S21" s="197"/>
    </row>
    <row r="22" spans="1:20" ht="24.6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9">
        <v>-25200</v>
      </c>
      <c r="P22" s="249">
        <v>-25200</v>
      </c>
      <c r="Q22" s="190">
        <v>-40000</v>
      </c>
      <c r="R22" s="157" t="s">
        <v>2582</v>
      </c>
      <c r="S22" s="197"/>
    </row>
    <row r="23" spans="1:20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9">
        <v>-56300</v>
      </c>
      <c r="P23" s="249">
        <v>-56300</v>
      </c>
      <c r="Q23" s="190">
        <v>-90000</v>
      </c>
      <c r="R23" s="157" t="s">
        <v>2572</v>
      </c>
      <c r="S23" s="197"/>
    </row>
    <row r="24" spans="1:20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9">
        <v>-1500</v>
      </c>
      <c r="P24" s="249">
        <v>-1500</v>
      </c>
      <c r="Q24" s="190">
        <v>-8000</v>
      </c>
      <c r="R24" s="155"/>
      <c r="S24" s="197"/>
    </row>
    <row r="25" spans="1:20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9">
        <v>-4050</v>
      </c>
      <c r="P25" s="249">
        <v>-7000</v>
      </c>
      <c r="Q25" s="190">
        <v>-15000</v>
      </c>
      <c r="R25" s="157" t="s">
        <v>2574</v>
      </c>
      <c r="S25" s="197"/>
    </row>
    <row r="26" spans="1:20" ht="24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9">
        <v>-11450</v>
      </c>
      <c r="P26" s="249">
        <v>-15000</v>
      </c>
      <c r="Q26" s="190">
        <v>-35000</v>
      </c>
      <c r="R26" s="157" t="s">
        <v>2583</v>
      </c>
      <c r="S26" s="197"/>
    </row>
    <row r="27" spans="1:20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9">
        <v>-15370</v>
      </c>
      <c r="P27" s="249">
        <v>-15370</v>
      </c>
      <c r="Q27" s="190">
        <v>-15000</v>
      </c>
      <c r="R27" s="157" t="s">
        <v>2497</v>
      </c>
      <c r="S27" s="197"/>
    </row>
    <row r="28" spans="1:20" ht="24.6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9">
        <v>-53500</v>
      </c>
      <c r="P28" s="249">
        <v>-55000</v>
      </c>
      <c r="Q28" s="190">
        <v>-25000</v>
      </c>
      <c r="R28" s="157" t="s">
        <v>2584</v>
      </c>
      <c r="S28" s="197"/>
    </row>
    <row r="29" spans="1:20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9">
        <v>-9500</v>
      </c>
      <c r="P29" s="249">
        <v>-9500</v>
      </c>
      <c r="Q29" s="190">
        <v>-15000</v>
      </c>
      <c r="R29" s="157" t="s">
        <v>2498</v>
      </c>
    </row>
    <row r="30" spans="1:20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9">
        <v>-500</v>
      </c>
      <c r="P30" s="249">
        <v>-500</v>
      </c>
      <c r="Q30" s="190">
        <v>-500</v>
      </c>
      <c r="R30" s="157"/>
    </row>
    <row r="31" spans="1:20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9">
        <v>-128246</v>
      </c>
      <c r="P31" s="249">
        <v>-128246</v>
      </c>
      <c r="Q31" s="190">
        <v>-110000</v>
      </c>
      <c r="R31" s="157" t="s">
        <v>2585</v>
      </c>
      <c r="S31" s="197"/>
    </row>
    <row r="32" spans="1:20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9"/>
      <c r="P32" s="249">
        <v>0</v>
      </c>
      <c r="Q32" s="190">
        <v>0</v>
      </c>
      <c r="R32" s="155"/>
      <c r="S32" s="197"/>
    </row>
    <row r="33" spans="1:20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9">
        <f>-2835-250-1000</f>
        <v>-4085</v>
      </c>
      <c r="P33" s="249">
        <v>-5000</v>
      </c>
      <c r="Q33" s="190">
        <v>-5000</v>
      </c>
      <c r="R33" s="157" t="s">
        <v>2586</v>
      </c>
      <c r="S33" s="197"/>
    </row>
    <row r="34" spans="1:20" x14ac:dyDescent="0.3">
      <c r="A34" s="7" t="s">
        <v>2555</v>
      </c>
      <c r="B34" s="39">
        <f t="shared" ref="B34:Q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1">
        <f t="shared" si="3"/>
        <v>-582775</v>
      </c>
      <c r="P34" s="250">
        <f t="shared" si="3"/>
        <v>-613841</v>
      </c>
      <c r="Q34" s="191">
        <f t="shared" si="3"/>
        <v>-658500</v>
      </c>
      <c r="R34" s="205"/>
      <c r="S34" s="206"/>
    </row>
    <row r="35" spans="1:20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113"/>
      <c r="P35" s="250"/>
      <c r="Q35" s="191"/>
      <c r="R35" s="158"/>
      <c r="S35" s="207"/>
    </row>
    <row r="36" spans="1:20" s="13" customFormat="1" ht="38.25" hidden="1" customHeight="1" x14ac:dyDescent="0.3">
      <c r="A36" s="7" t="s">
        <v>48</v>
      </c>
      <c r="B36" s="39">
        <f t="shared" ref="B36:O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 t="shared" si="4"/>
        <v>36557</v>
      </c>
      <c r="K36" s="12">
        <f t="shared" si="4"/>
        <v>-84874</v>
      </c>
      <c r="L36" s="12">
        <f t="shared" si="4"/>
        <v>8025</v>
      </c>
      <c r="M36" s="12">
        <f t="shared" si="4"/>
        <v>-10322</v>
      </c>
      <c r="N36" s="12">
        <f t="shared" si="4"/>
        <v>122284</v>
      </c>
      <c r="O36" s="11">
        <f t="shared" si="4"/>
        <v>54951</v>
      </c>
      <c r="P36" s="250">
        <f>P15+P34</f>
        <v>73682</v>
      </c>
      <c r="Q36" s="191">
        <f>Q15+Q34</f>
        <v>-58500</v>
      </c>
      <c r="R36" s="158"/>
      <c r="S36" s="207"/>
    </row>
    <row r="37" spans="1:20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1"/>
      <c r="P37" s="250"/>
      <c r="Q37" s="191"/>
      <c r="R37" s="158"/>
      <c r="S37" s="207"/>
    </row>
    <row r="38" spans="1:20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1">
        <v>0</v>
      </c>
      <c r="P38" s="250">
        <v>0</v>
      </c>
      <c r="Q38" s="191">
        <v>0</v>
      </c>
      <c r="R38" s="155"/>
      <c r="S38" s="206"/>
    </row>
    <row r="39" spans="1:20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4"/>
      <c r="P39" s="251"/>
      <c r="Q39" s="210"/>
      <c r="R39" s="205"/>
      <c r="S39" s="206"/>
    </row>
    <row r="40" spans="1:20" s="13" customFormat="1" ht="16.2" thickBot="1" x14ac:dyDescent="0.35">
      <c r="A40" s="7" t="s">
        <v>2557</v>
      </c>
      <c r="B40" s="39">
        <f t="shared" ref="B40:Q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2">
        <f t="shared" si="5"/>
        <v>8025</v>
      </c>
      <c r="M40" s="12">
        <f t="shared" si="5"/>
        <v>-10322</v>
      </c>
      <c r="N40" s="12">
        <f t="shared" si="5"/>
        <v>122284</v>
      </c>
      <c r="O40" s="154">
        <f t="shared" si="5"/>
        <v>54951</v>
      </c>
      <c r="P40" s="252">
        <f t="shared" si="5"/>
        <v>73682</v>
      </c>
      <c r="Q40" s="192">
        <f t="shared" si="5"/>
        <v>-58500</v>
      </c>
      <c r="R40" s="155"/>
      <c r="S40" s="208"/>
    </row>
    <row r="41" spans="1:20" s="13" customFormat="1" x14ac:dyDescent="0.3">
      <c r="A41" s="4"/>
      <c r="B41" s="4"/>
      <c r="C41" s="4"/>
      <c r="D41" s="4"/>
      <c r="E41" s="4"/>
      <c r="F41" s="4"/>
      <c r="G41" s="4"/>
      <c r="H41" s="4"/>
      <c r="P41" s="58"/>
      <c r="Q41" s="58"/>
      <c r="R41" s="196"/>
      <c r="S41" s="155"/>
    </row>
    <row r="42" spans="1:20" x14ac:dyDescent="0.3">
      <c r="P42" s="55"/>
      <c r="Q42" s="261"/>
      <c r="R42" s="155"/>
    </row>
    <row r="43" spans="1:20" x14ac:dyDescent="0.3">
      <c r="P43" s="99"/>
    </row>
    <row r="44" spans="1:20" x14ac:dyDescent="0.3">
      <c r="P44" s="222"/>
    </row>
    <row r="45" spans="1:20" x14ac:dyDescent="0.3">
      <c r="P45" s="207"/>
    </row>
    <row r="46" spans="1:20" x14ac:dyDescent="0.3">
      <c r="P46" s="222"/>
    </row>
    <row r="47" spans="1:20" s="4" customFormat="1" x14ac:dyDescent="0.3">
      <c r="P47" s="99"/>
      <c r="R47" s="196"/>
      <c r="S47" s="155"/>
      <c r="T47" s="1"/>
    </row>
    <row r="48" spans="1:20" s="4" customFormat="1" x14ac:dyDescent="0.3">
      <c r="P48" s="99"/>
      <c r="R48" s="196"/>
      <c r="S48" s="155"/>
      <c r="T48" s="1"/>
    </row>
    <row r="49" spans="16:20" s="4" customFormat="1" x14ac:dyDescent="0.3">
      <c r="P49" s="99"/>
      <c r="R49" s="196"/>
      <c r="S49" s="155"/>
      <c r="T49" s="1"/>
    </row>
    <row r="50" spans="16:20" s="4" customFormat="1" x14ac:dyDescent="0.3">
      <c r="P50" s="99"/>
      <c r="R50" s="196"/>
      <c r="S50" s="155"/>
      <c r="T50" s="1"/>
    </row>
    <row r="51" spans="16:20" x14ac:dyDescent="0.3">
      <c r="P51" s="99"/>
    </row>
    <row r="52" spans="16:20" x14ac:dyDescent="0.3">
      <c r="P52" s="223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97585-D73D-41F3-9DA6-0157DC28C66C}">
  <sheetPr>
    <tabColor theme="5" tint="-0.249977111117893"/>
    <pageSetUpPr fitToPage="1"/>
  </sheetPr>
  <dimension ref="A1:T52"/>
  <sheetViews>
    <sheetView zoomScale="110" zoomScaleNormal="110" workbookViewId="0">
      <pane xSplit="1" ySplit="3" topLeftCell="K4" activePane="bottomRight" state="frozen"/>
      <selection pane="topRight" activeCell="B1" sqref="B1"/>
      <selection pane="bottomLeft" activeCell="A4" sqref="A4"/>
      <selection pane="bottomRight" activeCell="O4" sqref="O4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5" width="16.44140625" style="1" customWidth="1"/>
    <col min="16" max="17" width="18.5546875" style="1" customWidth="1"/>
    <col min="18" max="18" width="27" style="196" customWidth="1"/>
    <col min="19" max="19" width="12" style="155" customWidth="1"/>
    <col min="20" max="16384" width="9.109375" style="1"/>
  </cols>
  <sheetData>
    <row r="1" spans="1:19" ht="31.8" thickBot="1" x14ac:dyDescent="0.65">
      <c r="A1" s="211" t="s">
        <v>486</v>
      </c>
      <c r="C1" s="224"/>
      <c r="D1" s="224"/>
      <c r="I1" s="4"/>
      <c r="J1" s="4"/>
      <c r="K1" s="295" t="s">
        <v>487</v>
      </c>
      <c r="L1" s="295"/>
      <c r="M1" s="295"/>
    </row>
    <row r="2" spans="1:19" ht="16.2" thickBot="1" x14ac:dyDescent="0.35"/>
    <row r="3" spans="1:19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227">
        <v>2021</v>
      </c>
      <c r="P3" s="253" t="s">
        <v>809</v>
      </c>
      <c r="Q3" s="240" t="s">
        <v>2567</v>
      </c>
      <c r="R3" s="156"/>
      <c r="S3" s="156"/>
    </row>
    <row r="4" spans="1:19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267">
        <v>44478</v>
      </c>
      <c r="P4" s="110">
        <v>44561</v>
      </c>
      <c r="Q4" s="209"/>
      <c r="R4" s="156"/>
      <c r="S4" s="156"/>
    </row>
    <row r="5" spans="1:19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37"/>
      <c r="P5" s="111"/>
      <c r="Q5" s="8"/>
      <c r="R5" s="155"/>
    </row>
    <row r="6" spans="1:19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9">
        <v>157424</v>
      </c>
      <c r="P6" s="249">
        <v>180000</v>
      </c>
      <c r="Q6" s="190">
        <v>180000</v>
      </c>
      <c r="R6" s="217" t="s">
        <v>2568</v>
      </c>
    </row>
    <row r="7" spans="1:19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9">
        <v>165825</v>
      </c>
      <c r="P7" s="249">
        <v>165825</v>
      </c>
      <c r="Q7" s="190">
        <v>180000</v>
      </c>
      <c r="R7" s="217" t="s">
        <v>2580</v>
      </c>
    </row>
    <row r="8" spans="1:19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9">
        <v>33961</v>
      </c>
      <c r="P8" s="249">
        <v>35000</v>
      </c>
      <c r="Q8" s="190">
        <v>50000</v>
      </c>
      <c r="R8" s="217"/>
    </row>
    <row r="9" spans="1:19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9">
        <v>16440</v>
      </c>
      <c r="P9" s="249">
        <v>16440</v>
      </c>
      <c r="Q9" s="190">
        <v>15000</v>
      </c>
      <c r="R9" s="217" t="s">
        <v>2522</v>
      </c>
    </row>
    <row r="10" spans="1:19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9">
        <v>87103</v>
      </c>
      <c r="P10" s="249">
        <v>87103</v>
      </c>
      <c r="Q10" s="190">
        <v>40000</v>
      </c>
      <c r="R10" s="217" t="s">
        <v>2579</v>
      </c>
    </row>
    <row r="11" spans="1:19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9">
        <v>124778</v>
      </c>
      <c r="P11" s="249">
        <v>124778</v>
      </c>
      <c r="Q11" s="190">
        <v>95000</v>
      </c>
      <c r="R11" s="155"/>
    </row>
    <row r="12" spans="1:19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9"/>
      <c r="P12" s="249">
        <v>0</v>
      </c>
      <c r="Q12" s="190">
        <v>0</v>
      </c>
      <c r="R12" s="155"/>
    </row>
    <row r="13" spans="1:19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9"/>
      <c r="P13" s="249">
        <v>0</v>
      </c>
      <c r="Q13" s="190">
        <v>0</v>
      </c>
      <c r="R13" s="155"/>
    </row>
    <row r="14" spans="1:19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9">
        <v>47779</v>
      </c>
      <c r="P14" s="249">
        <v>50000</v>
      </c>
      <c r="Q14" s="190">
        <v>40000</v>
      </c>
      <c r="R14" s="236" t="s">
        <v>2581</v>
      </c>
    </row>
    <row r="15" spans="1:19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2">
        <f>SUM(M6:M14)</f>
        <v>627974</v>
      </c>
      <c r="N15" s="12">
        <f>SUM(N6:N14)</f>
        <v>667900</v>
      </c>
      <c r="O15" s="11">
        <f>SUM(O6:O14)</f>
        <v>633310</v>
      </c>
      <c r="P15" s="250">
        <f t="shared" ref="P15:Q15" si="2">SUM(P6:P14)</f>
        <v>659146</v>
      </c>
      <c r="Q15" s="191">
        <f t="shared" si="2"/>
        <v>600000</v>
      </c>
      <c r="R15" s="155"/>
    </row>
    <row r="16" spans="1:19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O16" s="111"/>
      <c r="P16" s="249"/>
      <c r="Q16" s="190"/>
      <c r="R16" s="155"/>
    </row>
    <row r="17" spans="1:20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O17" s="112"/>
      <c r="P17" s="249"/>
      <c r="Q17" s="190"/>
      <c r="R17" s="159"/>
      <c r="S17" s="159"/>
    </row>
    <row r="18" spans="1:20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9">
        <v>-153574</v>
      </c>
      <c r="P18" s="249">
        <v>-160000</v>
      </c>
      <c r="Q18" s="190">
        <v>-140000</v>
      </c>
      <c r="R18" s="157" t="s">
        <v>2572</v>
      </c>
      <c r="S18" s="197"/>
    </row>
    <row r="19" spans="1:20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9">
        <v>-79359</v>
      </c>
      <c r="P19" s="249">
        <v>-120000</v>
      </c>
      <c r="Q19" s="190">
        <v>-130000</v>
      </c>
      <c r="R19" s="157" t="s">
        <v>2527</v>
      </c>
      <c r="S19" s="197"/>
      <c r="T19" s="55"/>
    </row>
    <row r="20" spans="1:20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9">
        <v>-225</v>
      </c>
      <c r="P20" s="249">
        <v>-1000</v>
      </c>
      <c r="Q20" s="190">
        <v>0</v>
      </c>
      <c r="R20" s="157"/>
      <c r="S20" s="197"/>
    </row>
    <row r="21" spans="1:20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9">
        <v>-12250</v>
      </c>
      <c r="P21" s="249">
        <v>-30000</v>
      </c>
      <c r="Q21" s="190">
        <v>-30000</v>
      </c>
      <c r="R21" s="157" t="s">
        <v>2529</v>
      </c>
      <c r="S21" s="197"/>
    </row>
    <row r="22" spans="1:20" ht="24.6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9">
        <v>-24000</v>
      </c>
      <c r="P22" s="249">
        <v>-30000</v>
      </c>
      <c r="Q22" s="190">
        <v>-40000</v>
      </c>
      <c r="R22" s="157" t="s">
        <v>2582</v>
      </c>
      <c r="S22" s="197"/>
    </row>
    <row r="23" spans="1:20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9">
        <v>-47438</v>
      </c>
      <c r="P23" s="249">
        <v>-55000</v>
      </c>
      <c r="Q23" s="190">
        <v>-90000</v>
      </c>
      <c r="R23" s="157" t="s">
        <v>2572</v>
      </c>
      <c r="S23" s="197"/>
    </row>
    <row r="24" spans="1:20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9">
        <v>-1500</v>
      </c>
      <c r="P24" s="249">
        <v>-5000</v>
      </c>
      <c r="Q24" s="190">
        <v>-8000</v>
      </c>
      <c r="R24" s="155"/>
      <c r="S24" s="197"/>
    </row>
    <row r="25" spans="1:20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9">
        <v>-4050</v>
      </c>
      <c r="P25" s="249">
        <v>-7000</v>
      </c>
      <c r="Q25" s="190">
        <v>-15000</v>
      </c>
      <c r="R25" s="157" t="s">
        <v>2574</v>
      </c>
      <c r="S25" s="197"/>
    </row>
    <row r="26" spans="1:20" ht="24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9">
        <v>-11450</v>
      </c>
      <c r="P26" s="249">
        <v>-15000</v>
      </c>
      <c r="Q26" s="190">
        <v>-35000</v>
      </c>
      <c r="R26" s="157" t="s">
        <v>2583</v>
      </c>
      <c r="S26" s="197"/>
    </row>
    <row r="27" spans="1:20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9">
        <v>-13400</v>
      </c>
      <c r="P27" s="249">
        <v>-14000</v>
      </c>
      <c r="Q27" s="190">
        <v>-15000</v>
      </c>
      <c r="R27" s="157" t="s">
        <v>2497</v>
      </c>
      <c r="S27" s="197"/>
    </row>
    <row r="28" spans="1:20" ht="24.6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9">
        <v>-53500</v>
      </c>
      <c r="P28" s="249">
        <v>-55000</v>
      </c>
      <c r="Q28" s="190">
        <v>-25000</v>
      </c>
      <c r="R28" s="157" t="s">
        <v>2584</v>
      </c>
      <c r="S28" s="197"/>
    </row>
    <row r="29" spans="1:20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9">
        <v>-9500</v>
      </c>
      <c r="P29" s="249">
        <v>-9500</v>
      </c>
      <c r="Q29" s="190">
        <v>-15000</v>
      </c>
      <c r="R29" s="157" t="s">
        <v>2498</v>
      </c>
    </row>
    <row r="30" spans="1:20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9">
        <v>-500</v>
      </c>
      <c r="P30" s="249">
        <v>-500</v>
      </c>
      <c r="Q30" s="190">
        <v>-500</v>
      </c>
      <c r="R30" s="157"/>
    </row>
    <row r="31" spans="1:20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9">
        <v>-74500</v>
      </c>
      <c r="P31" s="249">
        <v>-124778</v>
      </c>
      <c r="Q31" s="190">
        <v>-110000</v>
      </c>
      <c r="R31" s="157" t="s">
        <v>2585</v>
      </c>
      <c r="S31" s="197"/>
    </row>
    <row r="32" spans="1:20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9"/>
      <c r="P32" s="249">
        <v>0</v>
      </c>
      <c r="Q32" s="190">
        <v>0</v>
      </c>
      <c r="R32" s="155"/>
      <c r="S32" s="197"/>
    </row>
    <row r="33" spans="1:20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9">
        <f>-2835-250-1000</f>
        <v>-4085</v>
      </c>
      <c r="P33" s="249">
        <v>-5000</v>
      </c>
      <c r="Q33" s="190">
        <v>-5000</v>
      </c>
      <c r="R33" s="157" t="s">
        <v>2586</v>
      </c>
      <c r="S33" s="197"/>
    </row>
    <row r="34" spans="1:20" x14ac:dyDescent="0.3">
      <c r="A34" s="7" t="s">
        <v>2555</v>
      </c>
      <c r="B34" s="39">
        <f t="shared" ref="B34:Q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1">
        <f t="shared" si="3"/>
        <v>-489331</v>
      </c>
      <c r="P34" s="250">
        <f t="shared" si="3"/>
        <v>-631778</v>
      </c>
      <c r="Q34" s="191">
        <f t="shared" si="3"/>
        <v>-658500</v>
      </c>
      <c r="R34" s="205"/>
      <c r="S34" s="206"/>
    </row>
    <row r="35" spans="1:20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113"/>
      <c r="P35" s="250"/>
      <c r="Q35" s="191"/>
      <c r="R35" s="158"/>
      <c r="S35" s="207"/>
    </row>
    <row r="36" spans="1:20" s="13" customFormat="1" ht="38.25" hidden="1" customHeight="1" x14ac:dyDescent="0.3">
      <c r="A36" s="7" t="s">
        <v>48</v>
      </c>
      <c r="B36" s="39">
        <f t="shared" ref="B36:O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 t="shared" si="4"/>
        <v>36557</v>
      </c>
      <c r="K36" s="12">
        <f t="shared" si="4"/>
        <v>-84874</v>
      </c>
      <c r="L36" s="12">
        <f t="shared" si="4"/>
        <v>8025</v>
      </c>
      <c r="M36" s="12">
        <f t="shared" si="4"/>
        <v>-10322</v>
      </c>
      <c r="N36" s="12">
        <f t="shared" si="4"/>
        <v>122284</v>
      </c>
      <c r="O36" s="11">
        <f t="shared" si="4"/>
        <v>143979</v>
      </c>
      <c r="P36" s="250">
        <f>P15+P34</f>
        <v>27368</v>
      </c>
      <c r="Q36" s="191">
        <f>Q15+Q34</f>
        <v>-58500</v>
      </c>
      <c r="R36" s="158"/>
      <c r="S36" s="207"/>
    </row>
    <row r="37" spans="1:20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1"/>
      <c r="P37" s="250"/>
      <c r="Q37" s="191"/>
      <c r="R37" s="158"/>
      <c r="S37" s="207"/>
    </row>
    <row r="38" spans="1:20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1">
        <v>0</v>
      </c>
      <c r="P38" s="250">
        <v>0</v>
      </c>
      <c r="Q38" s="191">
        <v>0</v>
      </c>
      <c r="R38" s="155"/>
      <c r="S38" s="206"/>
    </row>
    <row r="39" spans="1:20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4"/>
      <c r="P39" s="251"/>
      <c r="Q39" s="210"/>
      <c r="R39" s="205"/>
      <c r="S39" s="206"/>
    </row>
    <row r="40" spans="1:20" s="13" customFormat="1" ht="16.2" thickBot="1" x14ac:dyDescent="0.35">
      <c r="A40" s="7" t="s">
        <v>2557</v>
      </c>
      <c r="B40" s="39">
        <f t="shared" ref="B40:Q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2">
        <f t="shared" si="5"/>
        <v>8025</v>
      </c>
      <c r="M40" s="12">
        <f t="shared" si="5"/>
        <v>-10322</v>
      </c>
      <c r="N40" s="12">
        <f t="shared" si="5"/>
        <v>122284</v>
      </c>
      <c r="O40" s="154">
        <f t="shared" si="5"/>
        <v>143979</v>
      </c>
      <c r="P40" s="252">
        <f t="shared" si="5"/>
        <v>27368</v>
      </c>
      <c r="Q40" s="192">
        <f t="shared" si="5"/>
        <v>-58500</v>
      </c>
      <c r="R40" s="155"/>
      <c r="S40" s="208"/>
    </row>
    <row r="41" spans="1:20" s="13" customFormat="1" x14ac:dyDescent="0.3">
      <c r="A41" s="4"/>
      <c r="B41" s="4"/>
      <c r="C41" s="4"/>
      <c r="D41" s="4"/>
      <c r="E41" s="4"/>
      <c r="F41" s="4"/>
      <c r="G41" s="4"/>
      <c r="H41" s="4"/>
      <c r="P41" s="58"/>
      <c r="Q41" s="58"/>
      <c r="R41" s="196"/>
      <c r="S41" s="155"/>
    </row>
    <row r="42" spans="1:20" x14ac:dyDescent="0.3">
      <c r="P42" s="55"/>
      <c r="Q42" s="261"/>
      <c r="R42" s="155"/>
    </row>
    <row r="43" spans="1:20" x14ac:dyDescent="0.3">
      <c r="P43" s="99"/>
    </row>
    <row r="44" spans="1:20" x14ac:dyDescent="0.3">
      <c r="P44" s="222"/>
    </row>
    <row r="45" spans="1:20" x14ac:dyDescent="0.3">
      <c r="P45" s="207"/>
    </row>
    <row r="46" spans="1:20" x14ac:dyDescent="0.3">
      <c r="P46" s="222"/>
    </row>
    <row r="47" spans="1:20" s="4" customFormat="1" x14ac:dyDescent="0.3">
      <c r="P47" s="99"/>
      <c r="R47" s="196"/>
      <c r="S47" s="155"/>
      <c r="T47" s="1"/>
    </row>
    <row r="48" spans="1:20" s="4" customFormat="1" x14ac:dyDescent="0.3">
      <c r="P48" s="99"/>
      <c r="R48" s="196"/>
      <c r="S48" s="155"/>
      <c r="T48" s="1"/>
    </row>
    <row r="49" spans="16:20" s="4" customFormat="1" x14ac:dyDescent="0.3">
      <c r="P49" s="99"/>
      <c r="R49" s="196"/>
      <c r="S49" s="155"/>
      <c r="T49" s="1"/>
    </row>
    <row r="50" spans="16:20" s="4" customFormat="1" x14ac:dyDescent="0.3">
      <c r="P50" s="99"/>
      <c r="R50" s="196"/>
      <c r="S50" s="155"/>
      <c r="T50" s="1"/>
    </row>
    <row r="51" spans="16:20" x14ac:dyDescent="0.3">
      <c r="P51" s="99"/>
    </row>
    <row r="52" spans="16:20" x14ac:dyDescent="0.3">
      <c r="P52" s="223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75732-C70B-4B8D-91B7-A4759AD09156}">
  <sheetPr>
    <tabColor theme="5" tint="-0.249977111117893"/>
    <pageSetUpPr fitToPage="1"/>
  </sheetPr>
  <dimension ref="A1:T52"/>
  <sheetViews>
    <sheetView zoomScale="110" zoomScaleNormal="110" workbookViewId="0">
      <pane xSplit="1" ySplit="3" topLeftCell="K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5" width="16.44140625" style="1" customWidth="1"/>
    <col min="16" max="17" width="18.5546875" style="1" customWidth="1"/>
    <col min="18" max="18" width="27" style="196" customWidth="1"/>
    <col min="19" max="19" width="12" style="155" customWidth="1"/>
    <col min="20" max="16384" width="9.109375" style="1"/>
  </cols>
  <sheetData>
    <row r="1" spans="1:19" ht="31.8" thickBot="1" x14ac:dyDescent="0.65">
      <c r="A1" s="211" t="s">
        <v>486</v>
      </c>
      <c r="C1" s="224"/>
      <c r="D1" s="224"/>
      <c r="I1" s="4"/>
      <c r="J1" s="4"/>
      <c r="K1" s="295" t="s">
        <v>487</v>
      </c>
      <c r="L1" s="295"/>
      <c r="M1" s="295"/>
    </row>
    <row r="2" spans="1:19" ht="16.2" thickBot="1" x14ac:dyDescent="0.35"/>
    <row r="3" spans="1:19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227">
        <v>2021</v>
      </c>
      <c r="P3" s="253" t="s">
        <v>809</v>
      </c>
      <c r="Q3" s="240" t="s">
        <v>2567</v>
      </c>
      <c r="R3" s="156"/>
      <c r="S3" s="156"/>
    </row>
    <row r="4" spans="1:19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267">
        <v>44430</v>
      </c>
      <c r="P4" s="110">
        <v>44561</v>
      </c>
      <c r="Q4" s="209"/>
      <c r="R4" s="156"/>
      <c r="S4" s="156"/>
    </row>
    <row r="5" spans="1:19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37"/>
      <c r="P5" s="111"/>
      <c r="Q5" s="8"/>
      <c r="R5" s="155"/>
    </row>
    <row r="6" spans="1:19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9">
        <v>80528</v>
      </c>
      <c r="P6" s="249">
        <v>160000</v>
      </c>
      <c r="Q6" s="190">
        <v>180000</v>
      </c>
      <c r="R6" s="217" t="s">
        <v>2568</v>
      </c>
    </row>
    <row r="7" spans="1:19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9">
        <v>156875</v>
      </c>
      <c r="P7" s="249">
        <v>160000</v>
      </c>
      <c r="Q7" s="190">
        <v>180000</v>
      </c>
      <c r="R7" s="217" t="s">
        <v>2580</v>
      </c>
    </row>
    <row r="8" spans="1:19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9">
        <v>13378</v>
      </c>
      <c r="P8" s="249">
        <v>30000</v>
      </c>
      <c r="Q8" s="190">
        <v>50000</v>
      </c>
      <c r="R8" s="217"/>
    </row>
    <row r="9" spans="1:19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9">
        <v>16440</v>
      </c>
      <c r="P9" s="249">
        <v>25000</v>
      </c>
      <c r="Q9" s="190">
        <v>15000</v>
      </c>
      <c r="R9" s="217" t="s">
        <v>2522</v>
      </c>
    </row>
    <row r="10" spans="1:19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9">
        <v>87103</v>
      </c>
      <c r="P10" s="249">
        <v>87103</v>
      </c>
      <c r="Q10" s="190">
        <v>40000</v>
      </c>
      <c r="R10" s="217" t="s">
        <v>2579</v>
      </c>
    </row>
    <row r="11" spans="1:19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9">
        <v>124778</v>
      </c>
      <c r="P11" s="249">
        <v>124778</v>
      </c>
      <c r="Q11" s="190">
        <v>95000</v>
      </c>
      <c r="R11" s="155"/>
    </row>
    <row r="12" spans="1:19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9"/>
      <c r="P12" s="249">
        <v>0</v>
      </c>
      <c r="Q12" s="190">
        <v>0</v>
      </c>
      <c r="R12" s="155"/>
    </row>
    <row r="13" spans="1:19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9"/>
      <c r="P13" s="249">
        <v>0</v>
      </c>
      <c r="Q13" s="190">
        <v>0</v>
      </c>
      <c r="R13" s="155"/>
    </row>
    <row r="14" spans="1:19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9">
        <v>47779</v>
      </c>
      <c r="P14" s="249">
        <v>50000</v>
      </c>
      <c r="Q14" s="190">
        <v>40000</v>
      </c>
      <c r="R14" s="236" t="s">
        <v>2581</v>
      </c>
    </row>
    <row r="15" spans="1:19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2">
        <f>SUM(M6:M14)</f>
        <v>627974</v>
      </c>
      <c r="N15" s="12">
        <f>SUM(N6:N14)</f>
        <v>667900</v>
      </c>
      <c r="O15" s="11">
        <f>SUM(O6:O14)</f>
        <v>526881</v>
      </c>
      <c r="P15" s="250">
        <f t="shared" ref="P15:Q15" si="2">SUM(P6:P14)</f>
        <v>636881</v>
      </c>
      <c r="Q15" s="191">
        <f t="shared" si="2"/>
        <v>600000</v>
      </c>
      <c r="R15" s="155"/>
    </row>
    <row r="16" spans="1:19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O16" s="111"/>
      <c r="P16" s="249"/>
      <c r="Q16" s="190"/>
      <c r="R16" s="155"/>
    </row>
    <row r="17" spans="1:20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O17" s="112"/>
      <c r="P17" s="249"/>
      <c r="Q17" s="190"/>
      <c r="R17" s="159"/>
      <c r="S17" s="159"/>
    </row>
    <row r="18" spans="1:20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9">
        <v>-139589</v>
      </c>
      <c r="P18" s="249">
        <v>-150000</v>
      </c>
      <c r="Q18" s="190">
        <v>-140000</v>
      </c>
      <c r="R18" s="157" t="s">
        <v>2572</v>
      </c>
      <c r="S18" s="197"/>
    </row>
    <row r="19" spans="1:20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9">
        <v>-63388</v>
      </c>
      <c r="P19" s="249">
        <v>-120000</v>
      </c>
      <c r="Q19" s="190">
        <v>-130000</v>
      </c>
      <c r="R19" s="157" t="s">
        <v>2527</v>
      </c>
      <c r="S19" s="197"/>
      <c r="T19" s="55"/>
    </row>
    <row r="20" spans="1:20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9">
        <v>-225</v>
      </c>
      <c r="P20" s="249">
        <v>-1000</v>
      </c>
      <c r="Q20" s="190">
        <v>0</v>
      </c>
      <c r="R20" s="157"/>
      <c r="S20" s="197"/>
    </row>
    <row r="21" spans="1:20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9">
        <v>-12250</v>
      </c>
      <c r="P21" s="249">
        <v>-30000</v>
      </c>
      <c r="Q21" s="190">
        <v>-30000</v>
      </c>
      <c r="R21" s="157" t="s">
        <v>2529</v>
      </c>
      <c r="S21" s="197"/>
    </row>
    <row r="22" spans="1:20" ht="24.6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9">
        <v>-24000</v>
      </c>
      <c r="P22" s="249">
        <v>-30000</v>
      </c>
      <c r="Q22" s="190">
        <v>-40000</v>
      </c>
      <c r="R22" s="157" t="s">
        <v>2582</v>
      </c>
      <c r="S22" s="197"/>
    </row>
    <row r="23" spans="1:20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9">
        <v>-25623</v>
      </c>
      <c r="P23" s="249">
        <v>-70000</v>
      </c>
      <c r="Q23" s="190">
        <v>-90000</v>
      </c>
      <c r="R23" s="157" t="s">
        <v>2572</v>
      </c>
      <c r="S23" s="197"/>
    </row>
    <row r="24" spans="1:20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9">
        <v>-1500</v>
      </c>
      <c r="P24" s="249">
        <v>-5000</v>
      </c>
      <c r="Q24" s="190">
        <v>-8000</v>
      </c>
      <c r="R24" s="155"/>
      <c r="S24" s="197"/>
    </row>
    <row r="25" spans="1:20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9">
        <v>400</v>
      </c>
      <c r="P25" s="249">
        <v>-5000</v>
      </c>
      <c r="Q25" s="190">
        <v>-15000</v>
      </c>
      <c r="R25" s="157" t="s">
        <v>2574</v>
      </c>
      <c r="S25" s="197"/>
    </row>
    <row r="26" spans="1:20" ht="24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9">
        <v>-11450</v>
      </c>
      <c r="P26" s="249">
        <v>-15000</v>
      </c>
      <c r="Q26" s="190">
        <v>-35000</v>
      </c>
      <c r="R26" s="157" t="s">
        <v>2583</v>
      </c>
      <c r="S26" s="197"/>
    </row>
    <row r="27" spans="1:20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9">
        <v>-4400</v>
      </c>
      <c r="P27" s="249">
        <v>-15000</v>
      </c>
      <c r="Q27" s="190">
        <v>-15000</v>
      </c>
      <c r="R27" s="157" t="s">
        <v>2497</v>
      </c>
      <c r="S27" s="197"/>
    </row>
    <row r="28" spans="1:20" ht="24.6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9">
        <v>-38000</v>
      </c>
      <c r="P28" s="249">
        <v>-60000</v>
      </c>
      <c r="Q28" s="190">
        <v>-25000</v>
      </c>
      <c r="R28" s="157" t="s">
        <v>2584</v>
      </c>
      <c r="S28" s="197"/>
    </row>
    <row r="29" spans="1:20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9">
        <v>0</v>
      </c>
      <c r="P29" s="249">
        <v>-6000</v>
      </c>
      <c r="Q29" s="190">
        <v>-15000</v>
      </c>
      <c r="R29" s="157" t="s">
        <v>2498</v>
      </c>
    </row>
    <row r="30" spans="1:20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9">
        <v>-500</v>
      </c>
      <c r="P30" s="249">
        <v>-500</v>
      </c>
      <c r="Q30" s="190">
        <v>-500</v>
      </c>
      <c r="R30" s="157"/>
    </row>
    <row r="31" spans="1:20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9">
        <v>-22000</v>
      </c>
      <c r="P31" s="249">
        <v>-124778</v>
      </c>
      <c r="Q31" s="190">
        <v>-110000</v>
      </c>
      <c r="R31" s="157" t="s">
        <v>2585</v>
      </c>
      <c r="S31" s="197"/>
    </row>
    <row r="32" spans="1:20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9"/>
      <c r="P32" s="249">
        <v>0</v>
      </c>
      <c r="Q32" s="190">
        <v>0</v>
      </c>
      <c r="R32" s="155"/>
      <c r="S32" s="197"/>
    </row>
    <row r="33" spans="1:20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9">
        <f>-2835-250-1000</f>
        <v>-4085</v>
      </c>
      <c r="P33" s="249">
        <v>-5000</v>
      </c>
      <c r="Q33" s="190">
        <v>-5000</v>
      </c>
      <c r="R33" s="157" t="s">
        <v>2586</v>
      </c>
      <c r="S33" s="197"/>
    </row>
    <row r="34" spans="1:20" x14ac:dyDescent="0.3">
      <c r="A34" s="7" t="s">
        <v>2555</v>
      </c>
      <c r="B34" s="39">
        <f t="shared" ref="B34:Q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1">
        <f t="shared" si="3"/>
        <v>-346610</v>
      </c>
      <c r="P34" s="250">
        <f t="shared" si="3"/>
        <v>-637278</v>
      </c>
      <c r="Q34" s="191">
        <f t="shared" si="3"/>
        <v>-658500</v>
      </c>
      <c r="R34" s="205"/>
      <c r="S34" s="206"/>
    </row>
    <row r="35" spans="1:20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113"/>
      <c r="P35" s="250"/>
      <c r="Q35" s="191"/>
      <c r="R35" s="158"/>
      <c r="S35" s="207"/>
    </row>
    <row r="36" spans="1:20" s="13" customFormat="1" ht="38.25" hidden="1" customHeight="1" x14ac:dyDescent="0.3">
      <c r="A36" s="7" t="s">
        <v>48</v>
      </c>
      <c r="B36" s="39">
        <f t="shared" ref="B36:O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 t="shared" si="4"/>
        <v>36557</v>
      </c>
      <c r="K36" s="12">
        <f t="shared" si="4"/>
        <v>-84874</v>
      </c>
      <c r="L36" s="12">
        <f t="shared" si="4"/>
        <v>8025</v>
      </c>
      <c r="M36" s="12">
        <f t="shared" si="4"/>
        <v>-10322</v>
      </c>
      <c r="N36" s="12">
        <f t="shared" si="4"/>
        <v>122284</v>
      </c>
      <c r="O36" s="11">
        <f t="shared" si="4"/>
        <v>180271</v>
      </c>
      <c r="P36" s="250">
        <f>P15+P34</f>
        <v>-397</v>
      </c>
      <c r="Q36" s="191">
        <f>Q15+Q34</f>
        <v>-58500</v>
      </c>
      <c r="R36" s="158"/>
      <c r="S36" s="207"/>
    </row>
    <row r="37" spans="1:20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1"/>
      <c r="P37" s="250"/>
      <c r="Q37" s="191"/>
      <c r="R37" s="158"/>
      <c r="S37" s="207"/>
    </row>
    <row r="38" spans="1:20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1">
        <v>0</v>
      </c>
      <c r="P38" s="250">
        <v>0</v>
      </c>
      <c r="Q38" s="191">
        <v>0</v>
      </c>
      <c r="R38" s="155"/>
      <c r="S38" s="206"/>
    </row>
    <row r="39" spans="1:20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4"/>
      <c r="P39" s="251"/>
      <c r="Q39" s="210"/>
      <c r="R39" s="205"/>
      <c r="S39" s="206"/>
    </row>
    <row r="40" spans="1:20" s="13" customFormat="1" ht="16.2" thickBot="1" x14ac:dyDescent="0.35">
      <c r="A40" s="7" t="s">
        <v>2557</v>
      </c>
      <c r="B40" s="39">
        <f t="shared" ref="B40:Q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2">
        <f t="shared" si="5"/>
        <v>8025</v>
      </c>
      <c r="M40" s="12">
        <f t="shared" si="5"/>
        <v>-10322</v>
      </c>
      <c r="N40" s="12">
        <f t="shared" si="5"/>
        <v>122284</v>
      </c>
      <c r="O40" s="154">
        <f t="shared" si="5"/>
        <v>180271</v>
      </c>
      <c r="P40" s="252">
        <f t="shared" si="5"/>
        <v>-397</v>
      </c>
      <c r="Q40" s="192">
        <f t="shared" si="5"/>
        <v>-58500</v>
      </c>
      <c r="R40" s="155"/>
      <c r="S40" s="208"/>
    </row>
    <row r="41" spans="1:20" s="13" customFormat="1" x14ac:dyDescent="0.3">
      <c r="A41" s="4"/>
      <c r="B41" s="4"/>
      <c r="C41" s="4"/>
      <c r="D41" s="4"/>
      <c r="E41" s="4"/>
      <c r="F41" s="4"/>
      <c r="G41" s="4"/>
      <c r="H41" s="4"/>
      <c r="P41" s="58"/>
      <c r="Q41" s="58"/>
      <c r="R41" s="196"/>
      <c r="S41" s="155"/>
    </row>
    <row r="42" spans="1:20" x14ac:dyDescent="0.3">
      <c r="P42" s="55"/>
      <c r="Q42" s="261"/>
      <c r="R42" s="155"/>
    </row>
    <row r="43" spans="1:20" x14ac:dyDescent="0.3">
      <c r="P43" s="99"/>
    </row>
    <row r="44" spans="1:20" x14ac:dyDescent="0.3">
      <c r="P44" s="222"/>
    </row>
    <row r="45" spans="1:20" x14ac:dyDescent="0.3">
      <c r="P45" s="207"/>
    </row>
    <row r="46" spans="1:20" x14ac:dyDescent="0.3">
      <c r="P46" s="222"/>
    </row>
    <row r="47" spans="1:20" s="4" customFormat="1" x14ac:dyDescent="0.3">
      <c r="P47" s="99"/>
      <c r="R47" s="196"/>
      <c r="S47" s="155"/>
      <c r="T47" s="1"/>
    </row>
    <row r="48" spans="1:20" s="4" customFormat="1" x14ac:dyDescent="0.3">
      <c r="P48" s="99"/>
      <c r="R48" s="196"/>
      <c r="S48" s="155"/>
      <c r="T48" s="1"/>
    </row>
    <row r="49" spans="16:20" s="4" customFormat="1" x14ac:dyDescent="0.3">
      <c r="P49" s="99"/>
      <c r="R49" s="196"/>
      <c r="S49" s="155"/>
      <c r="T49" s="1"/>
    </row>
    <row r="50" spans="16:20" s="4" customFormat="1" x14ac:dyDescent="0.3">
      <c r="P50" s="99"/>
      <c r="R50" s="196"/>
      <c r="S50" s="155"/>
      <c r="T50" s="1"/>
    </row>
    <row r="51" spans="16:20" x14ac:dyDescent="0.3">
      <c r="P51" s="99"/>
    </row>
    <row r="52" spans="16:20" x14ac:dyDescent="0.3">
      <c r="P52" s="223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3C2AC-E011-4BBE-BF63-3A8126EC9209}">
  <sheetPr>
    <tabColor theme="5" tint="-0.249977111117893"/>
    <pageSetUpPr fitToPage="1"/>
  </sheetPr>
  <dimension ref="A1:T52"/>
  <sheetViews>
    <sheetView zoomScale="90" zoomScaleNormal="90" workbookViewId="0">
      <pane xSplit="1" ySplit="3" topLeftCell="K4" activePane="bottomRight" state="frozen"/>
      <selection pane="topRight" activeCell="B1" sqref="B1"/>
      <selection pane="bottomLeft" activeCell="A4" sqref="A4"/>
      <selection pane="bottomRight" activeCell="O4" sqref="O4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5" width="16.44140625" style="1" customWidth="1"/>
    <col min="16" max="17" width="18.5546875" style="1" customWidth="1"/>
    <col min="18" max="18" width="27" style="196" customWidth="1"/>
    <col min="19" max="19" width="12" style="155" customWidth="1"/>
    <col min="20" max="16384" width="9.109375" style="1"/>
  </cols>
  <sheetData>
    <row r="1" spans="1:19" ht="31.8" thickBot="1" x14ac:dyDescent="0.65">
      <c r="A1" s="211" t="s">
        <v>486</v>
      </c>
      <c r="C1" s="224"/>
      <c r="D1" s="224"/>
      <c r="I1" s="4"/>
      <c r="J1" s="4"/>
      <c r="K1" s="295" t="s">
        <v>487</v>
      </c>
      <c r="L1" s="295"/>
      <c r="M1" s="295"/>
    </row>
    <row r="2" spans="1:19" ht="16.2" thickBot="1" x14ac:dyDescent="0.35"/>
    <row r="3" spans="1:19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227">
        <v>2021</v>
      </c>
      <c r="P3" s="253" t="s">
        <v>809</v>
      </c>
      <c r="Q3" s="240" t="s">
        <v>2567</v>
      </c>
      <c r="R3" s="156"/>
      <c r="S3" s="156"/>
    </row>
    <row r="4" spans="1:19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267">
        <v>44353</v>
      </c>
      <c r="P4" s="110">
        <v>44561</v>
      </c>
      <c r="Q4" s="209"/>
      <c r="R4" s="156"/>
      <c r="S4" s="156"/>
    </row>
    <row r="5" spans="1:19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37"/>
      <c r="P5" s="111"/>
      <c r="Q5" s="8"/>
      <c r="R5" s="155"/>
    </row>
    <row r="6" spans="1:19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9">
        <v>80528</v>
      </c>
      <c r="P6" s="249">
        <v>160000</v>
      </c>
      <c r="Q6" s="190">
        <v>180000</v>
      </c>
      <c r="R6" s="217" t="s">
        <v>2568</v>
      </c>
    </row>
    <row r="7" spans="1:19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9">
        <v>152150</v>
      </c>
      <c r="P7" s="249">
        <v>160000</v>
      </c>
      <c r="Q7" s="190">
        <v>180000</v>
      </c>
      <c r="R7" s="217" t="s">
        <v>2576</v>
      </c>
    </row>
    <row r="8" spans="1:19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9">
        <v>0</v>
      </c>
      <c r="P8" s="249">
        <v>30000</v>
      </c>
      <c r="Q8" s="190">
        <v>50000</v>
      </c>
      <c r="R8" s="217"/>
    </row>
    <row r="9" spans="1:19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9">
        <v>1200</v>
      </c>
      <c r="P9" s="249">
        <v>15000</v>
      </c>
      <c r="Q9" s="190">
        <v>15000</v>
      </c>
      <c r="R9" s="217" t="s">
        <v>2546</v>
      </c>
    </row>
    <row r="10" spans="1:19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9">
        <v>15103</v>
      </c>
      <c r="P10" s="249">
        <v>65000</v>
      </c>
      <c r="Q10" s="190">
        <v>40000</v>
      </c>
      <c r="R10" s="217" t="s">
        <v>2577</v>
      </c>
    </row>
    <row r="11" spans="1:19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9">
        <v>125780</v>
      </c>
      <c r="P11" s="249">
        <v>125780</v>
      </c>
      <c r="Q11" s="190">
        <v>95000</v>
      </c>
      <c r="R11" s="155"/>
    </row>
    <row r="12" spans="1:19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9"/>
      <c r="P12" s="249">
        <v>0</v>
      </c>
      <c r="Q12" s="190">
        <v>0</v>
      </c>
      <c r="R12" s="155"/>
    </row>
    <row r="13" spans="1:19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9"/>
      <c r="P13" s="249">
        <v>0</v>
      </c>
      <c r="Q13" s="190">
        <v>0</v>
      </c>
      <c r="R13" s="155"/>
    </row>
    <row r="14" spans="1:19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9">
        <v>15851</v>
      </c>
      <c r="P14" s="249">
        <v>40000</v>
      </c>
      <c r="Q14" s="190">
        <v>40000</v>
      </c>
      <c r="R14" s="236" t="s">
        <v>2571</v>
      </c>
    </row>
    <row r="15" spans="1:19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2">
        <f>SUM(M6:M14)</f>
        <v>627974</v>
      </c>
      <c r="N15" s="12">
        <f>SUM(N6:N14)</f>
        <v>667900</v>
      </c>
      <c r="O15" s="11">
        <f>SUM(O6:O14)</f>
        <v>390612</v>
      </c>
      <c r="P15" s="250">
        <f t="shared" ref="P15:Q15" si="2">SUM(P6:P14)</f>
        <v>595780</v>
      </c>
      <c r="Q15" s="191">
        <f t="shared" si="2"/>
        <v>600000</v>
      </c>
      <c r="R15" s="155"/>
    </row>
    <row r="16" spans="1:19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O16" s="111"/>
      <c r="P16" s="249"/>
      <c r="Q16" s="190"/>
      <c r="R16" s="155"/>
    </row>
    <row r="17" spans="1:20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O17" s="112"/>
      <c r="P17" s="249"/>
      <c r="Q17" s="190"/>
      <c r="R17" s="159"/>
      <c r="S17" s="159"/>
    </row>
    <row r="18" spans="1:20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9">
        <v>-108074</v>
      </c>
      <c r="P18" s="249">
        <v>-140000</v>
      </c>
      <c r="Q18" s="190">
        <v>-140000</v>
      </c>
      <c r="R18" s="157" t="s">
        <v>2572</v>
      </c>
      <c r="S18" s="197"/>
    </row>
    <row r="19" spans="1:20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9">
        <v>-33787</v>
      </c>
      <c r="P19" s="249">
        <v>-120000</v>
      </c>
      <c r="Q19" s="190">
        <v>-130000</v>
      </c>
      <c r="R19" s="157" t="s">
        <v>2527</v>
      </c>
      <c r="S19" s="197"/>
      <c r="T19" s="55"/>
    </row>
    <row r="20" spans="1:20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9">
        <v>-225</v>
      </c>
      <c r="P20" s="249">
        <v>0</v>
      </c>
      <c r="Q20" s="190">
        <v>0</v>
      </c>
      <c r="R20" s="157"/>
      <c r="S20" s="197"/>
    </row>
    <row r="21" spans="1:20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9">
        <v>-13000</v>
      </c>
      <c r="P21" s="249">
        <v>-30000</v>
      </c>
      <c r="Q21" s="190">
        <v>-30000</v>
      </c>
      <c r="R21" s="157" t="s">
        <v>2529</v>
      </c>
      <c r="S21" s="197"/>
    </row>
    <row r="22" spans="1:20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9">
        <v>-400</v>
      </c>
      <c r="P22" s="249">
        <v>-40000</v>
      </c>
      <c r="Q22" s="190">
        <v>-40000</v>
      </c>
      <c r="R22" s="157" t="s">
        <v>2573</v>
      </c>
      <c r="S22" s="197"/>
    </row>
    <row r="23" spans="1:20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9">
        <v>-6010</v>
      </c>
      <c r="P23" s="249">
        <v>-80000</v>
      </c>
      <c r="Q23" s="190">
        <v>-90000</v>
      </c>
      <c r="R23" s="157" t="s">
        <v>2572</v>
      </c>
      <c r="S23" s="197"/>
    </row>
    <row r="24" spans="1:20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9">
        <v>-1500</v>
      </c>
      <c r="P24" s="249">
        <v>-8000</v>
      </c>
      <c r="Q24" s="190">
        <v>-8000</v>
      </c>
      <c r="R24" s="155"/>
      <c r="S24" s="197"/>
    </row>
    <row r="25" spans="1:20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9">
        <v>0</v>
      </c>
      <c r="P25" s="249">
        <v>-5000</v>
      </c>
      <c r="Q25" s="190">
        <v>-15000</v>
      </c>
      <c r="R25" s="157" t="s">
        <v>2574</v>
      </c>
      <c r="S25" s="197"/>
    </row>
    <row r="26" spans="1:20" ht="24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9">
        <v>-2500</v>
      </c>
      <c r="P26" s="249">
        <v>-35000</v>
      </c>
      <c r="Q26" s="190">
        <v>-35000</v>
      </c>
      <c r="R26" s="157" t="s">
        <v>2575</v>
      </c>
      <c r="S26" s="197"/>
    </row>
    <row r="27" spans="1:20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9">
        <v>-2800</v>
      </c>
      <c r="P27" s="249">
        <v>-15000</v>
      </c>
      <c r="Q27" s="190">
        <v>-15000</v>
      </c>
      <c r="R27" s="157" t="s">
        <v>2497</v>
      </c>
      <c r="S27" s="197"/>
    </row>
    <row r="28" spans="1:20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9">
        <v>0</v>
      </c>
      <c r="P28" s="249">
        <v>-25000</v>
      </c>
      <c r="Q28" s="190">
        <v>-25000</v>
      </c>
      <c r="R28" s="157" t="s">
        <v>2498</v>
      </c>
      <c r="S28" s="197"/>
    </row>
    <row r="29" spans="1:20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9">
        <v>0</v>
      </c>
      <c r="P29" s="249">
        <v>-15000</v>
      </c>
      <c r="Q29" s="190">
        <v>-15000</v>
      </c>
      <c r="R29" s="157" t="s">
        <v>2498</v>
      </c>
    </row>
    <row r="30" spans="1:20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9">
        <v>-500</v>
      </c>
      <c r="P30" s="249">
        <v>-500</v>
      </c>
      <c r="Q30" s="190">
        <v>-500</v>
      </c>
      <c r="R30" s="157"/>
    </row>
    <row r="31" spans="1:20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9">
        <v>0</v>
      </c>
      <c r="P31" s="249">
        <v>-125780</v>
      </c>
      <c r="Q31" s="190">
        <v>-110000</v>
      </c>
      <c r="R31" s="157" t="s">
        <v>2545</v>
      </c>
      <c r="S31" s="197"/>
    </row>
    <row r="32" spans="1:20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9"/>
      <c r="P32" s="249">
        <v>0</v>
      </c>
      <c r="Q32" s="190">
        <v>0</v>
      </c>
      <c r="R32" s="155"/>
      <c r="S32" s="197"/>
    </row>
    <row r="33" spans="1:20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9">
        <f>-2835-250-1000</f>
        <v>-4085</v>
      </c>
      <c r="P33" s="249">
        <v>-5000</v>
      </c>
      <c r="Q33" s="190">
        <v>-5000</v>
      </c>
      <c r="R33" s="157" t="s">
        <v>2578</v>
      </c>
      <c r="S33" s="197"/>
    </row>
    <row r="34" spans="1:20" x14ac:dyDescent="0.3">
      <c r="A34" s="7" t="s">
        <v>2555</v>
      </c>
      <c r="B34" s="39">
        <f t="shared" ref="B34:Q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1">
        <f t="shared" si="3"/>
        <v>-172881</v>
      </c>
      <c r="P34" s="250">
        <f t="shared" si="3"/>
        <v>-644280</v>
      </c>
      <c r="Q34" s="191">
        <f t="shared" si="3"/>
        <v>-658500</v>
      </c>
      <c r="R34" s="205"/>
      <c r="S34" s="206"/>
    </row>
    <row r="35" spans="1:20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113"/>
      <c r="P35" s="250"/>
      <c r="Q35" s="191"/>
      <c r="R35" s="158"/>
      <c r="S35" s="207"/>
    </row>
    <row r="36" spans="1:20" s="13" customFormat="1" ht="38.25" hidden="1" customHeight="1" x14ac:dyDescent="0.3">
      <c r="A36" s="7" t="s">
        <v>48</v>
      </c>
      <c r="B36" s="39">
        <f t="shared" ref="B36:O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 t="shared" si="4"/>
        <v>36557</v>
      </c>
      <c r="K36" s="12">
        <f t="shared" si="4"/>
        <v>-84874</v>
      </c>
      <c r="L36" s="12">
        <f t="shared" si="4"/>
        <v>8025</v>
      </c>
      <c r="M36" s="12">
        <f t="shared" si="4"/>
        <v>-10322</v>
      </c>
      <c r="N36" s="12">
        <f t="shared" si="4"/>
        <v>122284</v>
      </c>
      <c r="O36" s="11">
        <f t="shared" si="4"/>
        <v>217731</v>
      </c>
      <c r="P36" s="250">
        <f>P15+P34</f>
        <v>-48500</v>
      </c>
      <c r="Q36" s="191">
        <f>Q15+Q34</f>
        <v>-58500</v>
      </c>
      <c r="R36" s="158"/>
      <c r="S36" s="207"/>
    </row>
    <row r="37" spans="1:20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1"/>
      <c r="P37" s="250"/>
      <c r="Q37" s="191"/>
      <c r="R37" s="158"/>
      <c r="S37" s="207"/>
    </row>
    <row r="38" spans="1:20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1">
        <v>0</v>
      </c>
      <c r="P38" s="250">
        <v>0</v>
      </c>
      <c r="Q38" s="191">
        <v>0</v>
      </c>
      <c r="R38" s="155"/>
      <c r="S38" s="206"/>
    </row>
    <row r="39" spans="1:20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4"/>
      <c r="P39" s="251"/>
      <c r="Q39" s="210"/>
      <c r="R39" s="205"/>
      <c r="S39" s="206"/>
    </row>
    <row r="40" spans="1:20" s="13" customFormat="1" ht="16.2" thickBot="1" x14ac:dyDescent="0.35">
      <c r="A40" s="7" t="s">
        <v>2557</v>
      </c>
      <c r="B40" s="39">
        <f t="shared" ref="B40:Q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2">
        <f t="shared" si="5"/>
        <v>8025</v>
      </c>
      <c r="M40" s="12">
        <f t="shared" si="5"/>
        <v>-10322</v>
      </c>
      <c r="N40" s="12">
        <f t="shared" si="5"/>
        <v>122284</v>
      </c>
      <c r="O40" s="154">
        <f t="shared" si="5"/>
        <v>217731</v>
      </c>
      <c r="P40" s="252">
        <f t="shared" si="5"/>
        <v>-48500</v>
      </c>
      <c r="Q40" s="192">
        <f t="shared" si="5"/>
        <v>-58500</v>
      </c>
      <c r="R40" s="155"/>
      <c r="S40" s="208"/>
    </row>
    <row r="41" spans="1:20" s="13" customFormat="1" x14ac:dyDescent="0.3">
      <c r="A41" s="4"/>
      <c r="B41" s="4"/>
      <c r="C41" s="4"/>
      <c r="D41" s="4"/>
      <c r="E41" s="4"/>
      <c r="F41" s="4"/>
      <c r="G41" s="4"/>
      <c r="H41" s="4"/>
      <c r="P41" s="58"/>
      <c r="Q41" s="58"/>
      <c r="R41" s="196"/>
      <c r="S41" s="155"/>
    </row>
    <row r="42" spans="1:20" x14ac:dyDescent="0.3">
      <c r="P42" s="55"/>
      <c r="Q42" s="261"/>
      <c r="R42" s="155"/>
    </row>
    <row r="43" spans="1:20" x14ac:dyDescent="0.3">
      <c r="P43" s="99"/>
    </row>
    <row r="44" spans="1:20" x14ac:dyDescent="0.3">
      <c r="P44" s="222"/>
    </row>
    <row r="45" spans="1:20" x14ac:dyDescent="0.3">
      <c r="P45" s="207"/>
    </row>
    <row r="46" spans="1:20" x14ac:dyDescent="0.3">
      <c r="P46" s="222"/>
    </row>
    <row r="47" spans="1:20" s="4" customFormat="1" x14ac:dyDescent="0.3">
      <c r="P47" s="99"/>
      <c r="R47" s="196"/>
      <c r="S47" s="155"/>
      <c r="T47" s="1"/>
    </row>
    <row r="48" spans="1:20" s="4" customFormat="1" x14ac:dyDescent="0.3">
      <c r="P48" s="99"/>
      <c r="R48" s="196"/>
      <c r="S48" s="155"/>
      <c r="T48" s="1"/>
    </row>
    <row r="49" spans="16:20" s="4" customFormat="1" x14ac:dyDescent="0.3">
      <c r="P49" s="99"/>
      <c r="R49" s="196"/>
      <c r="S49" s="155"/>
      <c r="T49" s="1"/>
    </row>
    <row r="50" spans="16:20" s="4" customFormat="1" x14ac:dyDescent="0.3">
      <c r="P50" s="99"/>
      <c r="R50" s="196"/>
      <c r="S50" s="155"/>
      <c r="T50" s="1"/>
    </row>
    <row r="51" spans="16:20" x14ac:dyDescent="0.3">
      <c r="P51" s="99"/>
    </row>
    <row r="52" spans="16:20" x14ac:dyDescent="0.3">
      <c r="P52" s="223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9972B-00BF-4661-9509-78FDF88B5709}">
  <sheetPr>
    <tabColor theme="5" tint="-0.249977111117893"/>
    <pageSetUpPr fitToPage="1"/>
  </sheetPr>
  <dimension ref="A1:T52"/>
  <sheetViews>
    <sheetView zoomScale="90" zoomScaleNormal="90" workbookViewId="0">
      <pane xSplit="1" ySplit="3" topLeftCell="K4" activePane="bottomRight" state="frozen"/>
      <selection pane="topRight" activeCell="B1" sqref="B1"/>
      <selection pane="bottomLeft" activeCell="A4" sqref="A4"/>
      <selection pane="bottomRight" activeCell="O4" sqref="O4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5" width="16.44140625" style="1" customWidth="1"/>
    <col min="16" max="17" width="18.5546875" style="1" customWidth="1"/>
    <col min="18" max="18" width="27" style="196" customWidth="1"/>
    <col min="19" max="19" width="12" style="155" customWidth="1"/>
    <col min="20" max="16384" width="9.109375" style="1"/>
  </cols>
  <sheetData>
    <row r="1" spans="1:19" ht="31.8" thickBot="1" x14ac:dyDescent="0.65">
      <c r="A1" s="211" t="s">
        <v>486</v>
      </c>
      <c r="C1" s="224"/>
      <c r="D1" s="224"/>
      <c r="I1" s="4"/>
      <c r="J1" s="4"/>
      <c r="K1" s="295" t="s">
        <v>487</v>
      </c>
      <c r="L1" s="295"/>
      <c r="M1" s="295"/>
    </row>
    <row r="2" spans="1:19" ht="16.2" thickBot="1" x14ac:dyDescent="0.35"/>
    <row r="3" spans="1:19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227">
        <v>2021</v>
      </c>
      <c r="P3" s="253" t="s">
        <v>809</v>
      </c>
      <c r="Q3" s="240" t="s">
        <v>2567</v>
      </c>
      <c r="R3" s="156"/>
      <c r="S3" s="156"/>
    </row>
    <row r="4" spans="1:19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267">
        <v>44296</v>
      </c>
      <c r="P4" s="110">
        <v>44561</v>
      </c>
      <c r="Q4" s="209"/>
      <c r="R4" s="156"/>
      <c r="S4" s="156"/>
    </row>
    <row r="5" spans="1:19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37"/>
      <c r="P5" s="111"/>
      <c r="Q5" s="8"/>
      <c r="R5" s="155"/>
    </row>
    <row r="6" spans="1:19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9">
        <v>51873</v>
      </c>
      <c r="P6" s="249">
        <v>180000</v>
      </c>
      <c r="Q6" s="190">
        <v>180000</v>
      </c>
      <c r="R6" s="217" t="s">
        <v>2568</v>
      </c>
    </row>
    <row r="7" spans="1:19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9">
        <v>450</v>
      </c>
      <c r="P7" s="249">
        <v>180000</v>
      </c>
      <c r="Q7" s="190">
        <v>180000</v>
      </c>
      <c r="R7" s="217" t="s">
        <v>2569</v>
      </c>
    </row>
    <row r="8" spans="1:19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9">
        <v>0</v>
      </c>
      <c r="P8" s="249">
        <v>50000</v>
      </c>
      <c r="Q8" s="190">
        <v>50000</v>
      </c>
      <c r="R8" s="217"/>
    </row>
    <row r="9" spans="1:19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9">
        <v>0</v>
      </c>
      <c r="P9" s="249">
        <v>15000</v>
      </c>
      <c r="Q9" s="190">
        <v>15000</v>
      </c>
      <c r="R9" s="217" t="s">
        <v>2546</v>
      </c>
    </row>
    <row r="10" spans="1:19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9">
        <v>0</v>
      </c>
      <c r="P10" s="249">
        <v>40000</v>
      </c>
      <c r="Q10" s="190">
        <v>40000</v>
      </c>
      <c r="R10" s="217" t="s">
        <v>2570</v>
      </c>
    </row>
    <row r="11" spans="1:19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9">
        <v>22060</v>
      </c>
      <c r="P11" s="249">
        <v>95000</v>
      </c>
      <c r="Q11" s="190">
        <v>95000</v>
      </c>
      <c r="R11" s="155"/>
    </row>
    <row r="12" spans="1:19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9"/>
      <c r="P12" s="249">
        <v>0</v>
      </c>
      <c r="Q12" s="190">
        <v>0</v>
      </c>
      <c r="R12" s="155"/>
    </row>
    <row r="13" spans="1:19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9"/>
      <c r="P13" s="249">
        <v>0</v>
      </c>
      <c r="Q13" s="190">
        <v>0</v>
      </c>
      <c r="R13" s="155"/>
    </row>
    <row r="14" spans="1:19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9">
        <v>15851</v>
      </c>
      <c r="P14" s="249">
        <v>40000</v>
      </c>
      <c r="Q14" s="190">
        <v>40000</v>
      </c>
      <c r="R14" s="236" t="s">
        <v>2571</v>
      </c>
    </row>
    <row r="15" spans="1:19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2">
        <f>SUM(M6:M14)</f>
        <v>627974</v>
      </c>
      <c r="N15" s="12">
        <f>SUM(N6:N14)</f>
        <v>667900</v>
      </c>
      <c r="O15" s="11">
        <f>SUM(O6:O14)</f>
        <v>90234</v>
      </c>
      <c r="P15" s="250">
        <f t="shared" ref="P15" si="2">SUM(P6:P14)</f>
        <v>600000</v>
      </c>
      <c r="Q15" s="191">
        <f t="shared" ref="Q15" si="3">SUM(Q6:Q14)</f>
        <v>600000</v>
      </c>
      <c r="R15" s="155"/>
    </row>
    <row r="16" spans="1:19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O16" s="111"/>
      <c r="P16" s="249"/>
      <c r="Q16" s="190"/>
      <c r="R16" s="155"/>
    </row>
    <row r="17" spans="1:20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O17" s="112"/>
      <c r="P17" s="249"/>
      <c r="Q17" s="190"/>
      <c r="R17" s="159"/>
      <c r="S17" s="159"/>
    </row>
    <row r="18" spans="1:20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9">
        <v>-48649</v>
      </c>
      <c r="P18" s="249">
        <v>-140000</v>
      </c>
      <c r="Q18" s="190">
        <v>-140000</v>
      </c>
      <c r="R18" s="157" t="s">
        <v>2572</v>
      </c>
      <c r="S18" s="197"/>
    </row>
    <row r="19" spans="1:20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9">
        <v>-15324</v>
      </c>
      <c r="P19" s="249">
        <v>-130000</v>
      </c>
      <c r="Q19" s="190">
        <v>-130000</v>
      </c>
      <c r="R19" s="157" t="s">
        <v>2527</v>
      </c>
      <c r="S19" s="197"/>
      <c r="T19" s="55"/>
    </row>
    <row r="20" spans="1:20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9">
        <v>0</v>
      </c>
      <c r="P20" s="249">
        <v>0</v>
      </c>
      <c r="Q20" s="190">
        <v>0</v>
      </c>
      <c r="R20" s="157"/>
      <c r="S20" s="197"/>
    </row>
    <row r="21" spans="1:20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9">
        <v>0</v>
      </c>
      <c r="P21" s="249">
        <v>-30000</v>
      </c>
      <c r="Q21" s="190">
        <v>-30000</v>
      </c>
      <c r="R21" s="157" t="s">
        <v>2529</v>
      </c>
      <c r="S21" s="197"/>
    </row>
    <row r="22" spans="1:20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9">
        <v>-400</v>
      </c>
      <c r="P22" s="249">
        <v>-40000</v>
      </c>
      <c r="Q22" s="190">
        <v>-40000</v>
      </c>
      <c r="R22" s="157" t="s">
        <v>2573</v>
      </c>
      <c r="S22" s="197"/>
    </row>
    <row r="23" spans="1:20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9">
        <v>-3100</v>
      </c>
      <c r="P23" s="249">
        <v>-90000</v>
      </c>
      <c r="Q23" s="190">
        <v>-90000</v>
      </c>
      <c r="R23" s="157" t="s">
        <v>2572</v>
      </c>
      <c r="S23" s="197"/>
    </row>
    <row r="24" spans="1:20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9">
        <v>-1500</v>
      </c>
      <c r="P24" s="249">
        <v>-8000</v>
      </c>
      <c r="Q24" s="190">
        <v>-8000</v>
      </c>
      <c r="R24" s="155"/>
      <c r="S24" s="197"/>
    </row>
    <row r="25" spans="1:20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9">
        <v>0</v>
      </c>
      <c r="P25" s="249">
        <v>-15000</v>
      </c>
      <c r="Q25" s="190">
        <v>-15000</v>
      </c>
      <c r="R25" s="157" t="s">
        <v>2574</v>
      </c>
      <c r="S25" s="197"/>
    </row>
    <row r="26" spans="1:20" ht="24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9">
        <v>0</v>
      </c>
      <c r="P26" s="249">
        <v>-35000</v>
      </c>
      <c r="Q26" s="190">
        <v>-35000</v>
      </c>
      <c r="R26" s="157" t="s">
        <v>2575</v>
      </c>
      <c r="S26" s="197"/>
    </row>
    <row r="27" spans="1:20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9">
        <v>-1200</v>
      </c>
      <c r="P27" s="249">
        <v>-15000</v>
      </c>
      <c r="Q27" s="190">
        <v>-15000</v>
      </c>
      <c r="R27" s="157" t="s">
        <v>2497</v>
      </c>
      <c r="S27" s="197"/>
    </row>
    <row r="28" spans="1:20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9">
        <v>0</v>
      </c>
      <c r="P28" s="249">
        <v>-25000</v>
      </c>
      <c r="Q28" s="190">
        <v>-25000</v>
      </c>
      <c r="R28" s="157" t="s">
        <v>2498</v>
      </c>
      <c r="S28" s="197"/>
    </row>
    <row r="29" spans="1:20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9">
        <v>0</v>
      </c>
      <c r="P29" s="249">
        <v>-15000</v>
      </c>
      <c r="Q29" s="190">
        <v>-15000</v>
      </c>
      <c r="R29" s="157" t="s">
        <v>2498</v>
      </c>
    </row>
    <row r="30" spans="1:20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9">
        <v>-500</v>
      </c>
      <c r="P30" s="249">
        <v>-500</v>
      </c>
      <c r="Q30" s="190">
        <v>-500</v>
      </c>
      <c r="R30" s="157"/>
    </row>
    <row r="31" spans="1:20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9">
        <v>0</v>
      </c>
      <c r="P31" s="249">
        <v>-110000</v>
      </c>
      <c r="Q31" s="190">
        <v>-110000</v>
      </c>
      <c r="R31" s="157" t="s">
        <v>2545</v>
      </c>
      <c r="S31" s="197"/>
    </row>
    <row r="32" spans="1:20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9"/>
      <c r="P32" s="249">
        <v>0</v>
      </c>
      <c r="Q32" s="190">
        <v>0</v>
      </c>
      <c r="R32" s="155"/>
      <c r="S32" s="197"/>
    </row>
    <row r="33" spans="1:20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9">
        <f>-2835-250</f>
        <v>-3085</v>
      </c>
      <c r="P33" s="249">
        <v>-5000</v>
      </c>
      <c r="Q33" s="190">
        <v>-5000</v>
      </c>
      <c r="R33" s="157" t="s">
        <v>2499</v>
      </c>
      <c r="S33" s="197"/>
    </row>
    <row r="34" spans="1:20" x14ac:dyDescent="0.3">
      <c r="A34" s="7" t="s">
        <v>2555</v>
      </c>
      <c r="B34" s="39">
        <f t="shared" ref="B34:Q34" si="4">SUM(B18:B33)</f>
        <v>-218877</v>
      </c>
      <c r="C34" s="39">
        <f t="shared" si="4"/>
        <v>-258934</v>
      </c>
      <c r="D34" s="39">
        <f t="shared" si="4"/>
        <v>-187844</v>
      </c>
      <c r="E34" s="39">
        <f t="shared" si="4"/>
        <v>-247088.42</v>
      </c>
      <c r="F34" s="39">
        <f t="shared" si="4"/>
        <v>-325572.77</v>
      </c>
      <c r="G34" s="39">
        <f t="shared" si="4"/>
        <v>-457445</v>
      </c>
      <c r="H34" s="39">
        <f t="shared" si="4"/>
        <v>-467066</v>
      </c>
      <c r="I34" s="39">
        <f t="shared" si="4"/>
        <v>-618159</v>
      </c>
      <c r="J34" s="39">
        <f t="shared" si="4"/>
        <v>-584733</v>
      </c>
      <c r="K34" s="12">
        <f t="shared" si="4"/>
        <v>-734998</v>
      </c>
      <c r="L34" s="12">
        <f t="shared" si="4"/>
        <v>-594086</v>
      </c>
      <c r="M34" s="12">
        <f t="shared" si="4"/>
        <v>-638296</v>
      </c>
      <c r="N34" s="12">
        <f t="shared" si="4"/>
        <v>-545616</v>
      </c>
      <c r="O34" s="11">
        <f t="shared" si="4"/>
        <v>-73758</v>
      </c>
      <c r="P34" s="250">
        <f t="shared" si="4"/>
        <v>-658500</v>
      </c>
      <c r="Q34" s="191">
        <f t="shared" si="4"/>
        <v>-658500</v>
      </c>
      <c r="R34" s="205"/>
      <c r="S34" s="206"/>
    </row>
    <row r="35" spans="1:20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113"/>
      <c r="P35" s="250"/>
      <c r="Q35" s="191"/>
      <c r="R35" s="158"/>
      <c r="S35" s="207"/>
    </row>
    <row r="36" spans="1:20" s="13" customFormat="1" ht="38.25" hidden="1" customHeight="1" x14ac:dyDescent="0.3">
      <c r="A36" s="7" t="s">
        <v>48</v>
      </c>
      <c r="B36" s="39">
        <f t="shared" ref="B36:O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12">
        <f t="shared" si="5"/>
        <v>10177</v>
      </c>
      <c r="J36" s="12">
        <f t="shared" si="5"/>
        <v>36557</v>
      </c>
      <c r="K36" s="12">
        <f t="shared" si="5"/>
        <v>-84874</v>
      </c>
      <c r="L36" s="12">
        <f t="shared" si="5"/>
        <v>8025</v>
      </c>
      <c r="M36" s="12">
        <f t="shared" si="5"/>
        <v>-10322</v>
      </c>
      <c r="N36" s="12">
        <f t="shared" si="5"/>
        <v>122284</v>
      </c>
      <c r="O36" s="11">
        <f t="shared" si="5"/>
        <v>16476</v>
      </c>
      <c r="P36" s="250">
        <f>P15+P34</f>
        <v>-58500</v>
      </c>
      <c r="Q36" s="191">
        <f>Q15+Q34</f>
        <v>-58500</v>
      </c>
      <c r="R36" s="158"/>
      <c r="S36" s="207"/>
    </row>
    <row r="37" spans="1:20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1"/>
      <c r="P37" s="250"/>
      <c r="Q37" s="191"/>
      <c r="R37" s="158"/>
      <c r="S37" s="207"/>
    </row>
    <row r="38" spans="1:20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1">
        <v>0</v>
      </c>
      <c r="P38" s="250">
        <v>0</v>
      </c>
      <c r="Q38" s="191">
        <v>0</v>
      </c>
      <c r="R38" s="155"/>
      <c r="S38" s="206"/>
    </row>
    <row r="39" spans="1:20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4"/>
      <c r="P39" s="251"/>
      <c r="Q39" s="210"/>
      <c r="R39" s="205"/>
      <c r="S39" s="206"/>
    </row>
    <row r="40" spans="1:20" s="13" customFormat="1" ht="16.2" thickBot="1" x14ac:dyDescent="0.35">
      <c r="A40" s="7" t="s">
        <v>2557</v>
      </c>
      <c r="B40" s="39">
        <f t="shared" ref="B40:K40" si="6">+B38+B36</f>
        <v>-34674</v>
      </c>
      <c r="C40" s="39">
        <f t="shared" si="6"/>
        <v>76791</v>
      </c>
      <c r="D40" s="39">
        <f t="shared" si="6"/>
        <v>22713</v>
      </c>
      <c r="E40" s="39">
        <f t="shared" si="6"/>
        <v>-15009.140000000043</v>
      </c>
      <c r="F40" s="39">
        <f t="shared" si="6"/>
        <v>-35959.489999999991</v>
      </c>
      <c r="G40" s="39">
        <f t="shared" si="6"/>
        <v>-181974</v>
      </c>
      <c r="H40" s="39">
        <f t="shared" si="6"/>
        <v>13685</v>
      </c>
      <c r="I40" s="12">
        <f t="shared" si="6"/>
        <v>10177</v>
      </c>
      <c r="J40" s="12">
        <f>+J38+J36</f>
        <v>36557</v>
      </c>
      <c r="K40" s="12">
        <f t="shared" si="6"/>
        <v>-84874</v>
      </c>
      <c r="L40" s="12">
        <f t="shared" ref="L40:Q40" si="7">+L38+L36</f>
        <v>8025</v>
      </c>
      <c r="M40" s="12">
        <f t="shared" si="7"/>
        <v>-10322</v>
      </c>
      <c r="N40" s="12">
        <f t="shared" si="7"/>
        <v>122284</v>
      </c>
      <c r="O40" s="154">
        <f t="shared" si="7"/>
        <v>16476</v>
      </c>
      <c r="P40" s="252">
        <f t="shared" si="7"/>
        <v>-58500</v>
      </c>
      <c r="Q40" s="192">
        <f t="shared" si="7"/>
        <v>-58500</v>
      </c>
      <c r="R40" s="155"/>
      <c r="S40" s="208"/>
    </row>
    <row r="41" spans="1:20" s="13" customFormat="1" x14ac:dyDescent="0.3">
      <c r="A41" s="4"/>
      <c r="B41" s="4"/>
      <c r="C41" s="4"/>
      <c r="D41" s="4"/>
      <c r="E41" s="4"/>
      <c r="F41" s="4"/>
      <c r="G41" s="4"/>
      <c r="H41" s="4"/>
      <c r="P41" s="58"/>
      <c r="Q41" s="58"/>
      <c r="R41" s="196"/>
      <c r="S41" s="155"/>
    </row>
    <row r="42" spans="1:20" x14ac:dyDescent="0.3">
      <c r="P42" s="55"/>
      <c r="Q42" s="261"/>
      <c r="R42" s="155"/>
    </row>
    <row r="43" spans="1:20" x14ac:dyDescent="0.3">
      <c r="P43" s="99"/>
    </row>
    <row r="44" spans="1:20" x14ac:dyDescent="0.3">
      <c r="P44" s="222"/>
    </row>
    <row r="45" spans="1:20" x14ac:dyDescent="0.3">
      <c r="P45" s="207"/>
    </row>
    <row r="46" spans="1:20" x14ac:dyDescent="0.3">
      <c r="P46" s="222"/>
    </row>
    <row r="47" spans="1:20" s="4" customFormat="1" x14ac:dyDescent="0.3">
      <c r="P47" s="99"/>
      <c r="R47" s="196"/>
      <c r="S47" s="155"/>
      <c r="T47" s="1"/>
    </row>
    <row r="48" spans="1:20" s="4" customFormat="1" x14ac:dyDescent="0.3">
      <c r="P48" s="99"/>
      <c r="R48" s="196"/>
      <c r="S48" s="155"/>
      <c r="T48" s="1"/>
    </row>
    <row r="49" spans="16:20" s="4" customFormat="1" x14ac:dyDescent="0.3">
      <c r="P49" s="99"/>
      <c r="R49" s="196"/>
      <c r="S49" s="155"/>
      <c r="T49" s="1"/>
    </row>
    <row r="50" spans="16:20" s="4" customFormat="1" x14ac:dyDescent="0.3">
      <c r="P50" s="99"/>
      <c r="R50" s="196"/>
      <c r="S50" s="155"/>
      <c r="T50" s="1"/>
    </row>
    <row r="51" spans="16:20" x14ac:dyDescent="0.3">
      <c r="P51" s="99"/>
    </row>
    <row r="52" spans="16:20" x14ac:dyDescent="0.3">
      <c r="P52" s="223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64F4-19E3-437B-AC8C-92B6E6DB29E0}">
  <sheetPr>
    <tabColor theme="5" tint="-0.249977111117893"/>
    <pageSetUpPr fitToPage="1"/>
  </sheetPr>
  <dimension ref="A1:R50"/>
  <sheetViews>
    <sheetView zoomScaleNormal="100" workbookViewId="0">
      <pane xSplit="1" ySplit="3" topLeftCell="K21" activePane="bottomRight" state="frozen"/>
      <selection pane="topRight" activeCell="B1" sqref="B1"/>
      <selection pane="bottomLeft" activeCell="A4" sqref="A4"/>
      <selection pane="bottomRight" activeCell="O6" sqref="O6:O40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4" width="16.44140625" style="1" customWidth="1"/>
    <col min="15" max="15" width="18.5546875" style="1" customWidth="1"/>
    <col min="16" max="16" width="27" style="196" customWidth="1"/>
    <col min="17" max="17" width="12" style="155" customWidth="1"/>
    <col min="18" max="16384" width="9.109375" style="1"/>
  </cols>
  <sheetData>
    <row r="1" spans="1:17" ht="31.8" thickBot="1" x14ac:dyDescent="0.65">
      <c r="A1" s="211" t="s">
        <v>486</v>
      </c>
      <c r="B1" s="254"/>
      <c r="C1" s="255"/>
      <c r="D1" s="255"/>
      <c r="G1" s="1"/>
      <c r="I1" s="4"/>
      <c r="K1" s="291" t="s">
        <v>487</v>
      </c>
      <c r="L1" s="291"/>
      <c r="M1" s="291"/>
      <c r="N1" s="291"/>
      <c r="O1" s="292"/>
    </row>
    <row r="2" spans="1:17" ht="16.2" thickBot="1" x14ac:dyDescent="0.35"/>
    <row r="3" spans="1:17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37">
        <v>2016</v>
      </c>
      <c r="K3" s="241">
        <v>2017</v>
      </c>
      <c r="L3" s="37">
        <v>2018</v>
      </c>
      <c r="M3" s="37">
        <v>2019</v>
      </c>
      <c r="N3" s="241">
        <v>2020</v>
      </c>
      <c r="O3" s="240" t="s">
        <v>2567</v>
      </c>
      <c r="P3" s="156"/>
      <c r="Q3" s="156"/>
    </row>
    <row r="4" spans="1:17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263"/>
      <c r="N4" s="110"/>
      <c r="O4" s="209"/>
      <c r="P4" s="156"/>
      <c r="Q4" s="156"/>
    </row>
    <row r="5" spans="1:17" ht="16.2" thickBot="1" x14ac:dyDescent="0.35">
      <c r="A5" s="32" t="s">
        <v>19</v>
      </c>
      <c r="B5" s="10"/>
      <c r="C5" s="7"/>
      <c r="D5" s="7"/>
      <c r="I5" s="4"/>
      <c r="J5" s="4"/>
      <c r="K5" s="262"/>
      <c r="L5" s="262"/>
      <c r="M5" s="264"/>
      <c r="N5" s="237"/>
      <c r="O5" s="8"/>
      <c r="P5" s="155"/>
    </row>
    <row r="6" spans="1:17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38">
        <v>183801</v>
      </c>
      <c r="L6" s="38">
        <v>157419</v>
      </c>
      <c r="M6" s="38">
        <v>174547</v>
      </c>
      <c r="N6" s="9">
        <v>201753</v>
      </c>
      <c r="O6" s="190">
        <v>180000</v>
      </c>
      <c r="P6" s="217"/>
    </row>
    <row r="7" spans="1:17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38">
        <v>131700</v>
      </c>
      <c r="L7" s="38">
        <v>136075</v>
      </c>
      <c r="M7" s="38">
        <v>171450</v>
      </c>
      <c r="N7" s="9">
        <v>179900</v>
      </c>
      <c r="O7" s="190">
        <v>180000</v>
      </c>
      <c r="P7" s="236"/>
    </row>
    <row r="8" spans="1:17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38">
        <v>96525</v>
      </c>
      <c r="L8" s="38">
        <v>71440</v>
      </c>
      <c r="M8" s="38">
        <v>94105</v>
      </c>
      <c r="N8" s="9">
        <v>36227</v>
      </c>
      <c r="O8" s="190">
        <v>50000</v>
      </c>
      <c r="P8" s="155"/>
    </row>
    <row r="9" spans="1:17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38">
        <v>13700</v>
      </c>
      <c r="L9" s="38">
        <v>18200</v>
      </c>
      <c r="M9" s="38">
        <v>12988</v>
      </c>
      <c r="N9" s="9">
        <v>20320</v>
      </c>
      <c r="O9" s="190">
        <v>15000</v>
      </c>
      <c r="P9" s="217"/>
    </row>
    <row r="10" spans="1:17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38">
        <v>104297</v>
      </c>
      <c r="L10" s="38">
        <v>93420</v>
      </c>
      <c r="M10" s="38">
        <v>63900</v>
      </c>
      <c r="N10" s="9">
        <v>40260</v>
      </c>
      <c r="O10" s="190">
        <v>40000</v>
      </c>
      <c r="P10" s="217"/>
    </row>
    <row r="11" spans="1:17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38">
        <v>85200</v>
      </c>
      <c r="L11" s="38">
        <v>69517</v>
      </c>
      <c r="M11" s="38">
        <v>89680</v>
      </c>
      <c r="N11" s="9">
        <v>95633</v>
      </c>
      <c r="O11" s="190">
        <v>95000</v>
      </c>
      <c r="P11" s="155"/>
    </row>
    <row r="12" spans="1:17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38">
        <v>5455</v>
      </c>
      <c r="L12" s="38">
        <v>0</v>
      </c>
      <c r="M12" s="38">
        <v>0</v>
      </c>
      <c r="N12" s="9">
        <v>0</v>
      </c>
      <c r="O12" s="190">
        <v>0</v>
      </c>
      <c r="P12" s="155"/>
    </row>
    <row r="13" spans="1:17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38">
        <v>0</v>
      </c>
      <c r="L13" s="38">
        <v>0</v>
      </c>
      <c r="M13" s="38">
        <v>0</v>
      </c>
      <c r="N13" s="9">
        <v>0</v>
      </c>
      <c r="O13" s="190">
        <v>0</v>
      </c>
      <c r="P13" s="155"/>
    </row>
    <row r="14" spans="1:17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38">
        <v>29446</v>
      </c>
      <c r="L14" s="38">
        <v>56040</v>
      </c>
      <c r="M14" s="38">
        <v>21304</v>
      </c>
      <c r="N14" s="9">
        <v>93807</v>
      </c>
      <c r="O14" s="190">
        <v>40000</v>
      </c>
      <c r="P14" s="217"/>
    </row>
    <row r="15" spans="1:17" x14ac:dyDescent="0.3">
      <c r="A15" s="7" t="s">
        <v>2554</v>
      </c>
      <c r="B15" s="39">
        <f t="shared" ref="B15:O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si="0"/>
        <v>621290</v>
      </c>
      <c r="K15" s="39">
        <f t="shared" si="0"/>
        <v>650124</v>
      </c>
      <c r="L15" s="39">
        <f>SUM(L6:L14)</f>
        <v>602111</v>
      </c>
      <c r="M15" s="39">
        <v>627974</v>
      </c>
      <c r="N15" s="11">
        <f>SUM(N6:N14)</f>
        <v>667900</v>
      </c>
      <c r="O15" s="191">
        <f t="shared" si="0"/>
        <v>600000</v>
      </c>
      <c r="P15" s="155"/>
    </row>
    <row r="16" spans="1:17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K16" s="40"/>
      <c r="N16" s="111"/>
      <c r="O16" s="190"/>
      <c r="P16" s="155"/>
    </row>
    <row r="17" spans="1:18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K17" s="41"/>
      <c r="N17" s="112"/>
      <c r="O17" s="190"/>
      <c r="P17" s="159"/>
      <c r="Q17" s="159"/>
    </row>
    <row r="18" spans="1:18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38">
        <v>-134562</v>
      </c>
      <c r="L18" s="38">
        <v>-150140</v>
      </c>
      <c r="M18" s="38">
        <v>-104717</v>
      </c>
      <c r="N18" s="9">
        <v>-122818</v>
      </c>
      <c r="O18" s="190">
        <v>-130000</v>
      </c>
      <c r="P18" s="155"/>
      <c r="Q18" s="197"/>
      <c r="R18" s="55"/>
    </row>
    <row r="19" spans="1:18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38">
        <v>-201761</v>
      </c>
      <c r="L19" s="38">
        <v>-70226</v>
      </c>
      <c r="M19" s="38">
        <v>-120875</v>
      </c>
      <c r="N19" s="9">
        <v>-81372</v>
      </c>
      <c r="O19" s="190">
        <v>-140000</v>
      </c>
      <c r="P19" s="157"/>
      <c r="Q19" s="197"/>
    </row>
    <row r="20" spans="1:18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38">
        <v>-17887</v>
      </c>
      <c r="L20" s="38">
        <v>-4522</v>
      </c>
      <c r="M20" s="38">
        <v>0</v>
      </c>
      <c r="N20" s="9">
        <v>-469</v>
      </c>
      <c r="O20" s="190">
        <v>0</v>
      </c>
      <c r="P20" s="157"/>
      <c r="Q20" s="197"/>
    </row>
    <row r="21" spans="1:18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38">
        <v>-38345</v>
      </c>
      <c r="L21" s="38">
        <v>-52120</v>
      </c>
      <c r="M21" s="38">
        <v>-70704</v>
      </c>
      <c r="N21" s="9">
        <v>-10498</v>
      </c>
      <c r="O21" s="190">
        <v>-30000</v>
      </c>
      <c r="P21" s="155"/>
      <c r="Q21" s="197"/>
    </row>
    <row r="22" spans="1:18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38">
        <v>-40515</v>
      </c>
      <c r="L22" s="38">
        <v>-23150</v>
      </c>
      <c r="M22" s="38">
        <v>-39500</v>
      </c>
      <c r="N22" s="9">
        <v>-35192</v>
      </c>
      <c r="O22" s="190">
        <v>-40000</v>
      </c>
      <c r="P22" s="155"/>
      <c r="Q22" s="197"/>
    </row>
    <row r="23" spans="1:18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38">
        <v>-76389</v>
      </c>
      <c r="L23" s="38">
        <v>-81515</v>
      </c>
      <c r="M23" s="38">
        <v>-88679</v>
      </c>
      <c r="N23" s="9">
        <v>-72732</v>
      </c>
      <c r="O23" s="190">
        <v>-90000</v>
      </c>
      <c r="P23" s="157"/>
      <c r="Q23" s="197"/>
    </row>
    <row r="24" spans="1:18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38">
        <v>-2500</v>
      </c>
      <c r="L24" s="38">
        <v>-3050</v>
      </c>
      <c r="M24" s="38">
        <v>-3860</v>
      </c>
      <c r="N24" s="9">
        <v>-7420</v>
      </c>
      <c r="O24" s="190">
        <v>-8000</v>
      </c>
      <c r="P24" s="155"/>
      <c r="Q24" s="197"/>
    </row>
    <row r="25" spans="1:18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38">
        <v>-23700</v>
      </c>
      <c r="L25" s="38">
        <v>-23490</v>
      </c>
      <c r="M25" s="38">
        <v>-20500</v>
      </c>
      <c r="N25" s="9">
        <v>-6700</v>
      </c>
      <c r="O25" s="190">
        <v>-15000</v>
      </c>
      <c r="P25" s="157"/>
      <c r="Q25" s="197"/>
    </row>
    <row r="26" spans="1:18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38">
        <v>-30550</v>
      </c>
      <c r="L26" s="38">
        <v>-32750</v>
      </c>
      <c r="M26" s="38">
        <v>-41400</v>
      </c>
      <c r="N26" s="9">
        <v>-35920</v>
      </c>
      <c r="O26" s="190">
        <v>-35000</v>
      </c>
      <c r="P26" s="157"/>
      <c r="Q26" s="197"/>
    </row>
    <row r="27" spans="1:18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38">
        <v>-14710</v>
      </c>
      <c r="L27" s="38">
        <v>-18980</v>
      </c>
      <c r="M27" s="38">
        <v>-15500</v>
      </c>
      <c r="N27" s="9">
        <v>-14350</v>
      </c>
      <c r="O27" s="190">
        <v>-15000</v>
      </c>
      <c r="P27" s="155"/>
      <c r="Q27" s="197"/>
    </row>
    <row r="28" spans="1:18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38">
        <v>-39400</v>
      </c>
      <c r="L28" s="38">
        <v>-28600</v>
      </c>
      <c r="M28" s="38">
        <v>-18000</v>
      </c>
      <c r="N28" s="9">
        <v>-25600</v>
      </c>
      <c r="O28" s="190">
        <v>-25000</v>
      </c>
      <c r="P28" s="157"/>
      <c r="Q28" s="197"/>
    </row>
    <row r="29" spans="1:18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38">
        <v>-10000</v>
      </c>
      <c r="L29" s="38">
        <v>-14500</v>
      </c>
      <c r="M29" s="38">
        <v>-12500</v>
      </c>
      <c r="N29" s="9">
        <v>-14000</v>
      </c>
      <c r="O29" s="190">
        <v>-15000</v>
      </c>
      <c r="P29" s="157"/>
    </row>
    <row r="30" spans="1:18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38">
        <v>-3000</v>
      </c>
      <c r="L30" s="38">
        <v>-500</v>
      </c>
      <c r="M30" s="38">
        <v>-500</v>
      </c>
      <c r="N30" s="9">
        <v>-500</v>
      </c>
      <c r="O30" s="190">
        <v>-500</v>
      </c>
      <c r="P30" s="157"/>
    </row>
    <row r="31" spans="1:18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38">
        <v>-90569</v>
      </c>
      <c r="L31" s="38">
        <v>-87302</v>
      </c>
      <c r="M31" s="38">
        <v>-94382</v>
      </c>
      <c r="N31" s="9">
        <v>-111217</v>
      </c>
      <c r="O31" s="190">
        <v>-110000</v>
      </c>
      <c r="P31" s="155"/>
      <c r="Q31" s="197"/>
    </row>
    <row r="32" spans="1:18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38">
        <v>0</v>
      </c>
      <c r="L32" s="38">
        <v>0</v>
      </c>
      <c r="M32" s="38">
        <v>0</v>
      </c>
      <c r="N32" s="9">
        <v>0</v>
      </c>
      <c r="O32" s="190">
        <v>0</v>
      </c>
      <c r="P32" s="155"/>
      <c r="Q32" s="197"/>
    </row>
    <row r="33" spans="1:18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38">
        <v>-11110</v>
      </c>
      <c r="L33" s="38">
        <f>-1688+-1553</f>
        <v>-3241</v>
      </c>
      <c r="M33" s="38">
        <v>-7179</v>
      </c>
      <c r="N33" s="9">
        <f>-2226-250-4352</f>
        <v>-6828</v>
      </c>
      <c r="O33" s="190">
        <v>-5000</v>
      </c>
      <c r="P33" s="155"/>
      <c r="Q33" s="197"/>
    </row>
    <row r="34" spans="1:18" x14ac:dyDescent="0.3">
      <c r="A34" s="7" t="s">
        <v>2555</v>
      </c>
      <c r="B34" s="39">
        <f>SUM(B18:B33)</f>
        <v>-218877</v>
      </c>
      <c r="C34" s="39">
        <f t="shared" ref="C34:H34" si="1">SUM(C18:C33)</f>
        <v>-258934</v>
      </c>
      <c r="D34" s="39">
        <f t="shared" si="1"/>
        <v>-187844</v>
      </c>
      <c r="E34" s="39">
        <f t="shared" si="1"/>
        <v>-247088.42</v>
      </c>
      <c r="F34" s="39">
        <f t="shared" si="1"/>
        <v>-325572.77</v>
      </c>
      <c r="G34" s="39">
        <f t="shared" si="1"/>
        <v>-457445</v>
      </c>
      <c r="H34" s="39">
        <f t="shared" si="1"/>
        <v>-467066</v>
      </c>
      <c r="I34" s="39">
        <f>SUM(I18:I33)</f>
        <v>-618159</v>
      </c>
      <c r="J34" s="39">
        <f>SUM(J18:J33)</f>
        <v>-584733</v>
      </c>
      <c r="K34" s="39">
        <f>SUM(K18:K33)</f>
        <v>-734998</v>
      </c>
      <c r="L34" s="39">
        <f t="shared" ref="L34" si="2">SUM(L18:L33)</f>
        <v>-594086</v>
      </c>
      <c r="M34" s="39">
        <v>-638296</v>
      </c>
      <c r="N34" s="11">
        <f t="shared" ref="N34" si="3">SUM(N18:N33)</f>
        <v>-545616</v>
      </c>
      <c r="O34" s="191">
        <f>SUM(O18:O33)</f>
        <v>-658500</v>
      </c>
      <c r="P34" s="205"/>
      <c r="Q34" s="206"/>
    </row>
    <row r="35" spans="1:18" hidden="1" x14ac:dyDescent="0.3">
      <c r="A35" s="7"/>
      <c r="B35" s="41"/>
      <c r="C35" s="41"/>
      <c r="D35" s="41"/>
      <c r="E35" s="39"/>
      <c r="F35" s="39"/>
      <c r="G35" s="39"/>
      <c r="H35" s="39"/>
      <c r="I35" s="259"/>
      <c r="J35" s="259"/>
      <c r="K35" s="259"/>
      <c r="L35" s="259"/>
      <c r="M35" s="259"/>
      <c r="N35" s="113"/>
      <c r="O35" s="191"/>
      <c r="P35" s="158"/>
      <c r="Q35" s="207"/>
    </row>
    <row r="36" spans="1:18" s="13" customFormat="1" hidden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39">
        <f t="shared" si="4"/>
        <v>10177</v>
      </c>
      <c r="J36" s="39">
        <f t="shared" si="4"/>
        <v>36557</v>
      </c>
      <c r="K36" s="39">
        <f t="shared" si="4"/>
        <v>-84874</v>
      </c>
      <c r="L36" s="39">
        <f>+L34+L15</f>
        <v>8025</v>
      </c>
      <c r="M36" s="39">
        <v>-10322</v>
      </c>
      <c r="N36" s="11">
        <f>+N34+N15</f>
        <v>122284</v>
      </c>
      <c r="O36" s="191">
        <f>O15+O34</f>
        <v>-58500</v>
      </c>
      <c r="P36" s="158"/>
      <c r="Q36" s="207"/>
    </row>
    <row r="37" spans="1:18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39"/>
      <c r="J37" s="39"/>
      <c r="K37" s="39"/>
      <c r="L37" s="39"/>
      <c r="M37" s="39"/>
      <c r="N37" s="11"/>
      <c r="O37" s="191"/>
      <c r="P37" s="158"/>
      <c r="Q37" s="207"/>
    </row>
    <row r="38" spans="1:18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11">
        <v>0</v>
      </c>
      <c r="O38" s="191">
        <v>0</v>
      </c>
      <c r="P38" s="155"/>
      <c r="Q38" s="206"/>
    </row>
    <row r="39" spans="1:18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39"/>
      <c r="J39" s="39"/>
      <c r="K39" s="39"/>
      <c r="L39" s="39"/>
      <c r="M39" s="260"/>
      <c r="N39" s="11"/>
      <c r="O39" s="210"/>
      <c r="P39" s="205"/>
      <c r="Q39" s="206"/>
    </row>
    <row r="40" spans="1:18" s="13" customFormat="1" ht="16.2" thickBot="1" x14ac:dyDescent="0.35">
      <c r="A40" s="7" t="s">
        <v>2556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248">
        <f t="shared" si="5"/>
        <v>-35959.489999999991</v>
      </c>
      <c r="G40" s="248">
        <f t="shared" si="5"/>
        <v>-181974</v>
      </c>
      <c r="H40" s="248">
        <f t="shared" si="5"/>
        <v>13685</v>
      </c>
      <c r="I40" s="248">
        <f t="shared" si="5"/>
        <v>10177</v>
      </c>
      <c r="J40" s="248">
        <f t="shared" si="5"/>
        <v>36557</v>
      </c>
      <c r="K40" s="248">
        <f t="shared" si="5"/>
        <v>-84874</v>
      </c>
      <c r="L40" s="248">
        <f>+L38+L36</f>
        <v>8025</v>
      </c>
      <c r="M40" s="248">
        <v>-10322</v>
      </c>
      <c r="N40" s="154">
        <f>+N38+N36</f>
        <v>122284</v>
      </c>
      <c r="O40" s="192">
        <f>+O38+O36</f>
        <v>-58500</v>
      </c>
      <c r="P40" s="155"/>
      <c r="Q40" s="208"/>
    </row>
    <row r="41" spans="1:18" s="13" customFormat="1" x14ac:dyDescent="0.3">
      <c r="A41" s="4"/>
      <c r="B41" s="4"/>
      <c r="C41" s="4"/>
      <c r="D41" s="4"/>
      <c r="E41" s="4"/>
      <c r="F41" s="4"/>
      <c r="G41" s="4"/>
      <c r="H41" s="4"/>
      <c r="O41" s="58"/>
      <c r="P41" s="196"/>
      <c r="Q41" s="155"/>
    </row>
    <row r="47" spans="1:18" s="4" customFormat="1" x14ac:dyDescent="0.3">
      <c r="P47" s="196"/>
      <c r="Q47" s="155"/>
      <c r="R47" s="1"/>
    </row>
    <row r="48" spans="1:18" s="4" customFormat="1" x14ac:dyDescent="0.3">
      <c r="P48" s="196"/>
      <c r="Q48" s="155"/>
      <c r="R48" s="1"/>
    </row>
    <row r="49" spans="16:18" s="4" customFormat="1" x14ac:dyDescent="0.3">
      <c r="P49" s="196"/>
      <c r="Q49" s="155"/>
      <c r="R49" s="1"/>
    </row>
    <row r="50" spans="16:18" s="4" customFormat="1" x14ac:dyDescent="0.3">
      <c r="P50" s="196"/>
      <c r="Q50" s="155"/>
      <c r="R50" s="1"/>
    </row>
  </sheetData>
  <mergeCells count="1">
    <mergeCell ref="K1:O1"/>
  </mergeCells>
  <pageMargins left="0.7" right="0.7" top="0.75" bottom="0.75" header="0.3" footer="0.3"/>
  <pageSetup paperSize="9" scale="73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9448F-0974-47F7-9C99-BF08EDB836C0}">
  <sheetPr>
    <tabColor theme="9" tint="-0.499984740745262"/>
    <pageSetUpPr fitToPage="1"/>
  </sheetPr>
  <dimension ref="A1:G34"/>
  <sheetViews>
    <sheetView workbookViewId="0"/>
  </sheetViews>
  <sheetFormatPr defaultColWidth="9.109375" defaultRowHeight="14.4" x14ac:dyDescent="0.3"/>
  <cols>
    <col min="1" max="1" width="9.109375" style="1"/>
    <col min="2" max="2" width="39.6640625" style="1" customWidth="1"/>
    <col min="3" max="5" width="13.6640625" style="1" customWidth="1"/>
    <col min="6" max="16384" width="9.109375" style="1"/>
  </cols>
  <sheetData>
    <row r="1" spans="1:7" ht="34.200000000000003" thickBot="1" x14ac:dyDescent="0.7">
      <c r="A1" s="193" t="s">
        <v>2566</v>
      </c>
      <c r="B1" s="194"/>
      <c r="C1" s="195"/>
      <c r="D1" s="195"/>
      <c r="E1" s="194"/>
    </row>
    <row r="2" spans="1:7" ht="18.75" customHeight="1" thickBot="1" x14ac:dyDescent="0.7">
      <c r="A2" s="135"/>
      <c r="B2" s="130"/>
      <c r="E2" s="136"/>
    </row>
    <row r="3" spans="1:7" ht="15" thickBot="1" x14ac:dyDescent="0.35">
      <c r="A3" s="124"/>
      <c r="C3" s="102" t="s">
        <v>0</v>
      </c>
      <c r="D3" s="102" t="s">
        <v>904</v>
      </c>
      <c r="E3" s="102" t="s">
        <v>2</v>
      </c>
    </row>
    <row r="4" spans="1:7" ht="15" thickBot="1" x14ac:dyDescent="0.35">
      <c r="A4" s="147" t="s">
        <v>905</v>
      </c>
      <c r="C4" s="103">
        <v>43830</v>
      </c>
      <c r="D4" s="104"/>
      <c r="E4" s="103">
        <v>44196</v>
      </c>
    </row>
    <row r="5" spans="1:7" x14ac:dyDescent="0.3">
      <c r="A5" s="124"/>
      <c r="E5" s="136"/>
    </row>
    <row r="6" spans="1:7" ht="15.6" x14ac:dyDescent="0.3">
      <c r="A6" s="146" t="s">
        <v>906</v>
      </c>
      <c r="E6" s="136"/>
    </row>
    <row r="7" spans="1:7" ht="15" thickBot="1" x14ac:dyDescent="0.35">
      <c r="A7" s="124"/>
      <c r="B7" s="1" t="s">
        <v>5</v>
      </c>
      <c r="C7" s="105">
        <v>0</v>
      </c>
      <c r="D7" s="105">
        <v>0</v>
      </c>
      <c r="E7" s="140">
        <v>0</v>
      </c>
    </row>
    <row r="8" spans="1:7" x14ac:dyDescent="0.3">
      <c r="A8" s="137" t="s">
        <v>907</v>
      </c>
      <c r="C8" s="106">
        <f>SUM(C7:C7)</f>
        <v>0</v>
      </c>
      <c r="D8" s="106">
        <f>SUM(D7:D7)</f>
        <v>0</v>
      </c>
      <c r="E8" s="141">
        <f>SUM(E7:E7)</f>
        <v>0</v>
      </c>
    </row>
    <row r="9" spans="1:7" x14ac:dyDescent="0.3">
      <c r="A9" s="124"/>
      <c r="C9" s="138"/>
      <c r="D9" s="138"/>
      <c r="E9" s="139"/>
    </row>
    <row r="10" spans="1:7" ht="15.6" x14ac:dyDescent="0.3">
      <c r="A10" s="146" t="s">
        <v>9</v>
      </c>
      <c r="C10" s="138"/>
      <c r="D10" s="138"/>
      <c r="E10" s="139"/>
    </row>
    <row r="11" spans="1:7" x14ac:dyDescent="0.3">
      <c r="A11" s="124"/>
      <c r="B11" s="55" t="s">
        <v>908</v>
      </c>
      <c r="C11" s="138">
        <v>793.74</v>
      </c>
      <c r="D11" s="138">
        <f>+E11-C11</f>
        <v>-793.74</v>
      </c>
      <c r="E11" s="139">
        <v>0</v>
      </c>
    </row>
    <row r="12" spans="1:7" x14ac:dyDescent="0.3">
      <c r="A12" s="124"/>
      <c r="B12" s="55" t="s">
        <v>2432</v>
      </c>
      <c r="C12" s="138">
        <v>111546.29</v>
      </c>
      <c r="D12" s="138">
        <f>+E12-C12</f>
        <v>98921.04</v>
      </c>
      <c r="E12" s="184">
        <v>210467.33</v>
      </c>
    </row>
    <row r="13" spans="1:7" ht="15" thickBot="1" x14ac:dyDescent="0.35">
      <c r="A13" s="124"/>
      <c r="B13" s="55" t="s">
        <v>2433</v>
      </c>
      <c r="C13" s="107">
        <v>0</v>
      </c>
      <c r="D13" s="105">
        <f>+E13-C13</f>
        <v>0</v>
      </c>
      <c r="E13" s="142">
        <v>0</v>
      </c>
      <c r="G13" s="2"/>
    </row>
    <row r="14" spans="1:7" x14ac:dyDescent="0.3">
      <c r="A14" s="137" t="s">
        <v>14</v>
      </c>
      <c r="C14" s="106">
        <f>SUM(C11:C13)</f>
        <v>112340.03</v>
      </c>
      <c r="D14" s="106">
        <f>SUM(D11:D13)</f>
        <v>98127.299999999988</v>
      </c>
      <c r="E14" s="141">
        <f>SUM(E11:E13)</f>
        <v>210467.33</v>
      </c>
    </row>
    <row r="15" spans="1:7" x14ac:dyDescent="0.3">
      <c r="A15" s="124"/>
      <c r="C15" s="138"/>
      <c r="D15" s="138"/>
      <c r="E15" s="139"/>
    </row>
    <row r="16" spans="1:7" ht="15.6" x14ac:dyDescent="0.3">
      <c r="A16" s="146" t="s">
        <v>911</v>
      </c>
      <c r="C16" s="138"/>
      <c r="D16" s="138"/>
      <c r="E16" s="139"/>
    </row>
    <row r="17" spans="1:5" ht="15" thickBot="1" x14ac:dyDescent="0.35">
      <c r="A17" s="122"/>
      <c r="B17" s="55"/>
      <c r="C17" s="107">
        <v>0</v>
      </c>
      <c r="D17" s="105">
        <f>+E17-C17</f>
        <v>0</v>
      </c>
      <c r="E17" s="142">
        <v>0</v>
      </c>
    </row>
    <row r="18" spans="1:5" x14ac:dyDescent="0.3">
      <c r="A18" s="137" t="s">
        <v>913</v>
      </c>
      <c r="C18" s="106">
        <f>SUM(C17:C17)</f>
        <v>0</v>
      </c>
      <c r="D18" s="106">
        <f>SUM(D17:D17)</f>
        <v>0</v>
      </c>
      <c r="E18" s="141">
        <f>SUM(E17:E17)</f>
        <v>0</v>
      </c>
    </row>
    <row r="19" spans="1:5" x14ac:dyDescent="0.3">
      <c r="A19" s="124"/>
      <c r="C19" s="138"/>
      <c r="D19" s="138"/>
      <c r="E19" s="139"/>
    </row>
    <row r="20" spans="1:5" s="58" customFormat="1" ht="15" thickBot="1" x14ac:dyDescent="0.35">
      <c r="A20" s="143" t="s">
        <v>15</v>
      </c>
      <c r="C20" s="108">
        <f>+C8+C14+C18</f>
        <v>112340.03</v>
      </c>
      <c r="D20" s="108">
        <f>+E20-C20</f>
        <v>98127.299999999988</v>
      </c>
      <c r="E20" s="144">
        <f>+E8+E14+E17</f>
        <v>210467.33</v>
      </c>
    </row>
    <row r="21" spans="1:5" ht="15" thickTop="1" x14ac:dyDescent="0.3">
      <c r="A21" s="124"/>
      <c r="C21" s="138"/>
      <c r="D21" s="138"/>
      <c r="E21" s="139"/>
    </row>
    <row r="22" spans="1:5" x14ac:dyDescent="0.3">
      <c r="A22" s="124"/>
      <c r="C22" s="138"/>
      <c r="D22" s="138"/>
      <c r="E22" s="139"/>
    </row>
    <row r="23" spans="1:5" x14ac:dyDescent="0.3">
      <c r="A23" s="147" t="s">
        <v>923</v>
      </c>
      <c r="C23" s="138"/>
      <c r="D23" s="138"/>
      <c r="E23" s="139"/>
    </row>
    <row r="24" spans="1:5" x14ac:dyDescent="0.3">
      <c r="A24" s="124"/>
      <c r="C24" s="138"/>
      <c r="D24" s="138"/>
      <c r="E24" s="139"/>
    </row>
    <row r="25" spans="1:5" ht="15.6" x14ac:dyDescent="0.3">
      <c r="A25" s="146" t="s">
        <v>2461</v>
      </c>
      <c r="C25" s="138"/>
      <c r="D25" s="138"/>
      <c r="E25" s="139"/>
    </row>
    <row r="26" spans="1:5" ht="15" thickBot="1" x14ac:dyDescent="0.35">
      <c r="A26" s="122"/>
      <c r="B26" s="55" t="s">
        <v>2463</v>
      </c>
      <c r="C26" s="107">
        <v>13834</v>
      </c>
      <c r="D26" s="105">
        <f>+E26-C26</f>
        <v>-13834</v>
      </c>
      <c r="E26" s="142">
        <v>0</v>
      </c>
    </row>
    <row r="27" spans="1:5" x14ac:dyDescent="0.3">
      <c r="A27" s="137" t="s">
        <v>2462</v>
      </c>
      <c r="C27" s="106">
        <f>SUM(C26:C26)</f>
        <v>13834</v>
      </c>
      <c r="D27" s="106">
        <f>SUM(D26:D26)</f>
        <v>-13834</v>
      </c>
      <c r="E27" s="141">
        <f>SUM(E26:E26)</f>
        <v>0</v>
      </c>
    </row>
    <row r="28" spans="1:5" x14ac:dyDescent="0.3">
      <c r="A28" s="137"/>
      <c r="C28" s="106"/>
      <c r="D28" s="106"/>
      <c r="E28" s="141"/>
    </row>
    <row r="29" spans="1:5" ht="15.6" x14ac:dyDescent="0.3">
      <c r="A29" s="146" t="s">
        <v>8</v>
      </c>
      <c r="C29" s="138"/>
      <c r="D29" s="138"/>
      <c r="E29" s="139"/>
    </row>
    <row r="30" spans="1:5" ht="15" thickBot="1" x14ac:dyDescent="0.35">
      <c r="A30" s="124"/>
      <c r="B30" s="55" t="s">
        <v>8</v>
      </c>
      <c r="C30" s="105">
        <v>98506.03</v>
      </c>
      <c r="D30" s="105">
        <f>+E30-C30</f>
        <v>111961.29999999999</v>
      </c>
      <c r="E30" s="140">
        <v>210467.33</v>
      </c>
    </row>
    <row r="31" spans="1:5" x14ac:dyDescent="0.3">
      <c r="A31" s="137" t="s">
        <v>914</v>
      </c>
      <c r="C31" s="106">
        <f>SUM(C30:C30)</f>
        <v>98506.03</v>
      </c>
      <c r="D31" s="106">
        <f>SUM(D30:D30)</f>
        <v>111961.29999999999</v>
      </c>
      <c r="E31" s="141">
        <f>SUM(E30:E30)</f>
        <v>210467.33</v>
      </c>
    </row>
    <row r="32" spans="1:5" x14ac:dyDescent="0.3">
      <c r="A32" s="124"/>
      <c r="E32" s="136"/>
    </row>
    <row r="33" spans="1:5" s="58" customFormat="1" ht="15" thickBot="1" x14ac:dyDescent="0.35">
      <c r="A33" s="143" t="s">
        <v>915</v>
      </c>
      <c r="C33" s="108">
        <f>+C31+C27</f>
        <v>112340.03</v>
      </c>
      <c r="D33" s="108">
        <f>+D31+D27</f>
        <v>98127.299999999988</v>
      </c>
      <c r="E33" s="144">
        <f>+E31+E27</f>
        <v>210467.33</v>
      </c>
    </row>
    <row r="34" spans="1:5" ht="15.6" thickTop="1" thickBot="1" x14ac:dyDescent="0.35">
      <c r="A34" s="125"/>
      <c r="B34" s="126"/>
      <c r="C34" s="126"/>
      <c r="D34" s="126"/>
      <c r="E34" s="145"/>
    </row>
  </sheetData>
  <pageMargins left="1.18" right="0.7" top="0.75" bottom="0.75" header="0.3" footer="0.3"/>
  <pageSetup paperSize="9" scale="90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279DF-B14E-4415-B018-EE80B305883A}">
  <sheetPr>
    <tabColor theme="5" tint="-0.249977111117893"/>
    <pageSetUpPr fitToPage="1"/>
  </sheetPr>
  <dimension ref="A1:Q50"/>
  <sheetViews>
    <sheetView zoomScale="90" zoomScaleNormal="90" workbookViewId="0">
      <pane xSplit="1" ySplit="3" topLeftCell="B5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4" width="16.44140625" style="1" customWidth="1"/>
    <col min="15" max="15" width="18.5546875" style="1" customWidth="1"/>
    <col min="16" max="16" width="12" style="155" customWidth="1"/>
    <col min="17" max="16384" width="9.109375" style="1"/>
  </cols>
  <sheetData>
    <row r="1" spans="1:16" ht="31.8" thickBot="1" x14ac:dyDescent="0.65">
      <c r="A1" s="211" t="s">
        <v>486</v>
      </c>
      <c r="C1" s="224"/>
      <c r="D1" s="224"/>
      <c r="I1" s="4"/>
      <c r="J1" s="4"/>
      <c r="K1" s="295" t="s">
        <v>487</v>
      </c>
      <c r="L1" s="295"/>
      <c r="M1" s="295"/>
    </row>
    <row r="2" spans="1:16" ht="16.2" thickBot="1" x14ac:dyDescent="0.35"/>
    <row r="3" spans="1:16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227">
        <v>2020</v>
      </c>
      <c r="O3" s="240" t="s">
        <v>2521</v>
      </c>
      <c r="P3" s="156"/>
    </row>
    <row r="4" spans="1:16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267"/>
      <c r="O4" s="209"/>
      <c r="P4" s="156"/>
    </row>
    <row r="5" spans="1:16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37"/>
      <c r="O5" s="8"/>
    </row>
    <row r="6" spans="1:16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9">
        <v>201753</v>
      </c>
      <c r="O6" s="190">
        <v>170000</v>
      </c>
    </row>
    <row r="7" spans="1:16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9">
        <v>179900</v>
      </c>
      <c r="O7" s="190">
        <v>170000</v>
      </c>
    </row>
    <row r="8" spans="1:16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9">
        <v>36227</v>
      </c>
      <c r="O8" s="190">
        <v>95000</v>
      </c>
    </row>
    <row r="9" spans="1:16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9">
        <v>20320</v>
      </c>
      <c r="O9" s="190">
        <v>15000</v>
      </c>
    </row>
    <row r="10" spans="1:16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9">
        <v>40260</v>
      </c>
      <c r="O10" s="190">
        <v>35000</v>
      </c>
    </row>
    <row r="11" spans="1:16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9">
        <v>95633</v>
      </c>
      <c r="O11" s="190">
        <v>90000</v>
      </c>
    </row>
    <row r="12" spans="1:16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9">
        <v>0</v>
      </c>
      <c r="O12" s="190">
        <v>0</v>
      </c>
    </row>
    <row r="13" spans="1:16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9">
        <v>0</v>
      </c>
      <c r="O13" s="190">
        <v>0</v>
      </c>
    </row>
    <row r="14" spans="1:16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9">
        <v>93807</v>
      </c>
      <c r="O14" s="190">
        <v>20000</v>
      </c>
    </row>
    <row r="15" spans="1:16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2">
        <f>SUM(M6:M14)</f>
        <v>627974</v>
      </c>
      <c r="N15" s="11">
        <f>SUM(N6:N14)</f>
        <v>667900</v>
      </c>
      <c r="O15" s="191">
        <f t="shared" ref="O15" si="2">SUM(O6:O14)</f>
        <v>595000</v>
      </c>
    </row>
    <row r="16" spans="1:16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N16" s="111"/>
      <c r="O16" s="190"/>
    </row>
    <row r="17" spans="1:17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N17" s="112"/>
      <c r="O17" s="190"/>
      <c r="P17" s="159"/>
    </row>
    <row r="18" spans="1:17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10">
        <v>-150140</v>
      </c>
      <c r="M18" s="10">
        <v>-104717</v>
      </c>
      <c r="N18" s="9">
        <v>-122818</v>
      </c>
      <c r="O18" s="190">
        <v>-110000</v>
      </c>
      <c r="P18" s="197"/>
      <c r="Q18" s="55"/>
    </row>
    <row r="19" spans="1:17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10">
        <v>-70226</v>
      </c>
      <c r="M19" s="10">
        <v>-120875</v>
      </c>
      <c r="N19" s="9">
        <v>-81372</v>
      </c>
      <c r="O19" s="190">
        <v>-120000</v>
      </c>
      <c r="P19" s="197"/>
    </row>
    <row r="20" spans="1:17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9">
        <v>-469</v>
      </c>
      <c r="O20" s="190">
        <v>0</v>
      </c>
      <c r="P20" s="197"/>
    </row>
    <row r="21" spans="1:17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9">
        <v>-10498</v>
      </c>
      <c r="O21" s="190">
        <v>-40000</v>
      </c>
      <c r="P21" s="197"/>
    </row>
    <row r="22" spans="1:17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9">
        <v>-35192</v>
      </c>
      <c r="O22" s="190">
        <v>-40000</v>
      </c>
      <c r="P22" s="197"/>
    </row>
    <row r="23" spans="1:17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9">
        <v>-72732</v>
      </c>
      <c r="O23" s="190">
        <v>-90000</v>
      </c>
      <c r="P23" s="197"/>
    </row>
    <row r="24" spans="1:17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9">
        <v>-7420</v>
      </c>
      <c r="O24" s="190">
        <v>-4000</v>
      </c>
      <c r="P24" s="197"/>
    </row>
    <row r="25" spans="1:17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9">
        <v>-6700</v>
      </c>
      <c r="O25" s="190">
        <v>-20000</v>
      </c>
      <c r="P25" s="197"/>
    </row>
    <row r="26" spans="1:17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9">
        <v>-35920</v>
      </c>
      <c r="O26" s="190">
        <v>-40000</v>
      </c>
      <c r="P26" s="197"/>
    </row>
    <row r="27" spans="1:17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9">
        <v>-14350</v>
      </c>
      <c r="O27" s="190">
        <v>-15000</v>
      </c>
      <c r="P27" s="197"/>
    </row>
    <row r="28" spans="1:17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9">
        <v>-25600</v>
      </c>
      <c r="O28" s="190">
        <v>-20000</v>
      </c>
      <c r="P28" s="197"/>
    </row>
    <row r="29" spans="1:17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9">
        <v>-14000</v>
      </c>
      <c r="O29" s="190">
        <v>-15000</v>
      </c>
    </row>
    <row r="30" spans="1:17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9">
        <v>-500</v>
      </c>
      <c r="O30" s="190">
        <v>-500</v>
      </c>
    </row>
    <row r="31" spans="1:17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9">
        <v>-111217</v>
      </c>
      <c r="O31" s="190">
        <v>-90000</v>
      </c>
      <c r="P31" s="197"/>
    </row>
    <row r="32" spans="1:17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9">
        <v>0</v>
      </c>
      <c r="O32" s="190">
        <v>0</v>
      </c>
      <c r="P32" s="197"/>
    </row>
    <row r="33" spans="1:17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9">
        <f>-2226-250-4352</f>
        <v>-6828</v>
      </c>
      <c r="O33" s="190">
        <v>-5000</v>
      </c>
      <c r="P33" s="197"/>
    </row>
    <row r="34" spans="1:17" x14ac:dyDescent="0.3">
      <c r="A34" s="7" t="s">
        <v>2555</v>
      </c>
      <c r="B34" s="39">
        <f>SUM(B18:B33)</f>
        <v>-218877</v>
      </c>
      <c r="C34" s="39">
        <f t="shared" ref="C34:N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1">
        <f t="shared" si="3"/>
        <v>-545616</v>
      </c>
      <c r="O34" s="191">
        <f>SUM(O18:O33)</f>
        <v>-609500</v>
      </c>
      <c r="P34" s="206"/>
    </row>
    <row r="35" spans="1:17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113"/>
      <c r="O35" s="191"/>
      <c r="P35" s="207"/>
    </row>
    <row r="36" spans="1:17" s="13" customFormat="1" ht="38.25" hidden="1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2">
        <f t="shared" si="4"/>
        <v>-84874</v>
      </c>
      <c r="L36" s="12">
        <f>+L34+L15</f>
        <v>8025</v>
      </c>
      <c r="M36" s="12">
        <f>+M34+M15</f>
        <v>-10322</v>
      </c>
      <c r="N36" s="11">
        <f>+N34+N15</f>
        <v>122284</v>
      </c>
      <c r="O36" s="191">
        <f>O15+O34</f>
        <v>-14500</v>
      </c>
      <c r="P36" s="207"/>
    </row>
    <row r="37" spans="1:17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1"/>
      <c r="O37" s="191"/>
      <c r="P37" s="207"/>
    </row>
    <row r="38" spans="1:17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1">
        <v>0</v>
      </c>
      <c r="O38" s="191">
        <v>0</v>
      </c>
      <c r="P38" s="206"/>
    </row>
    <row r="39" spans="1:17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4"/>
      <c r="O39" s="210"/>
      <c r="P39" s="206"/>
    </row>
    <row r="40" spans="1:17" s="13" customFormat="1" ht="16.2" thickBot="1" x14ac:dyDescent="0.35">
      <c r="A40" s="7" t="s">
        <v>2557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2">
        <f>+L38+L36</f>
        <v>8025</v>
      </c>
      <c r="M40" s="12">
        <f>+M38+M36</f>
        <v>-10322</v>
      </c>
      <c r="N40" s="154">
        <f>+N38+N36</f>
        <v>122284</v>
      </c>
      <c r="O40" s="192">
        <f>+O38+O36</f>
        <v>-14500</v>
      </c>
      <c r="P40" s="208"/>
    </row>
    <row r="41" spans="1:17" s="13" customFormat="1" x14ac:dyDescent="0.3">
      <c r="A41" s="4"/>
      <c r="B41" s="4"/>
      <c r="C41" s="4"/>
      <c r="D41" s="4"/>
      <c r="E41" s="4"/>
      <c r="F41" s="4"/>
      <c r="G41" s="4"/>
      <c r="H41" s="4"/>
      <c r="O41" s="58"/>
      <c r="P41" s="155"/>
    </row>
    <row r="42" spans="1:17" x14ac:dyDescent="0.3">
      <c r="O42" s="261"/>
    </row>
    <row r="47" spans="1:17" s="4" customFormat="1" x14ac:dyDescent="0.3">
      <c r="P47" s="155"/>
      <c r="Q47" s="1"/>
    </row>
    <row r="48" spans="1:17" s="4" customFormat="1" x14ac:dyDescent="0.3">
      <c r="P48" s="155"/>
      <c r="Q48" s="1"/>
    </row>
    <row r="49" spans="16:17" s="4" customFormat="1" x14ac:dyDescent="0.3">
      <c r="P49" s="155"/>
      <c r="Q49" s="1"/>
    </row>
    <row r="50" spans="16:17" s="4" customFormat="1" x14ac:dyDescent="0.3">
      <c r="P50" s="155"/>
      <c r="Q50" s="1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9833A-73D6-4CB7-AF58-0D8195BBD99B}">
  <sheetPr>
    <tabColor theme="5" tint="-0.249977111117893"/>
    <pageSetUpPr fitToPage="1"/>
  </sheetPr>
  <dimension ref="A1:S52"/>
  <sheetViews>
    <sheetView zoomScale="90" zoomScaleNormal="90" workbookViewId="0">
      <pane xSplit="1" ySplit="3" topLeftCell="K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4" width="16.44140625" style="1" customWidth="1"/>
    <col min="15" max="16" width="18.5546875" style="1" customWidth="1"/>
    <col min="17" max="17" width="27" style="196" customWidth="1"/>
    <col min="18" max="18" width="12" style="155" customWidth="1"/>
    <col min="19" max="16384" width="9.109375" style="1"/>
  </cols>
  <sheetData>
    <row r="1" spans="1:18" ht="31.8" thickBot="1" x14ac:dyDescent="0.65">
      <c r="A1" s="211" t="s">
        <v>486</v>
      </c>
      <c r="C1" s="224"/>
      <c r="D1" s="224"/>
      <c r="I1" s="4"/>
      <c r="J1" s="4"/>
      <c r="K1" s="295" t="s">
        <v>487</v>
      </c>
      <c r="L1" s="295"/>
      <c r="M1" s="295"/>
    </row>
    <row r="2" spans="1:18" ht="16.2" thickBot="1" x14ac:dyDescent="0.35"/>
    <row r="3" spans="1:18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227">
        <v>2020</v>
      </c>
      <c r="O3" s="253" t="s">
        <v>809</v>
      </c>
      <c r="P3" s="240" t="s">
        <v>2521</v>
      </c>
      <c r="Q3" s="156"/>
      <c r="R3" s="156"/>
    </row>
    <row r="4" spans="1:18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267">
        <v>44196</v>
      </c>
      <c r="O4" s="110">
        <v>44196</v>
      </c>
      <c r="P4" s="209"/>
      <c r="Q4" s="156"/>
      <c r="R4" s="156"/>
    </row>
    <row r="5" spans="1:18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37"/>
      <c r="O5" s="111"/>
      <c r="P5" s="8"/>
      <c r="Q5" s="155"/>
    </row>
    <row r="6" spans="1:18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9">
        <v>201753</v>
      </c>
      <c r="O6" s="249">
        <v>201753</v>
      </c>
      <c r="P6" s="190">
        <v>170000</v>
      </c>
      <c r="Q6" s="217" t="s">
        <v>2543</v>
      </c>
    </row>
    <row r="7" spans="1:18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9">
        <v>179900</v>
      </c>
      <c r="O7" s="249">
        <v>179900</v>
      </c>
      <c r="P7" s="190">
        <v>170000</v>
      </c>
      <c r="Q7" s="217" t="s">
        <v>2559</v>
      </c>
    </row>
    <row r="8" spans="1:18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9">
        <v>36227</v>
      </c>
      <c r="O8" s="249">
        <v>36227</v>
      </c>
      <c r="P8" s="190">
        <v>95000</v>
      </c>
      <c r="Q8" s="217"/>
    </row>
    <row r="9" spans="1:18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9">
        <v>20320</v>
      </c>
      <c r="O9" s="249">
        <v>20320</v>
      </c>
      <c r="P9" s="190">
        <v>15000</v>
      </c>
      <c r="Q9" s="217" t="s">
        <v>2546</v>
      </c>
    </row>
    <row r="10" spans="1:18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9">
        <v>40260</v>
      </c>
      <c r="O10" s="249">
        <v>40260</v>
      </c>
      <c r="P10" s="190">
        <v>35000</v>
      </c>
      <c r="Q10" s="217" t="s">
        <v>2558</v>
      </c>
    </row>
    <row r="11" spans="1:18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9">
        <v>95633</v>
      </c>
      <c r="O11" s="249">
        <v>95633</v>
      </c>
      <c r="P11" s="190">
        <v>90000</v>
      </c>
      <c r="Q11" s="155"/>
    </row>
    <row r="12" spans="1:18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9">
        <v>0</v>
      </c>
      <c r="O12" s="249">
        <v>0</v>
      </c>
      <c r="P12" s="190">
        <v>0</v>
      </c>
      <c r="Q12" s="155"/>
    </row>
    <row r="13" spans="1:18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9">
        <v>0</v>
      </c>
      <c r="O13" s="249">
        <v>0</v>
      </c>
      <c r="P13" s="190">
        <v>0</v>
      </c>
      <c r="Q13" s="155"/>
    </row>
    <row r="14" spans="1:18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9">
        <v>93807</v>
      </c>
      <c r="O14" s="249">
        <v>93807</v>
      </c>
      <c r="P14" s="190">
        <v>20000</v>
      </c>
      <c r="Q14" s="236" t="s">
        <v>2560</v>
      </c>
    </row>
    <row r="15" spans="1:18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2">
        <f>SUM(M6:M14)</f>
        <v>627974</v>
      </c>
      <c r="N15" s="11">
        <f>SUM(N6:N14)</f>
        <v>667900</v>
      </c>
      <c r="O15" s="250">
        <f t="shared" ref="O15:P15" si="2">SUM(O6:O14)</f>
        <v>667900</v>
      </c>
      <c r="P15" s="191">
        <f t="shared" si="2"/>
        <v>595000</v>
      </c>
      <c r="Q15" s="155"/>
    </row>
    <row r="16" spans="1:18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N16" s="111"/>
      <c r="O16" s="249"/>
      <c r="P16" s="190"/>
      <c r="Q16" s="155"/>
    </row>
    <row r="17" spans="1:19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N17" s="112"/>
      <c r="O17" s="249"/>
      <c r="P17" s="190"/>
      <c r="Q17" s="159"/>
      <c r="R17" s="159"/>
    </row>
    <row r="18" spans="1:19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10">
        <v>-150140</v>
      </c>
      <c r="M18" s="10">
        <v>-104717</v>
      </c>
      <c r="N18" s="9">
        <v>-122818</v>
      </c>
      <c r="O18" s="249">
        <v>-122818</v>
      </c>
      <c r="P18" s="190">
        <v>-110000</v>
      </c>
      <c r="Q18" s="157" t="s">
        <v>2486</v>
      </c>
      <c r="R18" s="197"/>
      <c r="S18" s="55"/>
    </row>
    <row r="19" spans="1:19" ht="36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10">
        <v>-70226</v>
      </c>
      <c r="M19" s="10">
        <v>-120875</v>
      </c>
      <c r="N19" s="9">
        <v>-81372</v>
      </c>
      <c r="O19" s="249">
        <v>-81372</v>
      </c>
      <c r="P19" s="190">
        <v>-120000</v>
      </c>
      <c r="Q19" s="157" t="s">
        <v>2564</v>
      </c>
      <c r="R19" s="197"/>
    </row>
    <row r="20" spans="1:19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9">
        <v>-469</v>
      </c>
      <c r="O20" s="249">
        <v>-469</v>
      </c>
      <c r="P20" s="190">
        <v>0</v>
      </c>
      <c r="Q20" s="157"/>
      <c r="R20" s="197"/>
    </row>
    <row r="21" spans="1:19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9">
        <v>-10498</v>
      </c>
      <c r="O21" s="249">
        <v>-10498</v>
      </c>
      <c r="P21" s="190">
        <v>-40000</v>
      </c>
      <c r="Q21" s="157" t="s">
        <v>2529</v>
      </c>
      <c r="R21" s="197"/>
    </row>
    <row r="22" spans="1:19" ht="24.6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9">
        <v>-35192</v>
      </c>
      <c r="O22" s="249">
        <v>-35192</v>
      </c>
      <c r="P22" s="190">
        <v>-40000</v>
      </c>
      <c r="Q22" s="157" t="s">
        <v>2561</v>
      </c>
      <c r="R22" s="197"/>
    </row>
    <row r="23" spans="1:19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9">
        <v>-72732</v>
      </c>
      <c r="O23" s="249">
        <v>-72732</v>
      </c>
      <c r="P23" s="190">
        <v>-90000</v>
      </c>
      <c r="Q23" s="157" t="s">
        <v>2563</v>
      </c>
      <c r="R23" s="197"/>
    </row>
    <row r="24" spans="1:19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9">
        <v>-7420</v>
      </c>
      <c r="O24" s="249">
        <v>-7420</v>
      </c>
      <c r="P24" s="190">
        <v>-4000</v>
      </c>
      <c r="Q24" s="155"/>
      <c r="R24" s="197"/>
    </row>
    <row r="25" spans="1:19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9">
        <v>-6700</v>
      </c>
      <c r="O25" s="249">
        <v>-6700</v>
      </c>
      <c r="P25" s="190">
        <v>-20000</v>
      </c>
      <c r="Q25" s="157" t="s">
        <v>2565</v>
      </c>
      <c r="R25" s="197"/>
    </row>
    <row r="26" spans="1:19" ht="24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9">
        <v>-35920</v>
      </c>
      <c r="O26" s="249">
        <v>-35920</v>
      </c>
      <c r="P26" s="190">
        <v>-40000</v>
      </c>
      <c r="Q26" s="157" t="s">
        <v>2562</v>
      </c>
      <c r="R26" s="197"/>
    </row>
    <row r="27" spans="1:19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9">
        <v>-14350</v>
      </c>
      <c r="O27" s="249">
        <v>-14350</v>
      </c>
      <c r="P27" s="190">
        <v>-15000</v>
      </c>
      <c r="Q27" s="157" t="s">
        <v>2550</v>
      </c>
      <c r="R27" s="197"/>
    </row>
    <row r="28" spans="1:19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9">
        <v>-25600</v>
      </c>
      <c r="O28" s="249">
        <v>-25600</v>
      </c>
      <c r="P28" s="190">
        <v>-20000</v>
      </c>
      <c r="Q28" s="157" t="s">
        <v>2484</v>
      </c>
      <c r="R28" s="197"/>
    </row>
    <row r="29" spans="1:19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9">
        <v>-14000</v>
      </c>
      <c r="O29" s="249">
        <v>-14000</v>
      </c>
      <c r="P29" s="190">
        <v>-15000</v>
      </c>
      <c r="Q29" s="157" t="s">
        <v>2511</v>
      </c>
    </row>
    <row r="30" spans="1:19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9">
        <v>-500</v>
      </c>
      <c r="O30" s="249">
        <v>-500</v>
      </c>
      <c r="P30" s="190">
        <v>-500</v>
      </c>
      <c r="Q30" s="157"/>
    </row>
    <row r="31" spans="1:19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9">
        <v>-111217</v>
      </c>
      <c r="O31" s="249">
        <v>-111217</v>
      </c>
      <c r="P31" s="190">
        <v>-90000</v>
      </c>
      <c r="Q31" s="157" t="s">
        <v>2545</v>
      </c>
      <c r="R31" s="197"/>
    </row>
    <row r="32" spans="1:19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9">
        <v>0</v>
      </c>
      <c r="O32" s="249">
        <v>0</v>
      </c>
      <c r="P32" s="190">
        <v>0</v>
      </c>
      <c r="Q32" s="155"/>
      <c r="R32" s="197"/>
    </row>
    <row r="33" spans="1:19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9">
        <f>-2226-250-4352</f>
        <v>-6828</v>
      </c>
      <c r="O33" s="249">
        <v>-6828</v>
      </c>
      <c r="P33" s="190">
        <v>-5000</v>
      </c>
      <c r="Q33" s="157" t="s">
        <v>2499</v>
      </c>
      <c r="R33" s="197"/>
    </row>
    <row r="34" spans="1:19" x14ac:dyDescent="0.3">
      <c r="A34" s="7" t="s">
        <v>2555</v>
      </c>
      <c r="B34" s="39">
        <f>SUM(B18:B33)</f>
        <v>-218877</v>
      </c>
      <c r="C34" s="39">
        <f t="shared" ref="C34:O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1">
        <f t="shared" si="3"/>
        <v>-545616</v>
      </c>
      <c r="O34" s="250">
        <f t="shared" si="3"/>
        <v>-545616</v>
      </c>
      <c r="P34" s="191">
        <f>SUM(P18:P33)</f>
        <v>-609500</v>
      </c>
      <c r="Q34" s="205"/>
      <c r="R34" s="206"/>
    </row>
    <row r="35" spans="1:19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113"/>
      <c r="O35" s="250"/>
      <c r="P35" s="191"/>
      <c r="Q35" s="158"/>
      <c r="R35" s="207"/>
    </row>
    <row r="36" spans="1:19" s="13" customFormat="1" ht="38.25" hidden="1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2">
        <f t="shared" si="4"/>
        <v>-84874</v>
      </c>
      <c r="L36" s="12">
        <f>+L34+L15</f>
        <v>8025</v>
      </c>
      <c r="M36" s="12">
        <f>+M34+M15</f>
        <v>-10322</v>
      </c>
      <c r="N36" s="11">
        <f>+N34+N15</f>
        <v>122284</v>
      </c>
      <c r="O36" s="250">
        <f>O15+O34</f>
        <v>122284</v>
      </c>
      <c r="P36" s="191">
        <f>P15+P34</f>
        <v>-14500</v>
      </c>
      <c r="Q36" s="158"/>
      <c r="R36" s="207"/>
    </row>
    <row r="37" spans="1:19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1"/>
      <c r="O37" s="250"/>
      <c r="P37" s="191"/>
      <c r="Q37" s="158"/>
      <c r="R37" s="207"/>
    </row>
    <row r="38" spans="1:19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1">
        <v>0</v>
      </c>
      <c r="O38" s="250">
        <v>0</v>
      </c>
      <c r="P38" s="191">
        <v>0</v>
      </c>
      <c r="Q38" s="155"/>
      <c r="R38" s="206"/>
    </row>
    <row r="39" spans="1:19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4"/>
      <c r="O39" s="251"/>
      <c r="P39" s="210"/>
      <c r="Q39" s="205"/>
      <c r="R39" s="206"/>
    </row>
    <row r="40" spans="1:19" s="13" customFormat="1" ht="16.2" thickBot="1" x14ac:dyDescent="0.35">
      <c r="A40" s="7" t="s">
        <v>2557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2">
        <f>+L38+L36</f>
        <v>8025</v>
      </c>
      <c r="M40" s="12">
        <f>+M38+M36</f>
        <v>-10322</v>
      </c>
      <c r="N40" s="154">
        <f>+N38+N36</f>
        <v>122284</v>
      </c>
      <c r="O40" s="252">
        <f>+O38+O36</f>
        <v>122284</v>
      </c>
      <c r="P40" s="192">
        <f>+P38+P36</f>
        <v>-14500</v>
      </c>
      <c r="Q40" s="155"/>
      <c r="R40" s="208"/>
    </row>
    <row r="41" spans="1:19" s="13" customFormat="1" x14ac:dyDescent="0.3">
      <c r="A41" s="4"/>
      <c r="B41" s="4"/>
      <c r="C41" s="4"/>
      <c r="D41" s="4"/>
      <c r="E41" s="4"/>
      <c r="F41" s="4"/>
      <c r="G41" s="4"/>
      <c r="H41" s="4"/>
      <c r="O41" s="58"/>
      <c r="P41" s="58"/>
      <c r="Q41" s="196"/>
      <c r="R41" s="155"/>
    </row>
    <row r="42" spans="1:19" x14ac:dyDescent="0.3">
      <c r="O42" s="55"/>
      <c r="P42" s="261"/>
      <c r="Q42" s="155"/>
    </row>
    <row r="43" spans="1:19" x14ac:dyDescent="0.3">
      <c r="O43" s="99"/>
    </row>
    <row r="44" spans="1:19" x14ac:dyDescent="0.3">
      <c r="O44" s="222"/>
    </row>
    <row r="45" spans="1:19" x14ac:dyDescent="0.3">
      <c r="O45" s="207"/>
    </row>
    <row r="46" spans="1:19" x14ac:dyDescent="0.3">
      <c r="O46" s="222"/>
    </row>
    <row r="47" spans="1:19" s="4" customFormat="1" x14ac:dyDescent="0.3">
      <c r="O47" s="99"/>
      <c r="Q47" s="196"/>
      <c r="R47" s="155"/>
      <c r="S47" s="1"/>
    </row>
    <row r="48" spans="1:19" s="4" customFormat="1" x14ac:dyDescent="0.3">
      <c r="O48" s="99"/>
      <c r="Q48" s="196"/>
      <c r="R48" s="155"/>
      <c r="S48" s="1"/>
    </row>
    <row r="49" spans="15:19" s="4" customFormat="1" x14ac:dyDescent="0.3">
      <c r="O49" s="99"/>
      <c r="Q49" s="196"/>
      <c r="R49" s="155"/>
      <c r="S49" s="1"/>
    </row>
    <row r="50" spans="15:19" s="4" customFormat="1" x14ac:dyDescent="0.3">
      <c r="O50" s="99"/>
      <c r="Q50" s="196"/>
      <c r="R50" s="155"/>
      <c r="S50" s="1"/>
    </row>
    <row r="51" spans="15:19" x14ac:dyDescent="0.3">
      <c r="O51" s="99"/>
    </row>
    <row r="52" spans="15:19" x14ac:dyDescent="0.3">
      <c r="O52" s="223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77CDA-AEDA-4784-89BE-D9C653EEA6F4}">
  <sheetPr>
    <tabColor theme="5" tint="-0.249977111117893"/>
    <pageSetUpPr fitToPage="1"/>
  </sheetPr>
  <dimension ref="A1:S52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17" sqref="A17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customWidth="1"/>
    <col min="9" max="14" width="16.44140625" style="1" customWidth="1"/>
    <col min="15" max="16" width="18.5546875" style="1" customWidth="1"/>
    <col min="17" max="17" width="27" style="196" customWidth="1"/>
    <col min="18" max="18" width="12" style="155" customWidth="1"/>
    <col min="19" max="16384" width="9.109375" style="1"/>
  </cols>
  <sheetData>
    <row r="1" spans="1:18" ht="31.8" thickBot="1" x14ac:dyDescent="0.65">
      <c r="A1" s="211" t="s">
        <v>486</v>
      </c>
      <c r="C1" s="224"/>
      <c r="D1" s="224"/>
      <c r="H1" s="295" t="s">
        <v>487</v>
      </c>
      <c r="I1" s="295"/>
      <c r="J1" s="295"/>
    </row>
    <row r="2" spans="1:18" ht="16.2" thickBot="1" x14ac:dyDescent="0.35"/>
    <row r="3" spans="1:18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227">
        <v>2020</v>
      </c>
      <c r="O3" s="253" t="s">
        <v>809</v>
      </c>
      <c r="P3" s="240" t="s">
        <v>2521</v>
      </c>
      <c r="Q3" s="156"/>
      <c r="R3" s="156"/>
    </row>
    <row r="4" spans="1:18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267">
        <v>44152</v>
      </c>
      <c r="O4" s="110">
        <v>44196</v>
      </c>
      <c r="P4" s="209"/>
      <c r="Q4" s="156"/>
      <c r="R4" s="156"/>
    </row>
    <row r="5" spans="1:18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37"/>
      <c r="O5" s="111"/>
      <c r="P5" s="8"/>
      <c r="Q5" s="155"/>
    </row>
    <row r="6" spans="1:18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9">
        <v>231271</v>
      </c>
      <c r="O6" s="249">
        <v>231271</v>
      </c>
      <c r="P6" s="190">
        <v>170000</v>
      </c>
      <c r="Q6" s="217" t="s">
        <v>2543</v>
      </c>
    </row>
    <row r="7" spans="1:18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9">
        <v>179900</v>
      </c>
      <c r="O7" s="249">
        <v>179900</v>
      </c>
      <c r="P7" s="190">
        <v>170000</v>
      </c>
      <c r="Q7" s="217" t="s">
        <v>2552</v>
      </c>
    </row>
    <row r="8" spans="1:18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9">
        <v>36227</v>
      </c>
      <c r="O8" s="249">
        <v>36227</v>
      </c>
      <c r="P8" s="190">
        <v>95000</v>
      </c>
      <c r="Q8" s="217"/>
    </row>
    <row r="9" spans="1:18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9">
        <v>20320</v>
      </c>
      <c r="O9" s="249">
        <v>20320</v>
      </c>
      <c r="P9" s="190">
        <v>15000</v>
      </c>
      <c r="Q9" s="217" t="s">
        <v>2546</v>
      </c>
    </row>
    <row r="10" spans="1:18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9">
        <v>40260</v>
      </c>
      <c r="O10" s="249">
        <v>40260</v>
      </c>
      <c r="P10" s="190">
        <v>35000</v>
      </c>
      <c r="Q10" s="217" t="s">
        <v>2553</v>
      </c>
    </row>
    <row r="11" spans="1:18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9">
        <v>95633</v>
      </c>
      <c r="O11" s="249">
        <v>95633</v>
      </c>
      <c r="P11" s="190">
        <v>90000</v>
      </c>
      <c r="Q11" s="155"/>
    </row>
    <row r="12" spans="1:18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9">
        <v>0</v>
      </c>
      <c r="O12" s="249">
        <v>0</v>
      </c>
      <c r="P12" s="190">
        <v>0</v>
      </c>
      <c r="Q12" s="155"/>
    </row>
    <row r="13" spans="1:18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9">
        <v>0</v>
      </c>
      <c r="O13" s="249">
        <v>0</v>
      </c>
      <c r="P13" s="190">
        <v>0</v>
      </c>
      <c r="Q13" s="155"/>
    </row>
    <row r="14" spans="1:18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9">
        <v>62780</v>
      </c>
      <c r="O14" s="249">
        <v>65000</v>
      </c>
      <c r="P14" s="190">
        <v>20000</v>
      </c>
      <c r="Q14" s="236" t="s">
        <v>2542</v>
      </c>
    </row>
    <row r="15" spans="1:18" x14ac:dyDescent="0.3">
      <c r="A15" s="7" t="s">
        <v>29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2">
        <f>SUM(M6:M14)</f>
        <v>627974</v>
      </c>
      <c r="N15" s="11">
        <f>SUM(N6:N14)</f>
        <v>666391</v>
      </c>
      <c r="O15" s="250">
        <f t="shared" ref="O15:P15" si="2">SUM(O6:O14)</f>
        <v>668611</v>
      </c>
      <c r="P15" s="191">
        <f t="shared" si="2"/>
        <v>595000</v>
      </c>
      <c r="Q15" s="155"/>
    </row>
    <row r="16" spans="1:18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N16" s="111"/>
      <c r="O16" s="249"/>
      <c r="P16" s="190"/>
      <c r="Q16" s="155"/>
    </row>
    <row r="17" spans="1:19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N17" s="112"/>
      <c r="O17" s="249"/>
      <c r="P17" s="190"/>
      <c r="Q17" s="159"/>
      <c r="R17" s="159"/>
    </row>
    <row r="18" spans="1:19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10">
        <v>-150140</v>
      </c>
      <c r="M18" s="10">
        <v>-104717</v>
      </c>
      <c r="N18" s="9">
        <v>-122818</v>
      </c>
      <c r="O18" s="249">
        <v>-140000</v>
      </c>
      <c r="P18" s="190">
        <v>-110000</v>
      </c>
      <c r="Q18" s="157" t="s">
        <v>2527</v>
      </c>
      <c r="R18" s="197"/>
      <c r="S18" s="55"/>
    </row>
    <row r="19" spans="1:19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10">
        <v>-70226</v>
      </c>
      <c r="M19" s="10">
        <v>-120875</v>
      </c>
      <c r="N19" s="9">
        <v>-80801</v>
      </c>
      <c r="O19" s="249">
        <v>-85000</v>
      </c>
      <c r="P19" s="190">
        <v>-120000</v>
      </c>
      <c r="Q19" s="157" t="s">
        <v>2547</v>
      </c>
      <c r="R19" s="197"/>
    </row>
    <row r="20" spans="1:19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9">
        <v>-469</v>
      </c>
      <c r="O20" s="249">
        <v>-469</v>
      </c>
      <c r="P20" s="190">
        <v>0</v>
      </c>
      <c r="Q20" s="157"/>
      <c r="R20" s="197"/>
    </row>
    <row r="21" spans="1:19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9">
        <v>0</v>
      </c>
      <c r="O21" s="249">
        <v>0</v>
      </c>
      <c r="P21" s="190">
        <v>-40000</v>
      </c>
      <c r="Q21" s="157" t="s">
        <v>2529</v>
      </c>
      <c r="R21" s="197"/>
    </row>
    <row r="22" spans="1:19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9">
        <v>-31192</v>
      </c>
      <c r="O22" s="249">
        <v>-33000</v>
      </c>
      <c r="P22" s="190">
        <v>-40000</v>
      </c>
      <c r="Q22" s="157" t="s">
        <v>2548</v>
      </c>
      <c r="R22" s="197"/>
    </row>
    <row r="23" spans="1:19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9">
        <v>-72732</v>
      </c>
      <c r="O23" s="249">
        <v>-73000</v>
      </c>
      <c r="P23" s="190">
        <v>-90000</v>
      </c>
      <c r="Q23" s="157" t="s">
        <v>2549</v>
      </c>
      <c r="R23" s="197"/>
    </row>
    <row r="24" spans="1:19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9">
        <v>-7420</v>
      </c>
      <c r="O24" s="249">
        <v>-7420</v>
      </c>
      <c r="P24" s="190">
        <v>-4000</v>
      </c>
      <c r="Q24" s="155"/>
      <c r="R24" s="197"/>
    </row>
    <row r="25" spans="1:19" ht="24.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9">
        <v>-9100</v>
      </c>
      <c r="O25" s="249">
        <v>-11000</v>
      </c>
      <c r="P25" s="190">
        <v>-20000</v>
      </c>
      <c r="Q25" s="157" t="s">
        <v>2551</v>
      </c>
      <c r="R25" s="197"/>
    </row>
    <row r="26" spans="1:19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9">
        <v>-36600</v>
      </c>
      <c r="O26" s="249">
        <v>-40000</v>
      </c>
      <c r="P26" s="190">
        <v>-40000</v>
      </c>
      <c r="Q26" s="157" t="s">
        <v>2531</v>
      </c>
      <c r="R26" s="197"/>
    </row>
    <row r="27" spans="1:19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9">
        <v>-12550</v>
      </c>
      <c r="O27" s="249">
        <v>-15000</v>
      </c>
      <c r="P27" s="190">
        <v>-15000</v>
      </c>
      <c r="Q27" s="157" t="s">
        <v>2550</v>
      </c>
      <c r="R27" s="197"/>
    </row>
    <row r="28" spans="1:19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9">
        <v>-25600</v>
      </c>
      <c r="O28" s="249">
        <v>-26000</v>
      </c>
      <c r="P28" s="190">
        <v>-20000</v>
      </c>
      <c r="Q28" s="157" t="s">
        <v>2484</v>
      </c>
      <c r="R28" s="197"/>
    </row>
    <row r="29" spans="1:19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9">
        <v>-14000</v>
      </c>
      <c r="O29" s="249">
        <v>-14000</v>
      </c>
      <c r="P29" s="190">
        <v>-15000</v>
      </c>
      <c r="Q29" s="157" t="s">
        <v>2511</v>
      </c>
    </row>
    <row r="30" spans="1:19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9">
        <v>-500</v>
      </c>
      <c r="O30" s="249">
        <v>-500</v>
      </c>
      <c r="P30" s="190">
        <v>-500</v>
      </c>
      <c r="Q30" s="157"/>
    </row>
    <row r="31" spans="1:19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9">
        <v>-111217</v>
      </c>
      <c r="O31" s="249">
        <v>-111217</v>
      </c>
      <c r="P31" s="190">
        <v>-90000</v>
      </c>
      <c r="Q31" s="157" t="s">
        <v>2545</v>
      </c>
      <c r="R31" s="197"/>
    </row>
    <row r="32" spans="1:19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9">
        <v>0</v>
      </c>
      <c r="O32" s="249">
        <v>0</v>
      </c>
      <c r="P32" s="190">
        <v>0</v>
      </c>
      <c r="Q32" s="155"/>
      <c r="R32" s="197"/>
    </row>
    <row r="33" spans="1:19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9">
        <f>-2226-250-4352</f>
        <v>-6828</v>
      </c>
      <c r="O33" s="249">
        <v>-7000</v>
      </c>
      <c r="P33" s="190">
        <v>-5000</v>
      </c>
      <c r="Q33" s="157" t="s">
        <v>2499</v>
      </c>
      <c r="R33" s="197"/>
    </row>
    <row r="34" spans="1:19" x14ac:dyDescent="0.3">
      <c r="A34" s="7" t="s">
        <v>47</v>
      </c>
      <c r="B34" s="39">
        <f>SUM(B18:B33)</f>
        <v>-218877</v>
      </c>
      <c r="C34" s="39">
        <f t="shared" ref="C34:O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1">
        <f t="shared" si="3"/>
        <v>-531827</v>
      </c>
      <c r="O34" s="250">
        <f t="shared" si="3"/>
        <v>-563606</v>
      </c>
      <c r="P34" s="191">
        <f>SUM(P18:P33)</f>
        <v>-609500</v>
      </c>
      <c r="Q34" s="205"/>
      <c r="R34" s="206"/>
    </row>
    <row r="35" spans="1:19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113"/>
      <c r="O35" s="250"/>
      <c r="P35" s="191"/>
      <c r="Q35" s="158"/>
      <c r="R35" s="207"/>
    </row>
    <row r="36" spans="1:19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2">
        <f t="shared" si="4"/>
        <v>-84874</v>
      </c>
      <c r="L36" s="12">
        <f>+L34+L15</f>
        <v>8025</v>
      </c>
      <c r="M36" s="12">
        <f>+M34+M15</f>
        <v>-10322</v>
      </c>
      <c r="N36" s="11">
        <f>+N34+N15</f>
        <v>134564</v>
      </c>
      <c r="O36" s="250">
        <f>O15+O34</f>
        <v>105005</v>
      </c>
      <c r="P36" s="191">
        <f>P15+P34</f>
        <v>-14500</v>
      </c>
      <c r="Q36" s="158"/>
      <c r="R36" s="207"/>
    </row>
    <row r="37" spans="1:19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1"/>
      <c r="O37" s="250"/>
      <c r="P37" s="191"/>
      <c r="Q37" s="158"/>
      <c r="R37" s="207"/>
    </row>
    <row r="38" spans="1:19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1">
        <v>0</v>
      </c>
      <c r="O38" s="250">
        <v>0</v>
      </c>
      <c r="P38" s="191">
        <v>0</v>
      </c>
      <c r="Q38" s="155"/>
      <c r="R38" s="206"/>
    </row>
    <row r="39" spans="1:19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4"/>
      <c r="O39" s="251"/>
      <c r="P39" s="210"/>
      <c r="Q39" s="205"/>
      <c r="R39" s="206"/>
    </row>
    <row r="40" spans="1:19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2">
        <f>+L38+L36</f>
        <v>8025</v>
      </c>
      <c r="M40" s="12">
        <f>+M38+M36</f>
        <v>-10322</v>
      </c>
      <c r="N40" s="154">
        <f>+N38+N36</f>
        <v>134564</v>
      </c>
      <c r="O40" s="252">
        <f>+O38+O36</f>
        <v>105005</v>
      </c>
      <c r="P40" s="192">
        <f>+P38+P36</f>
        <v>-14500</v>
      </c>
      <c r="Q40" s="155"/>
      <c r="R40" s="208"/>
    </row>
    <row r="41" spans="1:19" s="13" customFormat="1" x14ac:dyDescent="0.3">
      <c r="A41" s="4"/>
      <c r="B41" s="4"/>
      <c r="C41" s="4"/>
      <c r="D41" s="4"/>
      <c r="E41" s="4"/>
      <c r="F41" s="4"/>
      <c r="G41" s="4"/>
      <c r="H41" s="4"/>
      <c r="O41" s="58"/>
      <c r="P41" s="58"/>
      <c r="Q41" s="196"/>
      <c r="R41" s="155"/>
    </row>
    <row r="42" spans="1:19" x14ac:dyDescent="0.3">
      <c r="O42" s="55"/>
      <c r="P42" s="261"/>
      <c r="Q42" s="155"/>
    </row>
    <row r="43" spans="1:19" x14ac:dyDescent="0.3">
      <c r="O43" s="99"/>
    </row>
    <row r="44" spans="1:19" x14ac:dyDescent="0.3">
      <c r="O44" s="222"/>
    </row>
    <row r="45" spans="1:19" x14ac:dyDescent="0.3">
      <c r="O45" s="207"/>
    </row>
    <row r="46" spans="1:19" x14ac:dyDescent="0.3">
      <c r="O46" s="222"/>
    </row>
    <row r="47" spans="1:19" s="4" customFormat="1" x14ac:dyDescent="0.3">
      <c r="O47" s="99"/>
      <c r="Q47" s="196"/>
      <c r="R47" s="155"/>
      <c r="S47" s="1"/>
    </row>
    <row r="48" spans="1:19" s="4" customFormat="1" x14ac:dyDescent="0.3">
      <c r="O48" s="99"/>
      <c r="Q48" s="196"/>
      <c r="R48" s="155"/>
      <c r="S48" s="1"/>
    </row>
    <row r="49" spans="15:19" s="4" customFormat="1" x14ac:dyDescent="0.3">
      <c r="O49" s="99"/>
      <c r="Q49" s="196"/>
      <c r="R49" s="155"/>
      <c r="S49" s="1"/>
    </row>
    <row r="50" spans="15:19" s="4" customFormat="1" x14ac:dyDescent="0.3">
      <c r="O50" s="99"/>
      <c r="Q50" s="196"/>
      <c r="R50" s="155"/>
      <c r="S50" s="1"/>
    </row>
    <row r="51" spans="15:19" x14ac:dyDescent="0.3">
      <c r="O51" s="99"/>
    </row>
    <row r="52" spans="15:19" x14ac:dyDescent="0.3">
      <c r="O52" s="223"/>
    </row>
  </sheetData>
  <mergeCells count="1">
    <mergeCell ref="H1:J1"/>
  </mergeCells>
  <pageMargins left="0.7" right="0.7" top="0.75" bottom="0.75" header="0.3" footer="0.3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23B00-0F30-479C-9A01-9F89A6043B25}">
  <sheetPr>
    <tabColor theme="5" tint="-0.249977111117893"/>
    <pageSetUpPr fitToPage="1"/>
  </sheetPr>
  <dimension ref="A1:X58"/>
  <sheetViews>
    <sheetView zoomScale="110" zoomScaleNormal="110" workbookViewId="0">
      <pane xSplit="1" ySplit="3" topLeftCell="P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2" width="16.44140625" style="1" hidden="1" customWidth="1"/>
    <col min="13" max="13" width="18" style="1" hidden="1" customWidth="1"/>
    <col min="14" max="14" width="16.44140625" style="1" hidden="1" customWidth="1"/>
    <col min="15" max="18" width="16.44140625" style="1" customWidth="1"/>
    <col min="19" max="19" width="17.6640625" style="1" customWidth="1"/>
    <col min="20" max="21" width="18.5546875" style="1" customWidth="1"/>
    <col min="22" max="22" width="27" style="217" customWidth="1"/>
    <col min="23" max="23" width="15.88671875" style="155" customWidth="1"/>
    <col min="24" max="16384" width="9.109375" style="1"/>
  </cols>
  <sheetData>
    <row r="1" spans="1:23" ht="31.8" thickBot="1" x14ac:dyDescent="0.65">
      <c r="A1" s="211" t="s">
        <v>486</v>
      </c>
      <c r="C1" s="224"/>
      <c r="D1" s="224"/>
      <c r="I1" s="4"/>
      <c r="J1" s="4"/>
      <c r="K1" s="289"/>
      <c r="L1" s="289"/>
      <c r="M1" s="289"/>
      <c r="O1" s="290" t="s">
        <v>2786</v>
      </c>
      <c r="P1" s="290"/>
    </row>
    <row r="2" spans="1:23" ht="16.2" thickBot="1" x14ac:dyDescent="0.35"/>
    <row r="3" spans="1:23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37">
        <v>2023</v>
      </c>
      <c r="R3" s="37">
        <v>2024</v>
      </c>
      <c r="S3" s="227">
        <v>2025</v>
      </c>
      <c r="T3" s="253" t="s">
        <v>809</v>
      </c>
      <c r="U3" s="240" t="s">
        <v>2812</v>
      </c>
      <c r="V3" s="270"/>
      <c r="W3" s="156"/>
    </row>
    <row r="4" spans="1:23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42"/>
      <c r="R4" s="42"/>
      <c r="S4" s="110">
        <v>45925</v>
      </c>
      <c r="T4" s="110">
        <v>46022</v>
      </c>
      <c r="U4" s="209"/>
      <c r="V4" s="270"/>
      <c r="W4" s="156"/>
    </row>
    <row r="5" spans="1:23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56"/>
      <c r="R5" s="256"/>
      <c r="S5" s="237"/>
      <c r="T5" s="111"/>
      <c r="U5" s="8"/>
    </row>
    <row r="6" spans="1:23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10">
        <v>225734</v>
      </c>
      <c r="Q6" s="10">
        <v>252983</v>
      </c>
      <c r="R6" s="10">
        <v>209138</v>
      </c>
      <c r="S6" s="9">
        <v>164567</v>
      </c>
      <c r="T6" s="249">
        <v>195000</v>
      </c>
      <c r="U6" s="190">
        <v>210000</v>
      </c>
      <c r="V6" s="217" t="s">
        <v>2605</v>
      </c>
    </row>
    <row r="7" spans="1:23" ht="36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10">
        <v>187000</v>
      </c>
      <c r="Q7" s="10">
        <v>181250</v>
      </c>
      <c r="R7" s="10">
        <v>211575</v>
      </c>
      <c r="S7" s="9">
        <v>343975</v>
      </c>
      <c r="T7" s="249">
        <v>343975</v>
      </c>
      <c r="U7" s="190">
        <v>350000</v>
      </c>
      <c r="V7" s="258" t="s">
        <v>2863</v>
      </c>
    </row>
    <row r="8" spans="1:23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10">
        <v>83434</v>
      </c>
      <c r="Q8" s="10">
        <v>177917</v>
      </c>
      <c r="R8" s="10">
        <v>112047</v>
      </c>
      <c r="S8" s="9">
        <v>85634</v>
      </c>
      <c r="T8" s="249">
        <v>110000</v>
      </c>
      <c r="U8" s="190">
        <v>115000</v>
      </c>
      <c r="V8" s="236"/>
    </row>
    <row r="9" spans="1:23" ht="21.6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10">
        <v>33422</v>
      </c>
      <c r="Q9" s="10">
        <v>14330</v>
      </c>
      <c r="R9" s="10">
        <v>27500</v>
      </c>
      <c r="S9" s="9">
        <v>99574</v>
      </c>
      <c r="T9" s="249">
        <v>100000</v>
      </c>
      <c r="U9" s="190">
        <v>105000</v>
      </c>
      <c r="V9" s="236" t="s">
        <v>2862</v>
      </c>
    </row>
    <row r="10" spans="1:23" ht="35.4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10">
        <v>109900</v>
      </c>
      <c r="Q10" s="10">
        <v>137850</v>
      </c>
      <c r="R10" s="10">
        <v>125900</v>
      </c>
      <c r="S10" s="9">
        <v>162700</v>
      </c>
      <c r="T10" s="249">
        <v>162700</v>
      </c>
      <c r="U10" s="190">
        <v>100000</v>
      </c>
      <c r="V10" s="236" t="s">
        <v>2874</v>
      </c>
    </row>
    <row r="11" spans="1:23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10">
        <v>145695</v>
      </c>
      <c r="Q11" s="10">
        <v>163300</v>
      </c>
      <c r="R11" s="10">
        <v>203280</v>
      </c>
      <c r="S11" s="9">
        <v>218230</v>
      </c>
      <c r="T11" s="249">
        <v>218230</v>
      </c>
      <c r="U11" s="190">
        <v>200000</v>
      </c>
    </row>
    <row r="12" spans="1:23" x14ac:dyDescent="0.3">
      <c r="A12" s="4" t="s">
        <v>2823</v>
      </c>
      <c r="B12" s="38">
        <v>500</v>
      </c>
      <c r="C12" s="38">
        <v>85850</v>
      </c>
      <c r="D12" s="38">
        <v>62250</v>
      </c>
      <c r="E12" s="38">
        <v>66900</v>
      </c>
      <c r="F12" s="38">
        <v>91100</v>
      </c>
      <c r="G12" s="38">
        <v>83700</v>
      </c>
      <c r="H12" s="38">
        <v>94424</v>
      </c>
      <c r="I12" s="38">
        <f>99500</f>
        <v>99500</v>
      </c>
      <c r="J12" s="38">
        <f>81000</f>
        <v>81000</v>
      </c>
      <c r="K12" s="10">
        <v>85200</v>
      </c>
      <c r="L12" s="10">
        <v>69517</v>
      </c>
      <c r="M12" s="10">
        <v>89680</v>
      </c>
      <c r="N12" s="10">
        <v>95633</v>
      </c>
      <c r="O12" s="10"/>
      <c r="P12" s="10"/>
      <c r="Q12" s="10"/>
      <c r="R12" s="10"/>
      <c r="S12" s="9">
        <v>133778</v>
      </c>
      <c r="T12" s="249">
        <v>133778</v>
      </c>
      <c r="U12" s="190">
        <v>124000</v>
      </c>
    </row>
    <row r="13" spans="1:23" hidden="1" x14ac:dyDescent="0.3">
      <c r="A13" s="4" t="s">
        <v>2143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0</v>
      </c>
      <c r="G13" s="38">
        <v>0</v>
      </c>
      <c r="H13" s="38">
        <v>0</v>
      </c>
      <c r="I13" s="38">
        <v>0</v>
      </c>
      <c r="J13" s="38">
        <f>5750-1743-1743-1453-3486-4358-15750+10000+7640+840+1463+5660</f>
        <v>2820</v>
      </c>
      <c r="K13" s="10">
        <v>5455</v>
      </c>
      <c r="L13" s="10">
        <v>0</v>
      </c>
      <c r="M13" s="10">
        <v>0</v>
      </c>
      <c r="N13" s="10">
        <v>0</v>
      </c>
      <c r="O13" s="10"/>
      <c r="P13" s="10"/>
      <c r="Q13" s="10"/>
      <c r="R13" s="10"/>
      <c r="S13" s="9"/>
      <c r="T13" s="249">
        <v>0</v>
      </c>
      <c r="U13" s="190">
        <v>0</v>
      </c>
    </row>
    <row r="14" spans="1:23" x14ac:dyDescent="0.3">
      <c r="A14" s="4" t="s">
        <v>27</v>
      </c>
      <c r="B14" s="38">
        <v>2474</v>
      </c>
      <c r="C14" s="38">
        <v>239</v>
      </c>
      <c r="D14" s="38">
        <v>450</v>
      </c>
      <c r="E14" s="38">
        <v>2470.9899999999998</v>
      </c>
      <c r="F14" s="38">
        <v>1824.88</v>
      </c>
      <c r="G14" s="38">
        <v>514</v>
      </c>
      <c r="H14" s="38">
        <v>101</v>
      </c>
      <c r="I14" s="38">
        <v>13</v>
      </c>
      <c r="J14" s="38">
        <v>0</v>
      </c>
      <c r="K14" s="10">
        <v>0</v>
      </c>
      <c r="L14" s="10">
        <v>0</v>
      </c>
      <c r="M14" s="10">
        <v>0</v>
      </c>
      <c r="N14" s="10">
        <v>0</v>
      </c>
      <c r="O14" s="10"/>
      <c r="P14" s="10"/>
      <c r="Q14" s="10"/>
      <c r="R14" s="10">
        <v>6206</v>
      </c>
      <c r="S14" s="9">
        <v>0</v>
      </c>
      <c r="T14" s="249">
        <v>3000</v>
      </c>
      <c r="U14" s="190">
        <v>3000</v>
      </c>
    </row>
    <row r="15" spans="1:23" ht="21.6" x14ac:dyDescent="0.3">
      <c r="A15" s="4" t="s">
        <v>490</v>
      </c>
      <c r="B15" s="38">
        <f>3455+2000</f>
        <v>5455</v>
      </c>
      <c r="C15" s="38">
        <f>400+10000+12000</f>
        <v>22400</v>
      </c>
      <c r="D15" s="38">
        <v>4112</v>
      </c>
      <c r="E15" s="38">
        <f>4135+5600</f>
        <v>9735</v>
      </c>
      <c r="F15" s="38">
        <f>1987+4050</f>
        <v>6037</v>
      </c>
      <c r="G15" s="38">
        <v>1630</v>
      </c>
      <c r="H15" s="38">
        <v>16554</v>
      </c>
      <c r="I15" s="38">
        <f>28269-19125+4390+6756</f>
        <v>20290</v>
      </c>
      <c r="J15" s="38">
        <f>2914+5838+4950+240+1000+6365+1880+2390</f>
        <v>25577</v>
      </c>
      <c r="K15" s="10">
        <v>29446</v>
      </c>
      <c r="L15" s="10">
        <v>56040</v>
      </c>
      <c r="M15" s="10">
        <v>21304</v>
      </c>
      <c r="N15" s="10">
        <v>93807</v>
      </c>
      <c r="O15" s="10">
        <v>61627</v>
      </c>
      <c r="P15" s="10">
        <v>46439</v>
      </c>
      <c r="Q15" s="10">
        <v>11035</v>
      </c>
      <c r="R15" s="10">
        <v>17071</v>
      </c>
      <c r="S15" s="9">
        <v>16635</v>
      </c>
      <c r="T15" s="249">
        <v>20000</v>
      </c>
      <c r="U15" s="190">
        <v>15000</v>
      </c>
      <c r="V15" s="236" t="s">
        <v>2875</v>
      </c>
    </row>
    <row r="16" spans="1:23" x14ac:dyDescent="0.3">
      <c r="A16" s="7" t="s">
        <v>2554</v>
      </c>
      <c r="B16" s="39">
        <f t="shared" ref="B16:K16" si="0">SUM(B6:B15)</f>
        <v>194703</v>
      </c>
      <c r="C16" s="39">
        <f t="shared" si="0"/>
        <v>431575</v>
      </c>
      <c r="D16" s="39">
        <f t="shared" si="0"/>
        <v>282807</v>
      </c>
      <c r="E16" s="39">
        <f t="shared" si="0"/>
        <v>308979.27999999997</v>
      </c>
      <c r="F16" s="39">
        <f t="shared" si="0"/>
        <v>390713.28</v>
      </c>
      <c r="G16" s="39">
        <f t="shared" si="0"/>
        <v>373620</v>
      </c>
      <c r="H16" s="39">
        <f t="shared" si="0"/>
        <v>575175</v>
      </c>
      <c r="I16" s="39">
        <f>SUM(I6:I15)</f>
        <v>727836</v>
      </c>
      <c r="J16" s="39">
        <f t="shared" ref="J16" si="1">SUM(J6:J15)</f>
        <v>702290</v>
      </c>
      <c r="K16" s="12">
        <f t="shared" si="0"/>
        <v>735324</v>
      </c>
      <c r="L16" s="12">
        <f t="shared" ref="L16:R16" si="2">SUM(L6:L15)</f>
        <v>671628</v>
      </c>
      <c r="M16" s="12">
        <f t="shared" si="2"/>
        <v>717654</v>
      </c>
      <c r="N16" s="12">
        <f t="shared" si="2"/>
        <v>763533</v>
      </c>
      <c r="O16" s="12">
        <f t="shared" si="2"/>
        <v>701882</v>
      </c>
      <c r="P16" s="12">
        <f t="shared" si="2"/>
        <v>831624</v>
      </c>
      <c r="Q16" s="12">
        <f t="shared" si="2"/>
        <v>938665</v>
      </c>
      <c r="R16" s="12">
        <f t="shared" si="2"/>
        <v>912717</v>
      </c>
      <c r="S16" s="11">
        <f>SUM(S6:S15)</f>
        <v>1225093</v>
      </c>
      <c r="T16" s="250">
        <f>SUM(T6:T15)</f>
        <v>1286683</v>
      </c>
      <c r="U16" s="191">
        <f>SUM(U6:U15)</f>
        <v>1222000</v>
      </c>
    </row>
    <row r="17" spans="1:24" ht="16.2" thickBot="1" x14ac:dyDescent="0.35">
      <c r="B17" s="38"/>
      <c r="C17" s="40"/>
      <c r="D17" s="40"/>
      <c r="E17" s="38"/>
      <c r="F17" s="40"/>
      <c r="G17" s="40"/>
      <c r="H17" s="40"/>
      <c r="I17" s="40"/>
      <c r="J17" s="40"/>
      <c r="S17" s="111"/>
      <c r="T17" s="249"/>
      <c r="U17" s="190"/>
    </row>
    <row r="18" spans="1:24" s="13" customFormat="1" ht="16.2" thickBot="1" x14ac:dyDescent="0.35">
      <c r="A18" s="32" t="s">
        <v>30</v>
      </c>
      <c r="B18" s="38"/>
      <c r="C18" s="41"/>
      <c r="D18" s="41"/>
      <c r="E18" s="38"/>
      <c r="F18" s="41"/>
      <c r="G18" s="41"/>
      <c r="H18" s="41"/>
      <c r="I18" s="41"/>
      <c r="J18" s="41"/>
      <c r="S18" s="112"/>
      <c r="T18" s="249"/>
      <c r="U18" s="190"/>
      <c r="V18" s="271"/>
      <c r="W18" s="159"/>
    </row>
    <row r="19" spans="1:24" ht="54" customHeight="1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10">
        <v>-70226</v>
      </c>
      <c r="M19" s="10">
        <v>-120875</v>
      </c>
      <c r="N19" s="10">
        <v>-81372</v>
      </c>
      <c r="O19" s="10">
        <v>-159842</v>
      </c>
      <c r="P19" s="10">
        <v>-181432</v>
      </c>
      <c r="Q19" s="10">
        <v>-220492</v>
      </c>
      <c r="R19" s="10">
        <v>-95687</v>
      </c>
      <c r="S19" s="9">
        <f>-204568-392-8133</f>
        <v>-213093</v>
      </c>
      <c r="T19" s="249">
        <v>-220000</v>
      </c>
      <c r="U19" s="190">
        <v>-130000</v>
      </c>
      <c r="V19" s="236" t="s">
        <v>2876</v>
      </c>
      <c r="W19" s="276" t="s">
        <v>2877</v>
      </c>
    </row>
    <row r="20" spans="1:24" x14ac:dyDescent="0.3">
      <c r="A20" s="4" t="s">
        <v>45</v>
      </c>
      <c r="B20" s="38">
        <v>-32646</v>
      </c>
      <c r="C20" s="38">
        <v>-42437</v>
      </c>
      <c r="D20" s="38">
        <v>-26923</v>
      </c>
      <c r="E20" s="38">
        <v>-32572</v>
      </c>
      <c r="F20" s="38">
        <v>-50743</v>
      </c>
      <c r="G20" s="38">
        <v>-52811</v>
      </c>
      <c r="H20" s="38">
        <v>-126816</v>
      </c>
      <c r="I20" s="38">
        <f>-953-23023-1120-3576-498-29220-3576-3576-48894</f>
        <v>-114436</v>
      </c>
      <c r="J20" s="38">
        <f>-975-3576-25151+2412-26894-7152-45412</f>
        <v>-106748</v>
      </c>
      <c r="K20" s="10">
        <v>-134562</v>
      </c>
      <c r="L20" s="10">
        <v>-150140</v>
      </c>
      <c r="M20" s="10">
        <v>-104717</v>
      </c>
      <c r="N20" s="10">
        <v>-122818</v>
      </c>
      <c r="O20" s="10">
        <v>-100638</v>
      </c>
      <c r="P20" s="10">
        <v>-133504</v>
      </c>
      <c r="Q20" s="10">
        <v>-140769</v>
      </c>
      <c r="R20" s="10">
        <v>-121835</v>
      </c>
      <c r="S20" s="9">
        <v>-112580</v>
      </c>
      <c r="T20" s="249">
        <v>-140000</v>
      </c>
      <c r="U20" s="190">
        <v>-120000</v>
      </c>
      <c r="W20" s="197"/>
      <c r="X20" s="55"/>
    </row>
    <row r="21" spans="1:24" ht="21.6" x14ac:dyDescent="0.3">
      <c r="A21" s="4" t="s">
        <v>508</v>
      </c>
      <c r="B21" s="38">
        <v>-11755</v>
      </c>
      <c r="C21" s="38">
        <v>-20024</v>
      </c>
      <c r="D21" s="38">
        <v>-13297</v>
      </c>
      <c r="E21" s="38">
        <v>-14853.42</v>
      </c>
      <c r="F21" s="38">
        <v>-18717</v>
      </c>
      <c r="G21" s="38">
        <v>-4027</v>
      </c>
      <c r="H21" s="38">
        <v>-20624</v>
      </c>
      <c r="I21" s="38">
        <f>-3208-5440+2557-5729-1907+1985-874-1767-2130-3432-789-9120-114-867-1407-1435-38-5807-8282</f>
        <v>-47804</v>
      </c>
      <c r="J21" s="38">
        <f>-3760-1277-3685+3685-2253-17843-2444-4021-349-5145-111-368-279-322</f>
        <v>-38172</v>
      </c>
      <c r="K21" s="10">
        <v>-17887</v>
      </c>
      <c r="L21" s="10">
        <v>-4522</v>
      </c>
      <c r="M21" s="10">
        <v>0</v>
      </c>
      <c r="N21" s="10">
        <v>-469</v>
      </c>
      <c r="O21" s="10">
        <v>-225</v>
      </c>
      <c r="P21" s="10">
        <v>-519</v>
      </c>
      <c r="Q21" s="10">
        <v>-58306</v>
      </c>
      <c r="R21" s="10">
        <v>-29423</v>
      </c>
      <c r="S21" s="9">
        <v>-8757</v>
      </c>
      <c r="T21" s="249">
        <v>-15000</v>
      </c>
      <c r="U21" s="190">
        <v>-45000</v>
      </c>
      <c r="V21" s="217" t="s">
        <v>2878</v>
      </c>
      <c r="W21" s="197"/>
    </row>
    <row r="22" spans="1:24" ht="28.8" customHeight="1" x14ac:dyDescent="0.3">
      <c r="A22" s="4" t="s">
        <v>1633</v>
      </c>
      <c r="B22" s="38">
        <v>-4800</v>
      </c>
      <c r="C22" s="38">
        <v>-3398</v>
      </c>
      <c r="D22" s="38">
        <v>0</v>
      </c>
      <c r="E22" s="38">
        <v>-7138</v>
      </c>
      <c r="F22" s="38">
        <v>-3450</v>
      </c>
      <c r="G22" s="38">
        <v>-8100</v>
      </c>
      <c r="H22" s="38">
        <v>-6790</v>
      </c>
      <c r="I22" s="38">
        <f>-2940-7000-2500-2800-185+23111-23111-31150-1700-495-1000</f>
        <v>-49770</v>
      </c>
      <c r="J22" s="38">
        <f>-2100-1969-5000-500-15500-1440-629-7355</f>
        <v>-34493</v>
      </c>
      <c r="K22" s="10">
        <v>-38345</v>
      </c>
      <c r="L22" s="10">
        <v>-52120</v>
      </c>
      <c r="M22" s="10">
        <v>-70704</v>
      </c>
      <c r="N22" s="10">
        <v>-10498</v>
      </c>
      <c r="O22" s="10">
        <v>-17059</v>
      </c>
      <c r="P22" s="10">
        <v>-29952</v>
      </c>
      <c r="Q22" s="10">
        <v>-42358</v>
      </c>
      <c r="R22" s="10">
        <v>-52555</v>
      </c>
      <c r="S22" s="9">
        <f>-25660-53400</f>
        <v>-79060</v>
      </c>
      <c r="T22" s="249">
        <v>-100000</v>
      </c>
      <c r="U22" s="190">
        <v>-90000</v>
      </c>
      <c r="V22" s="217" t="s">
        <v>2879</v>
      </c>
      <c r="W22" s="197"/>
    </row>
    <row r="23" spans="1:24" ht="33.6" customHeight="1" x14ac:dyDescent="0.3">
      <c r="A23" s="4" t="s">
        <v>940</v>
      </c>
      <c r="B23" s="38">
        <v>0</v>
      </c>
      <c r="C23" s="38">
        <v>-1700</v>
      </c>
      <c r="D23" s="38">
        <v>0</v>
      </c>
      <c r="E23" s="38">
        <v>-3400</v>
      </c>
      <c r="F23" s="38">
        <v>-3900</v>
      </c>
      <c r="G23" s="38">
        <v>-4550</v>
      </c>
      <c r="H23" s="38">
        <v>-7520</v>
      </c>
      <c r="I23" s="38">
        <f>-4500-4000-682-4000-1110</f>
        <v>-14292</v>
      </c>
      <c r="J23" s="38">
        <f>-4000-5500-4000-407</f>
        <v>-13907</v>
      </c>
      <c r="K23" s="10">
        <v>-40515</v>
      </c>
      <c r="L23" s="10">
        <v>-23150</v>
      </c>
      <c r="M23" s="10">
        <v>-39500</v>
      </c>
      <c r="N23" s="10">
        <v>-35192</v>
      </c>
      <c r="O23" s="10">
        <v>-26250</v>
      </c>
      <c r="P23" s="10">
        <v>-92029</v>
      </c>
      <c r="Q23" s="10">
        <v>-99926</v>
      </c>
      <c r="R23" s="10">
        <v>-108845</v>
      </c>
      <c r="S23" s="9">
        <v>-63237</v>
      </c>
      <c r="T23" s="249">
        <v>-100000</v>
      </c>
      <c r="U23" s="190">
        <v>-210000</v>
      </c>
      <c r="V23" s="217" t="s">
        <v>2880</v>
      </c>
      <c r="W23" s="197"/>
    </row>
    <row r="24" spans="1:24" ht="28.2" customHeight="1" x14ac:dyDescent="0.3">
      <c r="A24" s="4" t="s">
        <v>39</v>
      </c>
      <c r="B24" s="38">
        <v>-18016</v>
      </c>
      <c r="C24" s="38">
        <v>-18105</v>
      </c>
      <c r="D24" s="38">
        <v>-14387</v>
      </c>
      <c r="E24" s="38">
        <v>-7915</v>
      </c>
      <c r="F24" s="38">
        <v>-13828</v>
      </c>
      <c r="G24" s="38">
        <v>-24118</v>
      </c>
      <c r="H24" s="38">
        <v>-30770</v>
      </c>
      <c r="I24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4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4" s="10">
        <v>-76389</v>
      </c>
      <c r="L24" s="10">
        <v>-81515</v>
      </c>
      <c r="M24" s="10">
        <v>-88679</v>
      </c>
      <c r="N24" s="10">
        <v>-72732</v>
      </c>
      <c r="O24" s="10">
        <v>-58100</v>
      </c>
      <c r="P24" s="10">
        <v>-79144</v>
      </c>
      <c r="Q24" s="10">
        <v>-104788</v>
      </c>
      <c r="R24" s="10">
        <v>-88174</v>
      </c>
      <c r="S24" s="9">
        <f>-84417-2160</f>
        <v>-86577</v>
      </c>
      <c r="T24" s="249">
        <v>-95000</v>
      </c>
      <c r="U24" s="190">
        <v>-95000</v>
      </c>
      <c r="V24" s="236" t="s">
        <v>2881</v>
      </c>
      <c r="W24" s="197"/>
    </row>
    <row r="25" spans="1:24" x14ac:dyDescent="0.3">
      <c r="A25" s="4" t="s">
        <v>40</v>
      </c>
      <c r="B25" s="38">
        <v>0</v>
      </c>
      <c r="C25" s="38">
        <v>-850</v>
      </c>
      <c r="D25" s="38">
        <v>-625</v>
      </c>
      <c r="E25" s="38">
        <v>-8200</v>
      </c>
      <c r="F25" s="38">
        <v>0</v>
      </c>
      <c r="G25" s="38">
        <v>0</v>
      </c>
      <c r="H25" s="38">
        <v>-2100</v>
      </c>
      <c r="I25" s="38">
        <f>-3950</f>
        <v>-3950</v>
      </c>
      <c r="J25" s="38">
        <f>-2750</f>
        <v>-2750</v>
      </c>
      <c r="K25" s="10">
        <v>-2500</v>
      </c>
      <c r="L25" s="10">
        <v>-3050</v>
      </c>
      <c r="M25" s="10">
        <v>-3860</v>
      </c>
      <c r="N25" s="10">
        <v>-7420</v>
      </c>
      <c r="O25" s="10">
        <v>-4750</v>
      </c>
      <c r="P25" s="10">
        <v>-1231</v>
      </c>
      <c r="Q25" s="10">
        <v>-13700</v>
      </c>
      <c r="R25" s="10">
        <v>-14628</v>
      </c>
      <c r="S25" s="9">
        <v>-8771</v>
      </c>
      <c r="T25" s="249">
        <v>-20000</v>
      </c>
      <c r="U25" s="190">
        <v>-15000</v>
      </c>
      <c r="V25" s="236" t="s">
        <v>2852</v>
      </c>
      <c r="W25" s="197"/>
    </row>
    <row r="26" spans="1:24" ht="26.4" customHeight="1" x14ac:dyDescent="0.3">
      <c r="A26" s="4" t="s">
        <v>36</v>
      </c>
      <c r="B26" s="38">
        <v>-5000</v>
      </c>
      <c r="C26" s="38">
        <v>-350</v>
      </c>
      <c r="D26" s="38">
        <v>0</v>
      </c>
      <c r="E26" s="38">
        <v>-3550</v>
      </c>
      <c r="F26" s="38">
        <v>-10190</v>
      </c>
      <c r="G26" s="38">
        <v>-27295</v>
      </c>
      <c r="H26" s="38">
        <v>-13550</v>
      </c>
      <c r="I26" s="38">
        <f>-1400-1400-2700-3000-1500-1200-1400-1000-1200-1300-1500-800-1200-1400-1400-1190</f>
        <v>-23590</v>
      </c>
      <c r="J26" s="38">
        <f>-800-1200-1100-3350-1400-1000-2000-1000-1400-300-1200-1400-1800-1500-1500-1600-1400-1400</f>
        <v>-25350</v>
      </c>
      <c r="K26" s="10">
        <v>-23700</v>
      </c>
      <c r="L26" s="10">
        <v>-23490</v>
      </c>
      <c r="M26" s="10">
        <v>-20500</v>
      </c>
      <c r="N26" s="10">
        <v>-6700</v>
      </c>
      <c r="O26" s="10">
        <v>-4050</v>
      </c>
      <c r="P26" s="10">
        <v>-22800</v>
      </c>
      <c r="Q26" s="10">
        <v>-34900</v>
      </c>
      <c r="R26" s="10">
        <v>-31665</v>
      </c>
      <c r="S26" s="9">
        <v>-40100</v>
      </c>
      <c r="T26" s="249">
        <v>-45000</v>
      </c>
      <c r="U26" s="190">
        <v>-30000</v>
      </c>
      <c r="V26" s="217" t="s">
        <v>2882</v>
      </c>
      <c r="W26" s="197"/>
    </row>
    <row r="27" spans="1:24" ht="22.8" customHeight="1" x14ac:dyDescent="0.3">
      <c r="A27" s="4" t="s">
        <v>154</v>
      </c>
      <c r="B27" s="38">
        <v>-19050</v>
      </c>
      <c r="C27" s="38">
        <f>-13250-1750</f>
        <v>-15000</v>
      </c>
      <c r="D27" s="38">
        <v>-19650</v>
      </c>
      <c r="E27" s="38">
        <v>-15750</v>
      </c>
      <c r="F27" s="38">
        <v>-21750</v>
      </c>
      <c r="G27" s="38">
        <v>-30300</v>
      </c>
      <c r="H27" s="38">
        <v>-23520</v>
      </c>
      <c r="I27" s="38">
        <f>950+4008-3900-500-15200+1000-500-1000-2000+1000-250-7000-600-7500</f>
        <v>-31492</v>
      </c>
      <c r="J27" s="38">
        <f>-1000-3000-6600-9700-4500-1900-1200-2000-2400-2000-400-500-2000</f>
        <v>-37200</v>
      </c>
      <c r="K27" s="10">
        <v>-30550</v>
      </c>
      <c r="L27" s="10">
        <v>-32750</v>
      </c>
      <c r="M27" s="10">
        <v>-41400</v>
      </c>
      <c r="N27" s="10">
        <v>-35920</v>
      </c>
      <c r="O27" s="10">
        <v>-14840</v>
      </c>
      <c r="P27" s="10">
        <v>-30440</v>
      </c>
      <c r="Q27" s="10">
        <v>-32200</v>
      </c>
      <c r="R27" s="10">
        <v>-24300</v>
      </c>
      <c r="S27" s="9">
        <v>-28450</v>
      </c>
      <c r="T27" s="249">
        <v>-35000</v>
      </c>
      <c r="U27" s="190">
        <v>-25000</v>
      </c>
      <c r="V27" s="217" t="s">
        <v>2883</v>
      </c>
      <c r="W27" s="197"/>
    </row>
    <row r="28" spans="1:24" x14ac:dyDescent="0.3">
      <c r="A28" s="4" t="s">
        <v>43</v>
      </c>
      <c r="B28" s="38">
        <v>-14470</v>
      </c>
      <c r="C28" s="38">
        <v>-10300</v>
      </c>
      <c r="D28" s="38">
        <v>-4860</v>
      </c>
      <c r="E28" s="38">
        <v>0</v>
      </c>
      <c r="F28" s="38">
        <v>-18405</v>
      </c>
      <c r="G28" s="38">
        <v>-10950</v>
      </c>
      <c r="H28" s="38">
        <v>-9515</v>
      </c>
      <c r="I28" s="38">
        <f>-300-8900+850-1250-3500</f>
        <v>-13100</v>
      </c>
      <c r="J28" s="38">
        <f>-4700-2390-8400</f>
        <v>-15490</v>
      </c>
      <c r="K28" s="10">
        <v>-14710</v>
      </c>
      <c r="L28" s="10">
        <v>-18980</v>
      </c>
      <c r="M28" s="10">
        <v>-15500</v>
      </c>
      <c r="N28" s="10">
        <v>-14350</v>
      </c>
      <c r="O28" s="10">
        <v>-15370</v>
      </c>
      <c r="P28" s="10">
        <v>-5340</v>
      </c>
      <c r="Q28" s="10">
        <v>-4080</v>
      </c>
      <c r="R28" s="10">
        <v>-23540</v>
      </c>
      <c r="S28" s="9">
        <v>-16800</v>
      </c>
      <c r="T28" s="249">
        <v>-16800</v>
      </c>
      <c r="U28" s="190">
        <v>-10000</v>
      </c>
      <c r="V28" s="217" t="s">
        <v>2884</v>
      </c>
      <c r="W28" s="197"/>
    </row>
    <row r="29" spans="1:24" ht="34.799999999999997" customHeight="1" x14ac:dyDescent="0.3">
      <c r="A29" s="4" t="s">
        <v>44</v>
      </c>
      <c r="B29" s="38">
        <v>-25000</v>
      </c>
      <c r="C29" s="38">
        <v>-15000</v>
      </c>
      <c r="D29" s="38">
        <v>-17500</v>
      </c>
      <c r="E29" s="38">
        <v>-30416</v>
      </c>
      <c r="F29" s="38">
        <v>-16000</v>
      </c>
      <c r="G29" s="38">
        <v>-34000</v>
      </c>
      <c r="H29" s="38">
        <v>-27000</v>
      </c>
      <c r="I29" s="38">
        <f>-12500-1000-2000-5000-3000</f>
        <v>-23500</v>
      </c>
      <c r="J29" s="38">
        <f>-1500-10000-500-4000</f>
        <v>-16000</v>
      </c>
      <c r="K29" s="10">
        <v>-39400</v>
      </c>
      <c r="L29" s="10">
        <v>-28600</v>
      </c>
      <c r="M29" s="10">
        <v>-18000</v>
      </c>
      <c r="N29" s="10">
        <v>-25600</v>
      </c>
      <c r="O29" s="10">
        <v>-53500</v>
      </c>
      <c r="P29" s="10">
        <f>-55750</f>
        <v>-55750</v>
      </c>
      <c r="Q29" s="10">
        <v>-66350</v>
      </c>
      <c r="R29" s="10">
        <v>-80025</v>
      </c>
      <c r="S29" s="9">
        <f>-62775-2200</f>
        <v>-64975</v>
      </c>
      <c r="T29" s="249">
        <v>-80000</v>
      </c>
      <c r="U29" s="190">
        <v>-80000</v>
      </c>
      <c r="V29" s="217" t="s">
        <v>2885</v>
      </c>
      <c r="W29" s="197"/>
    </row>
    <row r="30" spans="1:24" ht="27" customHeight="1" x14ac:dyDescent="0.3">
      <c r="A30" s="4" t="s">
        <v>56</v>
      </c>
      <c r="B30" s="38">
        <v>-4459</v>
      </c>
      <c r="C30" s="38">
        <v>-12173</v>
      </c>
      <c r="D30" s="38">
        <v>0</v>
      </c>
      <c r="E30" s="38">
        <v>-180</v>
      </c>
      <c r="F30" s="38">
        <v>-1887</v>
      </c>
      <c r="G30" s="38">
        <v>0</v>
      </c>
      <c r="H30" s="38">
        <v>0</v>
      </c>
      <c r="I30" s="38">
        <v>0</v>
      </c>
      <c r="J30" s="38">
        <f>-500-2500-500-1000</f>
        <v>-4500</v>
      </c>
      <c r="K30" s="10">
        <v>-10000</v>
      </c>
      <c r="L30" s="10">
        <v>-14500</v>
      </c>
      <c r="M30" s="10">
        <v>-12500</v>
      </c>
      <c r="N30" s="10">
        <v>-14000</v>
      </c>
      <c r="O30" s="10">
        <v>-9500</v>
      </c>
      <c r="P30" s="10">
        <f>-19000-4000</f>
        <v>-23000</v>
      </c>
      <c r="Q30" s="10">
        <v>-19850</v>
      </c>
      <c r="R30" s="10">
        <v>-27630</v>
      </c>
      <c r="S30" s="9">
        <v>-29500</v>
      </c>
      <c r="T30" s="249">
        <v>-36000</v>
      </c>
      <c r="U30" s="190">
        <v>-36000</v>
      </c>
      <c r="V30" s="217" t="s">
        <v>2871</v>
      </c>
    </row>
    <row r="31" spans="1:24" x14ac:dyDescent="0.3">
      <c r="A31" s="4" t="s">
        <v>32</v>
      </c>
      <c r="B31" s="38">
        <f>-2650-3100-1600</f>
        <v>-7350</v>
      </c>
      <c r="C31" s="38">
        <f>-250-2500-1842</f>
        <v>-4592</v>
      </c>
      <c r="D31" s="38">
        <f>-250-4500-1899</f>
        <v>-6649</v>
      </c>
      <c r="E31" s="38">
        <v>-6338</v>
      </c>
      <c r="F31" s="38">
        <v>-6643</v>
      </c>
      <c r="G31" s="38">
        <v>-3530</v>
      </c>
      <c r="H31" s="38">
        <v>-1024</v>
      </c>
      <c r="I31" s="38">
        <f>-774-250</f>
        <v>-1024</v>
      </c>
      <c r="J31" s="38">
        <f>-771-500</f>
        <v>-1271</v>
      </c>
      <c r="K31" s="10">
        <v>-3000</v>
      </c>
      <c r="L31" s="10">
        <v>-500</v>
      </c>
      <c r="M31" s="10">
        <v>-500</v>
      </c>
      <c r="N31" s="10">
        <v>-500</v>
      </c>
      <c r="O31" s="10">
        <v>-500</v>
      </c>
      <c r="P31" s="10">
        <v>-500</v>
      </c>
      <c r="Q31" s="10">
        <v>-500</v>
      </c>
      <c r="R31" s="10">
        <v>-500</v>
      </c>
      <c r="S31" s="9">
        <v>-500</v>
      </c>
      <c r="T31" s="249">
        <v>-500</v>
      </c>
      <c r="U31" s="190">
        <v>-500</v>
      </c>
    </row>
    <row r="32" spans="1:24" ht="21.6" x14ac:dyDescent="0.3">
      <c r="A32" s="4" t="s">
        <v>491</v>
      </c>
      <c r="B32" s="38">
        <v>0</v>
      </c>
      <c r="C32" s="38">
        <f>-75994-6425</f>
        <v>-82419</v>
      </c>
      <c r="D32" s="38">
        <f>-29362-12800</f>
        <v>-42162</v>
      </c>
      <c r="E32" s="38">
        <v>0</v>
      </c>
      <c r="F32" s="38">
        <v>0</v>
      </c>
      <c r="G32" s="38">
        <v>-102305</v>
      </c>
      <c r="H32" s="38">
        <v>-94393</v>
      </c>
      <c r="I32" s="38">
        <f>-1824-(23*800)-34400-1130-45448</f>
        <v>-101202</v>
      </c>
      <c r="J32" s="38">
        <f>-268-800-800-800-800-800-800-800-800-800-800-800-800-800-800-800-800-800-264-800-800-28998-800-800-800-36777</f>
        <v>-83907</v>
      </c>
      <c r="K32" s="10">
        <v>-90569</v>
      </c>
      <c r="L32" s="10">
        <v>-87302</v>
      </c>
      <c r="M32" s="10">
        <v>-94382</v>
      </c>
      <c r="N32" s="10">
        <v>-111217</v>
      </c>
      <c r="O32" s="10">
        <v>-128246</v>
      </c>
      <c r="P32" s="10">
        <v>-166907</v>
      </c>
      <c r="Q32" s="10">
        <v>-161843</v>
      </c>
      <c r="R32" s="10">
        <v>-202575</v>
      </c>
      <c r="S32" s="9">
        <f>-146155-110395</f>
        <v>-256550</v>
      </c>
      <c r="T32" s="249">
        <v>-256550</v>
      </c>
      <c r="U32" s="190">
        <v>-200000</v>
      </c>
      <c r="V32" s="217" t="s">
        <v>2886</v>
      </c>
      <c r="W32" s="197"/>
    </row>
    <row r="33" spans="1:23" ht="21.6" x14ac:dyDescent="0.3">
      <c r="A33" s="4" t="s">
        <v>2830</v>
      </c>
      <c r="B33" s="38">
        <v>0</v>
      </c>
      <c r="C33" s="38">
        <f>-75994-6425</f>
        <v>-82419</v>
      </c>
      <c r="D33" s="38">
        <f>-29362-12800</f>
        <v>-42162</v>
      </c>
      <c r="E33" s="38">
        <v>0</v>
      </c>
      <c r="F33" s="38">
        <v>0</v>
      </c>
      <c r="G33" s="38">
        <v>-102305</v>
      </c>
      <c r="H33" s="38">
        <v>-94393</v>
      </c>
      <c r="I33" s="38">
        <f>-1824-(23*800)-34400-1130-45448</f>
        <v>-101202</v>
      </c>
      <c r="J33" s="38">
        <f>-268-800-800-800-800-800-800-800-800-800-800-800-800-800-800-800-800-800-264-800-800-28998-800-800-800-36777</f>
        <v>-83907</v>
      </c>
      <c r="K33" s="10">
        <v>-90569</v>
      </c>
      <c r="L33" s="10">
        <v>-87302</v>
      </c>
      <c r="M33" s="10">
        <v>-94382</v>
      </c>
      <c r="N33" s="10">
        <v>-111217</v>
      </c>
      <c r="O33" s="10"/>
      <c r="P33" s="10"/>
      <c r="Q33" s="10"/>
      <c r="R33" s="10"/>
      <c r="S33" s="9">
        <v>-114703</v>
      </c>
      <c r="T33" s="249">
        <v>-114700</v>
      </c>
      <c r="U33" s="190">
        <v>-120000</v>
      </c>
      <c r="V33" s="217" t="s">
        <v>2887</v>
      </c>
      <c r="W33" s="197"/>
    </row>
    <row r="34" spans="1:23" hidden="1" x14ac:dyDescent="0.3">
      <c r="A34" s="4" t="s">
        <v>33</v>
      </c>
      <c r="B34" s="38">
        <v>0</v>
      </c>
      <c r="C34" s="38">
        <v>0</v>
      </c>
      <c r="D34" s="38">
        <v>0</v>
      </c>
      <c r="E34" s="38">
        <v>-741</v>
      </c>
      <c r="F34" s="38">
        <v>-547</v>
      </c>
      <c r="G34" s="38">
        <v>-154</v>
      </c>
      <c r="H34" s="38">
        <v>-510</v>
      </c>
      <c r="I34" s="38">
        <v>0</v>
      </c>
      <c r="J34" s="38">
        <f>-160</f>
        <v>-160</v>
      </c>
      <c r="K34" s="10">
        <v>0</v>
      </c>
      <c r="L34" s="10">
        <v>0</v>
      </c>
      <c r="M34" s="10">
        <v>0</v>
      </c>
      <c r="N34" s="10">
        <v>0</v>
      </c>
      <c r="O34" s="10"/>
      <c r="P34" s="10"/>
      <c r="Q34" s="10"/>
      <c r="R34" s="10"/>
      <c r="S34" s="9"/>
      <c r="T34" s="249">
        <v>0</v>
      </c>
      <c r="U34" s="190">
        <v>0</v>
      </c>
      <c r="W34" s="197"/>
    </row>
    <row r="35" spans="1:23" ht="31.2" customHeight="1" x14ac:dyDescent="0.3">
      <c r="A35" s="4" t="s">
        <v>493</v>
      </c>
      <c r="B35" s="38">
        <f>-635-7900</f>
        <v>-8535</v>
      </c>
      <c r="C35" s="38">
        <f>-1500-935-3800-2859-81</f>
        <v>-9175</v>
      </c>
      <c r="D35" s="38">
        <f>-755-1100</f>
        <v>-1855</v>
      </c>
      <c r="E35" s="38">
        <f>-2424-5850</f>
        <v>-8274</v>
      </c>
      <c r="F35" s="38">
        <v>-4637.7700000000004</v>
      </c>
      <c r="G35" s="38">
        <f>-2261-14329</f>
        <v>-16590</v>
      </c>
      <c r="H35" s="38">
        <v>-8129</v>
      </c>
      <c r="I35" s="38">
        <f>-469-740+140+140-4815-234</f>
        <v>-5978</v>
      </c>
      <c r="J35" s="38">
        <f>140-1170-608-2080-341</f>
        <v>-4059</v>
      </c>
      <c r="K35" s="10">
        <v>-11110</v>
      </c>
      <c r="L35" s="10">
        <f>-1688+-1553</f>
        <v>-3241</v>
      </c>
      <c r="M35" s="10">
        <f>-6416-763</f>
        <v>-7179</v>
      </c>
      <c r="N35" s="10">
        <f>-2226-250-4352</f>
        <v>-6828</v>
      </c>
      <c r="O35" s="10">
        <f>-2835-250-1000</f>
        <v>-4085</v>
      </c>
      <c r="P35" s="10">
        <v>-5059</v>
      </c>
      <c r="Q35" s="10">
        <f>-750-1134-300-1094-78-365-350-711-1000-295-148</f>
        <v>-6225</v>
      </c>
      <c r="R35" s="244">
        <f>-750-65-1368-1000-308-1600-90-74-1368-187-130-75-500-800-100-132-500</f>
        <v>-9047</v>
      </c>
      <c r="S35" s="9">
        <f>-10438</f>
        <v>-10438</v>
      </c>
      <c r="T35" s="249">
        <v>-12500</v>
      </c>
      <c r="U35" s="190">
        <v>-5000</v>
      </c>
      <c r="V35" s="217" t="s">
        <v>2772</v>
      </c>
      <c r="W35" s="197"/>
    </row>
    <row r="36" spans="1:23" x14ac:dyDescent="0.3">
      <c r="A36" s="7" t="s">
        <v>2555</v>
      </c>
      <c r="B36" s="39">
        <f t="shared" ref="B36:S36" si="3">SUM(B19:B35)</f>
        <v>-218877</v>
      </c>
      <c r="C36" s="39">
        <f t="shared" si="3"/>
        <v>-341353</v>
      </c>
      <c r="D36" s="39">
        <f t="shared" si="3"/>
        <v>-230006</v>
      </c>
      <c r="E36" s="39">
        <f t="shared" si="3"/>
        <v>-247088.42</v>
      </c>
      <c r="F36" s="39">
        <f t="shared" si="3"/>
        <v>-325572.77</v>
      </c>
      <c r="G36" s="39">
        <f t="shared" si="3"/>
        <v>-559750</v>
      </c>
      <c r="H36" s="39">
        <f t="shared" si="3"/>
        <v>-561459</v>
      </c>
      <c r="I36" s="39">
        <f t="shared" si="3"/>
        <v>-719361</v>
      </c>
      <c r="J36" s="39">
        <f t="shared" si="3"/>
        <v>-668640</v>
      </c>
      <c r="K36" s="12">
        <f t="shared" si="3"/>
        <v>-825567</v>
      </c>
      <c r="L36" s="12">
        <f t="shared" si="3"/>
        <v>-681388</v>
      </c>
      <c r="M36" s="12">
        <f t="shared" si="3"/>
        <v>-732678</v>
      </c>
      <c r="N36" s="12">
        <f t="shared" si="3"/>
        <v>-656833</v>
      </c>
      <c r="O36" s="12">
        <f t="shared" ref="O36" si="4">SUM(O19:O35)</f>
        <v>-596955</v>
      </c>
      <c r="P36" s="12">
        <f t="shared" si="3"/>
        <v>-827607</v>
      </c>
      <c r="Q36" s="12">
        <f t="shared" ref="Q36:R36" si="5">SUM(Q19:Q35)</f>
        <v>-1006287</v>
      </c>
      <c r="R36" s="12">
        <f t="shared" si="5"/>
        <v>-910429</v>
      </c>
      <c r="S36" s="11">
        <f t="shared" si="3"/>
        <v>-1134091</v>
      </c>
      <c r="T36" s="250">
        <f>SUM(T19:T35)</f>
        <v>-1287050</v>
      </c>
      <c r="U36" s="191">
        <f>SUM(U19:U35)</f>
        <v>-1211500</v>
      </c>
      <c r="V36" s="272"/>
      <c r="W36" s="206"/>
    </row>
    <row r="37" spans="1:23" hidden="1" x14ac:dyDescent="0.3">
      <c r="A37" s="7"/>
      <c r="B37" s="41"/>
      <c r="C37" s="41"/>
      <c r="D37" s="41"/>
      <c r="E37" s="39"/>
      <c r="F37" s="39"/>
      <c r="G37" s="39"/>
      <c r="H37" s="39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113"/>
      <c r="T37" s="250"/>
      <c r="U37" s="191"/>
      <c r="W37" s="207"/>
    </row>
    <row r="38" spans="1:23" s="13" customFormat="1" ht="38.25" hidden="1" customHeight="1" x14ac:dyDescent="0.3">
      <c r="A38" s="7" t="s">
        <v>48</v>
      </c>
      <c r="B38" s="39">
        <f t="shared" ref="B38:S38" si="6">+B36+B16</f>
        <v>-24174</v>
      </c>
      <c r="C38" s="39">
        <f t="shared" si="6"/>
        <v>90222</v>
      </c>
      <c r="D38" s="39">
        <f t="shared" si="6"/>
        <v>52801</v>
      </c>
      <c r="E38" s="39">
        <f t="shared" si="6"/>
        <v>61890.859999999957</v>
      </c>
      <c r="F38" s="39">
        <f t="shared" si="6"/>
        <v>65140.510000000009</v>
      </c>
      <c r="G38" s="39">
        <f t="shared" si="6"/>
        <v>-186130</v>
      </c>
      <c r="H38" s="39">
        <f t="shared" si="6"/>
        <v>13716</v>
      </c>
      <c r="I38" s="12">
        <f t="shared" si="6"/>
        <v>8475</v>
      </c>
      <c r="J38" s="12">
        <f t="shared" si="6"/>
        <v>33650</v>
      </c>
      <c r="K38" s="12">
        <f t="shared" si="6"/>
        <v>-90243</v>
      </c>
      <c r="L38" s="12">
        <f t="shared" si="6"/>
        <v>-9760</v>
      </c>
      <c r="M38" s="12">
        <f t="shared" si="6"/>
        <v>-15024</v>
      </c>
      <c r="N38" s="12">
        <f t="shared" si="6"/>
        <v>106700</v>
      </c>
      <c r="O38" s="12">
        <f t="shared" si="6"/>
        <v>104927</v>
      </c>
      <c r="P38" s="12">
        <f t="shared" si="6"/>
        <v>4017</v>
      </c>
      <c r="Q38" s="12">
        <f t="shared" si="6"/>
        <v>-67622</v>
      </c>
      <c r="R38" s="12">
        <f t="shared" si="6"/>
        <v>2288</v>
      </c>
      <c r="S38" s="11">
        <f t="shared" si="6"/>
        <v>91002</v>
      </c>
      <c r="T38" s="250">
        <f>T16+T36</f>
        <v>-367</v>
      </c>
      <c r="U38" s="191">
        <f>U16+U36</f>
        <v>10500</v>
      </c>
      <c r="V38" s="217"/>
      <c r="W38" s="207"/>
    </row>
    <row r="39" spans="1:23" s="13" customFormat="1" hidden="1" x14ac:dyDescent="0.3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1"/>
      <c r="T39" s="250"/>
      <c r="U39" s="191"/>
      <c r="V39" s="217"/>
      <c r="W39" s="207"/>
    </row>
    <row r="40" spans="1:23" s="13" customFormat="1" hidden="1" x14ac:dyDescent="0.3">
      <c r="A40" s="7" t="s">
        <v>1530</v>
      </c>
      <c r="B40" s="39">
        <v>-10000</v>
      </c>
      <c r="C40" s="39">
        <v>-10000</v>
      </c>
      <c r="D40" s="39">
        <v>-10000</v>
      </c>
      <c r="E40" s="39">
        <v>-10000</v>
      </c>
      <c r="F40" s="39">
        <v>-10000</v>
      </c>
      <c r="G40" s="39">
        <v>-14449</v>
      </c>
      <c r="H40" s="39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1">
        <v>0</v>
      </c>
      <c r="T40" s="250">
        <v>0</v>
      </c>
      <c r="U40" s="191">
        <v>0</v>
      </c>
      <c r="V40" s="217"/>
      <c r="W40" s="206"/>
    </row>
    <row r="41" spans="1:23" s="13" customFormat="1" ht="16.2" thickBot="1" x14ac:dyDescent="0.35">
      <c r="A41" s="7"/>
      <c r="B41" s="41"/>
      <c r="C41" s="41"/>
      <c r="D41" s="41"/>
      <c r="E41" s="39"/>
      <c r="F41" s="39"/>
      <c r="G41" s="39"/>
      <c r="H41" s="39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4"/>
      <c r="T41" s="251"/>
      <c r="U41" s="210"/>
      <c r="V41" s="272"/>
      <c r="W41" s="206"/>
    </row>
    <row r="42" spans="1:23" s="13" customFormat="1" ht="16.2" thickBot="1" x14ac:dyDescent="0.35">
      <c r="A42" s="7" t="s">
        <v>2557</v>
      </c>
      <c r="B42" s="39">
        <f t="shared" ref="B42:T42" si="7">+B40+B38</f>
        <v>-34174</v>
      </c>
      <c r="C42" s="39">
        <f t="shared" si="7"/>
        <v>80222</v>
      </c>
      <c r="D42" s="39">
        <f t="shared" si="7"/>
        <v>42801</v>
      </c>
      <c r="E42" s="39">
        <f t="shared" si="7"/>
        <v>51890.859999999957</v>
      </c>
      <c r="F42" s="39">
        <f t="shared" si="7"/>
        <v>55140.510000000009</v>
      </c>
      <c r="G42" s="39">
        <f t="shared" si="7"/>
        <v>-200579</v>
      </c>
      <c r="H42" s="39">
        <f t="shared" si="7"/>
        <v>13716</v>
      </c>
      <c r="I42" s="12">
        <f t="shared" si="7"/>
        <v>8475</v>
      </c>
      <c r="J42" s="12">
        <f>+J40+J38</f>
        <v>33650</v>
      </c>
      <c r="K42" s="12">
        <f t="shared" si="7"/>
        <v>-90243</v>
      </c>
      <c r="L42" s="12">
        <f t="shared" si="7"/>
        <v>-9760</v>
      </c>
      <c r="M42" s="12">
        <f t="shared" si="7"/>
        <v>-15024</v>
      </c>
      <c r="N42" s="12">
        <f t="shared" si="7"/>
        <v>106700</v>
      </c>
      <c r="O42" s="12">
        <f t="shared" si="7"/>
        <v>104927</v>
      </c>
      <c r="P42" s="12">
        <f t="shared" si="7"/>
        <v>4017</v>
      </c>
      <c r="Q42" s="12">
        <f t="shared" si="7"/>
        <v>-67622</v>
      </c>
      <c r="R42" s="12">
        <f t="shared" si="7"/>
        <v>2288</v>
      </c>
      <c r="S42" s="154">
        <f t="shared" si="7"/>
        <v>91002</v>
      </c>
      <c r="T42" s="252">
        <f t="shared" si="7"/>
        <v>-367</v>
      </c>
      <c r="U42" s="192">
        <f>+U40+U38</f>
        <v>10500</v>
      </c>
      <c r="V42" s="217"/>
      <c r="W42" s="208"/>
    </row>
    <row r="43" spans="1:23" s="13" customFormat="1" x14ac:dyDescent="0.3">
      <c r="A43" s="4"/>
      <c r="B43" s="4"/>
      <c r="C43" s="4"/>
      <c r="D43" s="4"/>
      <c r="E43" s="4"/>
      <c r="F43" s="4"/>
      <c r="G43" s="4"/>
      <c r="H43" s="4"/>
      <c r="T43" s="58"/>
      <c r="U43" s="58"/>
      <c r="V43" s="217"/>
      <c r="W43" s="155"/>
    </row>
    <row r="44" spans="1:23" s="13" customFormat="1" x14ac:dyDescent="0.3">
      <c r="A44" s="4"/>
      <c r="B44" s="4"/>
      <c r="C44" s="4"/>
      <c r="D44" s="4"/>
      <c r="E44" s="4"/>
      <c r="F44" s="4"/>
      <c r="G44" s="4"/>
      <c r="H44" s="4"/>
      <c r="Q44" s="281"/>
      <c r="R44" s="281"/>
      <c r="S44" s="1"/>
      <c r="T44" s="278"/>
      <c r="U44" s="1"/>
      <c r="V44" s="282"/>
      <c r="W44" s="157"/>
    </row>
    <row r="45" spans="1:23" x14ac:dyDescent="0.3">
      <c r="O45" s="13"/>
      <c r="Q45" s="281"/>
      <c r="R45" s="281"/>
      <c r="T45" s="278"/>
      <c r="V45" s="282"/>
    </row>
    <row r="46" spans="1:23" x14ac:dyDescent="0.3">
      <c r="Q46" s="281"/>
      <c r="R46" s="281"/>
      <c r="T46" s="278"/>
      <c r="V46" s="282"/>
    </row>
    <row r="47" spans="1:23" x14ac:dyDescent="0.3">
      <c r="Q47" s="281"/>
      <c r="R47" s="281"/>
      <c r="T47" s="278"/>
      <c r="V47" s="282"/>
    </row>
    <row r="48" spans="1:23" x14ac:dyDescent="0.3">
      <c r="Q48" s="283"/>
      <c r="R48" s="283"/>
      <c r="V48" s="284"/>
    </row>
    <row r="49" spans="16:24" x14ac:dyDescent="0.3">
      <c r="Q49" s="285"/>
      <c r="R49" s="285"/>
      <c r="T49" s="281"/>
      <c r="U49" s="4"/>
    </row>
    <row r="50" spans="16:24" s="4" customFormat="1" x14ac:dyDescent="0.3">
      <c r="P50" s="1"/>
      <c r="S50" s="1"/>
      <c r="T50" s="283"/>
      <c r="V50" s="282"/>
      <c r="W50" s="155"/>
      <c r="X50" s="1"/>
    </row>
    <row r="51" spans="16:24" s="4" customFormat="1" x14ac:dyDescent="0.3">
      <c r="S51" s="1"/>
      <c r="T51" s="283"/>
      <c r="V51" s="282"/>
      <c r="W51" s="155"/>
      <c r="X51" s="1"/>
    </row>
    <row r="52" spans="16:24" s="4" customFormat="1" x14ac:dyDescent="0.3">
      <c r="S52" s="1"/>
      <c r="T52" s="283"/>
      <c r="V52" s="282"/>
      <c r="W52" s="155"/>
      <c r="X52" s="1"/>
    </row>
    <row r="53" spans="16:24" s="4" customFormat="1" x14ac:dyDescent="0.3">
      <c r="Q53" s="1"/>
      <c r="R53" s="1"/>
      <c r="S53" s="1"/>
      <c r="T53" s="283"/>
      <c r="U53" s="1"/>
      <c r="V53" s="282"/>
      <c r="W53" s="155"/>
      <c r="X53" s="1"/>
    </row>
    <row r="54" spans="16:24" x14ac:dyDescent="0.3">
      <c r="T54" s="286"/>
      <c r="V54" s="282"/>
    </row>
    <row r="55" spans="16:24" x14ac:dyDescent="0.3">
      <c r="T55" s="286"/>
      <c r="V55" s="282"/>
    </row>
    <row r="56" spans="16:24" x14ac:dyDescent="0.3">
      <c r="V56" s="282"/>
    </row>
    <row r="57" spans="16:24" x14ac:dyDescent="0.3">
      <c r="V57" s="282"/>
    </row>
    <row r="58" spans="16:24" x14ac:dyDescent="0.3">
      <c r="V58" s="284"/>
    </row>
  </sheetData>
  <mergeCells count="2">
    <mergeCell ref="K1:M1"/>
    <mergeCell ref="O1:P1"/>
  </mergeCells>
  <pageMargins left="0.7" right="0.7" top="0.75" bottom="0.75" header="0.3" footer="0.3"/>
  <pageSetup paperSize="9" scale="58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CDB6C-A261-497B-B0CE-5E8620A34AE1}">
  <sheetPr>
    <tabColor theme="5" tint="-0.249977111117893"/>
    <pageSetUpPr fitToPage="1"/>
  </sheetPr>
  <dimension ref="A1:S52"/>
  <sheetViews>
    <sheetView zoomScale="90" zoomScaleNormal="90" workbookViewId="0">
      <pane xSplit="1" ySplit="3" topLeftCell="H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customWidth="1"/>
    <col min="9" max="14" width="16.44140625" style="1" customWidth="1"/>
    <col min="15" max="16" width="18.5546875" style="1" customWidth="1"/>
    <col min="17" max="17" width="27" style="196" customWidth="1"/>
    <col min="18" max="18" width="12" style="155" customWidth="1"/>
    <col min="19" max="16384" width="9.109375" style="1"/>
  </cols>
  <sheetData>
    <row r="1" spans="1:18" ht="31.8" thickBot="1" x14ac:dyDescent="0.65">
      <c r="A1" s="211" t="s">
        <v>486</v>
      </c>
      <c r="C1" s="224"/>
      <c r="D1" s="224"/>
      <c r="H1" s="295" t="s">
        <v>487</v>
      </c>
      <c r="I1" s="295"/>
      <c r="J1" s="295"/>
    </row>
    <row r="2" spans="1:18" ht="16.2" thickBot="1" x14ac:dyDescent="0.35"/>
    <row r="3" spans="1:18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227">
        <v>2020</v>
      </c>
      <c r="O3" s="253" t="s">
        <v>809</v>
      </c>
      <c r="P3" s="240" t="s">
        <v>2521</v>
      </c>
      <c r="Q3" s="156"/>
      <c r="R3" s="156"/>
    </row>
    <row r="4" spans="1:18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110"/>
      <c r="N4" s="110">
        <v>44104</v>
      </c>
      <c r="O4" s="110">
        <v>44196</v>
      </c>
      <c r="P4" s="209"/>
      <c r="Q4" s="156"/>
      <c r="R4" s="156"/>
    </row>
    <row r="5" spans="1:18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37"/>
      <c r="N5" s="237"/>
      <c r="O5" s="111"/>
      <c r="P5" s="8"/>
      <c r="Q5" s="155"/>
    </row>
    <row r="6" spans="1:18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9">
        <v>174547</v>
      </c>
      <c r="N6" s="9">
        <v>154205</v>
      </c>
      <c r="O6" s="249">
        <v>170000</v>
      </c>
      <c r="P6" s="190">
        <v>170000</v>
      </c>
      <c r="Q6" s="217" t="s">
        <v>2543</v>
      </c>
    </row>
    <row r="7" spans="1:18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9">
        <v>171450</v>
      </c>
      <c r="N7" s="9">
        <v>179900</v>
      </c>
      <c r="O7" s="249">
        <v>180000</v>
      </c>
      <c r="P7" s="190">
        <v>170000</v>
      </c>
      <c r="Q7" s="266" t="s">
        <v>2540</v>
      </c>
    </row>
    <row r="8" spans="1:18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9">
        <v>94105</v>
      </c>
      <c r="N8" s="9">
        <v>29830</v>
      </c>
      <c r="O8" s="249">
        <v>30000</v>
      </c>
      <c r="P8" s="190">
        <v>95000</v>
      </c>
      <c r="Q8" s="217"/>
    </row>
    <row r="9" spans="1:18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9">
        <v>12988</v>
      </c>
      <c r="N9" s="9">
        <v>20320</v>
      </c>
      <c r="O9" s="249">
        <v>20000</v>
      </c>
      <c r="P9" s="190">
        <v>15000</v>
      </c>
      <c r="Q9" s="236" t="s">
        <v>2539</v>
      </c>
    </row>
    <row r="10" spans="1:18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9">
        <v>63900</v>
      </c>
      <c r="N10" s="9">
        <v>40260</v>
      </c>
      <c r="O10" s="249">
        <v>40260</v>
      </c>
      <c r="P10" s="190">
        <v>35000</v>
      </c>
      <c r="Q10" s="217" t="s">
        <v>2533</v>
      </c>
    </row>
    <row r="11" spans="1:18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9">
        <v>89680</v>
      </c>
      <c r="N11" s="9">
        <v>95633</v>
      </c>
      <c r="O11" s="249">
        <v>95633</v>
      </c>
      <c r="P11" s="190">
        <v>90000</v>
      </c>
      <c r="Q11" s="155"/>
    </row>
    <row r="12" spans="1:18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9">
        <v>0</v>
      </c>
      <c r="N12" s="9">
        <v>0</v>
      </c>
      <c r="O12" s="249">
        <v>0</v>
      </c>
      <c r="P12" s="190">
        <v>0</v>
      </c>
      <c r="Q12" s="155"/>
    </row>
    <row r="13" spans="1:18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9">
        <v>0</v>
      </c>
      <c r="N13" s="9">
        <v>0</v>
      </c>
      <c r="O13" s="249">
        <v>0</v>
      </c>
      <c r="P13" s="190">
        <v>0</v>
      </c>
      <c r="Q13" s="155"/>
    </row>
    <row r="14" spans="1:18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9">
        <v>21304</v>
      </c>
      <c r="N14" s="9">
        <v>62780</v>
      </c>
      <c r="O14" s="249">
        <v>65000</v>
      </c>
      <c r="P14" s="190">
        <v>20000</v>
      </c>
      <c r="Q14" s="236" t="s">
        <v>2542</v>
      </c>
    </row>
    <row r="15" spans="1:18" x14ac:dyDescent="0.3">
      <c r="A15" s="7" t="s">
        <v>29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1">
        <f>SUM(M6:M14)</f>
        <v>627974</v>
      </c>
      <c r="N15" s="11">
        <f>SUM(N6:N14)</f>
        <v>582928</v>
      </c>
      <c r="O15" s="250">
        <f t="shared" ref="O15:P15" si="2">SUM(O6:O14)</f>
        <v>600893</v>
      </c>
      <c r="P15" s="191">
        <f t="shared" si="2"/>
        <v>595000</v>
      </c>
      <c r="Q15" s="155"/>
    </row>
    <row r="16" spans="1:18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M16" s="111"/>
      <c r="N16" s="111"/>
      <c r="O16" s="249"/>
      <c r="P16" s="190"/>
      <c r="Q16" s="155"/>
    </row>
    <row r="17" spans="1:19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M17" s="112"/>
      <c r="N17" s="112"/>
      <c r="O17" s="249"/>
      <c r="P17" s="190"/>
      <c r="Q17" s="159"/>
      <c r="R17" s="159"/>
    </row>
    <row r="18" spans="1:19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10">
        <v>-150140</v>
      </c>
      <c r="M18" s="9">
        <v>-104717</v>
      </c>
      <c r="N18" s="9">
        <v>-101315</v>
      </c>
      <c r="O18" s="249">
        <v>-135000</v>
      </c>
      <c r="P18" s="190">
        <v>-110000</v>
      </c>
      <c r="Q18" s="157" t="s">
        <v>2527</v>
      </c>
      <c r="R18" s="197"/>
      <c r="S18" s="55"/>
    </row>
    <row r="19" spans="1:19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10">
        <v>-70226</v>
      </c>
      <c r="M19" s="9">
        <v>-120875</v>
      </c>
      <c r="N19" s="9">
        <v>-77277</v>
      </c>
      <c r="O19" s="249">
        <v>-90000</v>
      </c>
      <c r="P19" s="190">
        <v>-120000</v>
      </c>
      <c r="Q19" s="157" t="s">
        <v>2544</v>
      </c>
      <c r="R19" s="197"/>
    </row>
    <row r="20" spans="1:19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9">
        <v>0</v>
      </c>
      <c r="N20" s="9">
        <v>-469</v>
      </c>
      <c r="O20" s="249">
        <v>-500</v>
      </c>
      <c r="P20" s="190">
        <v>0</v>
      </c>
      <c r="Q20" s="157"/>
      <c r="R20" s="197"/>
    </row>
    <row r="21" spans="1:19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9">
        <v>-70704</v>
      </c>
      <c r="N21" s="9">
        <v>0</v>
      </c>
      <c r="O21" s="249">
        <v>-15000</v>
      </c>
      <c r="P21" s="190">
        <v>-40000</v>
      </c>
      <c r="Q21" s="157" t="s">
        <v>2529</v>
      </c>
      <c r="R21" s="197"/>
    </row>
    <row r="22" spans="1:19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9">
        <v>-39500</v>
      </c>
      <c r="N22" s="9">
        <v>-31192</v>
      </c>
      <c r="O22" s="249">
        <v>-35000</v>
      </c>
      <c r="P22" s="190">
        <v>-40000</v>
      </c>
      <c r="Q22" s="157" t="s">
        <v>2541</v>
      </c>
      <c r="R22" s="197"/>
    </row>
    <row r="23" spans="1:19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9">
        <v>-88679</v>
      </c>
      <c r="N23" s="9">
        <v>-66361</v>
      </c>
      <c r="O23" s="249">
        <v>-70000</v>
      </c>
      <c r="P23" s="190">
        <v>-90000</v>
      </c>
      <c r="Q23" s="157" t="s">
        <v>2528</v>
      </c>
      <c r="R23" s="197"/>
    </row>
    <row r="24" spans="1:19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9">
        <v>-3860</v>
      </c>
      <c r="N24" s="9">
        <v>-7420</v>
      </c>
      <c r="O24" s="249">
        <v>-7500</v>
      </c>
      <c r="P24" s="190">
        <v>-4000</v>
      </c>
      <c r="Q24" s="155"/>
      <c r="R24" s="197"/>
    </row>
    <row r="25" spans="1:19" ht="24.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9">
        <v>-20500</v>
      </c>
      <c r="N25" s="9">
        <v>-9100</v>
      </c>
      <c r="O25" s="249">
        <v>-10000</v>
      </c>
      <c r="P25" s="190">
        <v>-20000</v>
      </c>
      <c r="Q25" s="157" t="s">
        <v>2528</v>
      </c>
      <c r="R25" s="197"/>
    </row>
    <row r="26" spans="1:19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9">
        <v>-41400</v>
      </c>
      <c r="N26" s="9">
        <v>-36600</v>
      </c>
      <c r="O26" s="249">
        <v>-45000</v>
      </c>
      <c r="P26" s="190">
        <v>-40000</v>
      </c>
      <c r="Q26" s="157" t="s">
        <v>2531</v>
      </c>
      <c r="R26" s="197"/>
    </row>
    <row r="27" spans="1:19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9">
        <v>-15500</v>
      </c>
      <c r="N27" s="9">
        <v>-12550</v>
      </c>
      <c r="O27" s="249">
        <v>-15000</v>
      </c>
      <c r="P27" s="190">
        <v>-15000</v>
      </c>
      <c r="Q27" s="157" t="s">
        <v>2529</v>
      </c>
      <c r="R27" s="197"/>
    </row>
    <row r="28" spans="1:19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9">
        <v>-18000</v>
      </c>
      <c r="N28" s="9">
        <v>-25600</v>
      </c>
      <c r="O28" s="249">
        <v>-27000</v>
      </c>
      <c r="P28" s="190">
        <v>-20000</v>
      </c>
      <c r="Q28" s="157" t="s">
        <v>2532</v>
      </c>
      <c r="R28" s="197"/>
    </row>
    <row r="29" spans="1:19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9">
        <v>-12500</v>
      </c>
      <c r="N29" s="9">
        <v>-14000</v>
      </c>
      <c r="O29" s="249">
        <v>-15000</v>
      </c>
      <c r="P29" s="190">
        <v>-15000</v>
      </c>
      <c r="Q29" s="157" t="s">
        <v>2532</v>
      </c>
    </row>
    <row r="30" spans="1:19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9">
        <v>-500</v>
      </c>
      <c r="N30" s="9">
        <v>-500</v>
      </c>
      <c r="O30" s="249">
        <v>-500</v>
      </c>
      <c r="P30" s="190">
        <v>-500</v>
      </c>
      <c r="Q30" s="157"/>
    </row>
    <row r="31" spans="1:19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9">
        <v>-94382</v>
      </c>
      <c r="N31" s="9">
        <v>-111217</v>
      </c>
      <c r="O31" s="249">
        <v>-111217</v>
      </c>
      <c r="P31" s="190">
        <v>-90000</v>
      </c>
      <c r="Q31" s="157" t="s">
        <v>2545</v>
      </c>
      <c r="R31" s="197"/>
    </row>
    <row r="32" spans="1:19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9">
        <v>0</v>
      </c>
      <c r="N32" s="9">
        <v>0</v>
      </c>
      <c r="O32" s="249">
        <v>0</v>
      </c>
      <c r="P32" s="190">
        <v>0</v>
      </c>
      <c r="Q32" s="155"/>
      <c r="R32" s="197"/>
    </row>
    <row r="33" spans="1:19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9">
        <f>-6416-763</f>
        <v>-7179</v>
      </c>
      <c r="N33" s="9">
        <f>-2226-250-4352</f>
        <v>-6828</v>
      </c>
      <c r="O33" s="249">
        <v>-7000</v>
      </c>
      <c r="P33" s="190">
        <v>-5000</v>
      </c>
      <c r="Q33" s="157" t="s">
        <v>2499</v>
      </c>
      <c r="R33" s="197"/>
    </row>
    <row r="34" spans="1:19" x14ac:dyDescent="0.3">
      <c r="A34" s="7" t="s">
        <v>47</v>
      </c>
      <c r="B34" s="39">
        <f>SUM(B18:B33)</f>
        <v>-218877</v>
      </c>
      <c r="C34" s="39">
        <f t="shared" ref="C34:O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1">
        <f t="shared" si="3"/>
        <v>-638296</v>
      </c>
      <c r="N34" s="11">
        <f t="shared" si="3"/>
        <v>-500429</v>
      </c>
      <c r="O34" s="250">
        <f t="shared" si="3"/>
        <v>-583717</v>
      </c>
      <c r="P34" s="191">
        <f>SUM(P18:P33)</f>
        <v>-609500</v>
      </c>
      <c r="Q34" s="205"/>
      <c r="R34" s="206"/>
    </row>
    <row r="35" spans="1:19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113"/>
      <c r="N35" s="113"/>
      <c r="O35" s="250"/>
      <c r="P35" s="191"/>
      <c r="Q35" s="158"/>
      <c r="R35" s="207"/>
    </row>
    <row r="36" spans="1:19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2">
        <f t="shared" si="4"/>
        <v>-84874</v>
      </c>
      <c r="L36" s="12">
        <f>+L34+L15</f>
        <v>8025</v>
      </c>
      <c r="M36" s="11">
        <f>+M34+M15</f>
        <v>-10322</v>
      </c>
      <c r="N36" s="11">
        <f>+N34+N15</f>
        <v>82499</v>
      </c>
      <c r="O36" s="250">
        <f>O15+O34</f>
        <v>17176</v>
      </c>
      <c r="P36" s="191">
        <f>P15+P34</f>
        <v>-14500</v>
      </c>
      <c r="Q36" s="158"/>
      <c r="R36" s="207"/>
    </row>
    <row r="37" spans="1:19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1"/>
      <c r="N37" s="11"/>
      <c r="O37" s="250"/>
      <c r="P37" s="191"/>
      <c r="Q37" s="158"/>
      <c r="R37" s="207"/>
    </row>
    <row r="38" spans="1:19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1">
        <v>0</v>
      </c>
      <c r="N38" s="11">
        <v>0</v>
      </c>
      <c r="O38" s="250">
        <v>0</v>
      </c>
      <c r="P38" s="191">
        <v>0</v>
      </c>
      <c r="Q38" s="155"/>
      <c r="R38" s="206"/>
    </row>
    <row r="39" spans="1:19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245"/>
      <c r="M39" s="11"/>
      <c r="N39" s="11"/>
      <c r="O39" s="251"/>
      <c r="P39" s="210"/>
      <c r="Q39" s="205"/>
      <c r="R39" s="206"/>
    </row>
    <row r="40" spans="1:19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2">
        <f>+L38+L36</f>
        <v>8025</v>
      </c>
      <c r="M40" s="154">
        <f>+M38+M36</f>
        <v>-10322</v>
      </c>
      <c r="N40" s="154">
        <f>+N38+N36</f>
        <v>82499</v>
      </c>
      <c r="O40" s="252">
        <f>+O38+O36</f>
        <v>17176</v>
      </c>
      <c r="P40" s="192">
        <f>+P38+P36</f>
        <v>-14500</v>
      </c>
      <c r="Q40" s="155"/>
      <c r="R40" s="208"/>
    </row>
    <row r="41" spans="1:19" s="13" customFormat="1" x14ac:dyDescent="0.3">
      <c r="A41" s="4"/>
      <c r="B41" s="4"/>
      <c r="C41" s="4"/>
      <c r="D41" s="4"/>
      <c r="E41" s="4"/>
      <c r="F41" s="4"/>
      <c r="G41" s="4"/>
      <c r="H41" s="4"/>
      <c r="O41" s="58"/>
      <c r="P41" s="58"/>
      <c r="Q41" s="196"/>
      <c r="R41" s="155"/>
    </row>
    <row r="42" spans="1:19" x14ac:dyDescent="0.3">
      <c r="O42" s="55"/>
      <c r="P42" s="261"/>
      <c r="Q42" s="155"/>
    </row>
    <row r="43" spans="1:19" x14ac:dyDescent="0.3">
      <c r="O43" s="99"/>
    </row>
    <row r="44" spans="1:19" x14ac:dyDescent="0.3">
      <c r="O44" s="222"/>
    </row>
    <row r="45" spans="1:19" x14ac:dyDescent="0.3">
      <c r="O45" s="207"/>
    </row>
    <row r="46" spans="1:19" x14ac:dyDescent="0.3">
      <c r="O46" s="222"/>
    </row>
    <row r="47" spans="1:19" s="4" customFormat="1" x14ac:dyDescent="0.3">
      <c r="O47" s="99"/>
      <c r="Q47" s="196"/>
      <c r="R47" s="155"/>
      <c r="S47" s="1"/>
    </row>
    <row r="48" spans="1:19" s="4" customFormat="1" x14ac:dyDescent="0.3">
      <c r="O48" s="99"/>
      <c r="Q48" s="196"/>
      <c r="R48" s="155"/>
      <c r="S48" s="1"/>
    </row>
    <row r="49" spans="15:19" s="4" customFormat="1" x14ac:dyDescent="0.3">
      <c r="O49" s="99"/>
      <c r="Q49" s="196"/>
      <c r="R49" s="155"/>
      <c r="S49" s="1"/>
    </row>
    <row r="50" spans="15:19" s="4" customFormat="1" x14ac:dyDescent="0.3">
      <c r="O50" s="99"/>
      <c r="Q50" s="196"/>
      <c r="R50" s="155"/>
      <c r="S50" s="1"/>
    </row>
    <row r="51" spans="15:19" x14ac:dyDescent="0.3">
      <c r="O51" s="99"/>
    </row>
    <row r="52" spans="15:19" x14ac:dyDescent="0.3">
      <c r="O52" s="223"/>
    </row>
  </sheetData>
  <mergeCells count="1">
    <mergeCell ref="H1:J1"/>
  </mergeCells>
  <pageMargins left="0.7" right="0.7" top="0.75" bottom="0.75" header="0.3" footer="0.3"/>
  <pageSetup paperSize="9" scale="58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9B954-A5C5-4D87-A7F6-7C4D609C9EC9}">
  <sheetPr>
    <tabColor theme="5" tint="-0.249977111117893"/>
    <pageSetUpPr fitToPage="1"/>
  </sheetPr>
  <dimension ref="A1:S52"/>
  <sheetViews>
    <sheetView zoomScale="90" zoomScaleNormal="90" workbookViewId="0">
      <pane xSplit="1" ySplit="3" topLeftCell="H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customWidth="1"/>
    <col min="9" max="14" width="16.44140625" style="1" customWidth="1"/>
    <col min="15" max="16" width="18.5546875" style="1" customWidth="1"/>
    <col min="17" max="17" width="27" style="196" customWidth="1"/>
    <col min="18" max="18" width="12" style="155" customWidth="1"/>
    <col min="19" max="16384" width="9.109375" style="1"/>
  </cols>
  <sheetData>
    <row r="1" spans="1:18" ht="31.8" thickBot="1" x14ac:dyDescent="0.65">
      <c r="A1" s="211" t="s">
        <v>486</v>
      </c>
      <c r="C1" s="224"/>
      <c r="D1" s="224"/>
      <c r="H1" s="295" t="s">
        <v>487</v>
      </c>
      <c r="I1" s="295"/>
      <c r="J1" s="295"/>
    </row>
    <row r="2" spans="1:18" ht="16.2" thickBot="1" x14ac:dyDescent="0.35"/>
    <row r="3" spans="1:18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227">
        <v>2020</v>
      </c>
      <c r="O3" s="253" t="s">
        <v>809</v>
      </c>
      <c r="P3" s="240" t="s">
        <v>2521</v>
      </c>
      <c r="Q3" s="156"/>
      <c r="R3" s="156"/>
    </row>
    <row r="4" spans="1:18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110"/>
      <c r="N4" s="110">
        <v>44058</v>
      </c>
      <c r="O4" s="110">
        <v>44196</v>
      </c>
      <c r="P4" s="209"/>
      <c r="Q4" s="156"/>
      <c r="R4" s="156"/>
    </row>
    <row r="5" spans="1:18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37"/>
      <c r="N5" s="237"/>
      <c r="O5" s="111"/>
      <c r="P5" s="8"/>
      <c r="Q5" s="155"/>
    </row>
    <row r="6" spans="1:18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9">
        <v>174547</v>
      </c>
      <c r="N6" s="9">
        <v>72471</v>
      </c>
      <c r="O6" s="249">
        <v>170000</v>
      </c>
      <c r="P6" s="190">
        <v>170000</v>
      </c>
      <c r="Q6" s="217" t="s">
        <v>2543</v>
      </c>
    </row>
    <row r="7" spans="1:18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9">
        <v>171450</v>
      </c>
      <c r="N7" s="9">
        <v>177200</v>
      </c>
      <c r="O7" s="249">
        <v>180000</v>
      </c>
      <c r="P7" s="190">
        <v>170000</v>
      </c>
      <c r="Q7" s="266" t="s">
        <v>2540</v>
      </c>
    </row>
    <row r="8" spans="1:18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9">
        <v>94105</v>
      </c>
      <c r="N8" s="9">
        <v>20272</v>
      </c>
      <c r="O8" s="249">
        <v>40000</v>
      </c>
      <c r="P8" s="190">
        <v>95000</v>
      </c>
      <c r="Q8" s="217"/>
    </row>
    <row r="9" spans="1:18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9">
        <v>12988</v>
      </c>
      <c r="N9" s="9">
        <v>15240</v>
      </c>
      <c r="O9" s="249">
        <v>15000</v>
      </c>
      <c r="P9" s="190">
        <v>15000</v>
      </c>
      <c r="Q9" s="236" t="s">
        <v>2539</v>
      </c>
    </row>
    <row r="10" spans="1:18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9">
        <v>63900</v>
      </c>
      <c r="N10" s="9">
        <v>30260</v>
      </c>
      <c r="O10" s="249">
        <v>30000</v>
      </c>
      <c r="P10" s="190">
        <v>35000</v>
      </c>
      <c r="Q10" s="217" t="s">
        <v>2533</v>
      </c>
    </row>
    <row r="11" spans="1:18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9">
        <v>89680</v>
      </c>
      <c r="N11" s="9">
        <v>95633</v>
      </c>
      <c r="O11" s="249">
        <v>95633</v>
      </c>
      <c r="P11" s="190">
        <v>90000</v>
      </c>
      <c r="Q11" s="155"/>
    </row>
    <row r="12" spans="1:18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9">
        <v>0</v>
      </c>
      <c r="N12" s="9">
        <v>0</v>
      </c>
      <c r="O12" s="249">
        <v>0</v>
      </c>
      <c r="P12" s="190">
        <v>0</v>
      </c>
      <c r="Q12" s="155"/>
    </row>
    <row r="13" spans="1:18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9">
        <v>0</v>
      </c>
      <c r="N13" s="9">
        <v>0</v>
      </c>
      <c r="O13" s="249">
        <v>0</v>
      </c>
      <c r="P13" s="190">
        <v>0</v>
      </c>
      <c r="Q13" s="155"/>
    </row>
    <row r="14" spans="1:18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9">
        <v>21304</v>
      </c>
      <c r="N14" s="9">
        <v>62780</v>
      </c>
      <c r="O14" s="249">
        <v>65000</v>
      </c>
      <c r="P14" s="190">
        <v>20000</v>
      </c>
      <c r="Q14" s="236" t="s">
        <v>2542</v>
      </c>
    </row>
    <row r="15" spans="1:18" x14ac:dyDescent="0.3">
      <c r="A15" s="7" t="s">
        <v>29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1">
        <f>SUM(M6:M14)</f>
        <v>627974</v>
      </c>
      <c r="N15" s="11">
        <f>SUM(N6:N14)</f>
        <v>473856</v>
      </c>
      <c r="O15" s="250">
        <f t="shared" ref="O15:P15" si="2">SUM(O6:O14)</f>
        <v>595633</v>
      </c>
      <c r="P15" s="191">
        <f t="shared" si="2"/>
        <v>595000</v>
      </c>
      <c r="Q15" s="155"/>
    </row>
    <row r="16" spans="1:18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M16" s="111"/>
      <c r="N16" s="111"/>
      <c r="O16" s="249"/>
      <c r="P16" s="190"/>
      <c r="Q16" s="155"/>
    </row>
    <row r="17" spans="1:19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M17" s="112"/>
      <c r="N17" s="112"/>
      <c r="O17" s="249"/>
      <c r="P17" s="190"/>
      <c r="Q17" s="159"/>
      <c r="R17" s="159"/>
    </row>
    <row r="18" spans="1:19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10">
        <v>-150140</v>
      </c>
      <c r="M18" s="9">
        <v>-104717</v>
      </c>
      <c r="N18" s="9">
        <v>-81431</v>
      </c>
      <c r="O18" s="249">
        <v>-120000</v>
      </c>
      <c r="P18" s="190">
        <v>-110000</v>
      </c>
      <c r="Q18" s="157" t="s">
        <v>2527</v>
      </c>
      <c r="R18" s="197"/>
      <c r="S18" s="55"/>
    </row>
    <row r="19" spans="1:19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10">
        <v>-70226</v>
      </c>
      <c r="M19" s="9">
        <v>-120875</v>
      </c>
      <c r="N19" s="9">
        <v>-61709</v>
      </c>
      <c r="O19" s="249">
        <v>-105000</v>
      </c>
      <c r="P19" s="190">
        <v>-120000</v>
      </c>
      <c r="Q19" s="157" t="s">
        <v>2544</v>
      </c>
      <c r="R19" s="197"/>
    </row>
    <row r="20" spans="1:19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9">
        <v>0</v>
      </c>
      <c r="N20" s="9">
        <v>0</v>
      </c>
      <c r="O20" s="249">
        <v>0</v>
      </c>
      <c r="P20" s="190">
        <v>0</v>
      </c>
      <c r="Q20" s="157"/>
      <c r="R20" s="197"/>
    </row>
    <row r="21" spans="1:19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9">
        <v>-70704</v>
      </c>
      <c r="N21" s="9">
        <v>0</v>
      </c>
      <c r="O21" s="249">
        <v>-30000</v>
      </c>
      <c r="P21" s="190">
        <v>-40000</v>
      </c>
      <c r="Q21" s="157" t="s">
        <v>2529</v>
      </c>
      <c r="R21" s="197"/>
    </row>
    <row r="22" spans="1:19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9">
        <v>-39500</v>
      </c>
      <c r="N22" s="9">
        <v>-30892</v>
      </c>
      <c r="O22" s="249">
        <v>-40000</v>
      </c>
      <c r="P22" s="190">
        <v>-40000</v>
      </c>
      <c r="Q22" s="157" t="s">
        <v>2541</v>
      </c>
      <c r="R22" s="197"/>
    </row>
    <row r="23" spans="1:19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9">
        <v>-88679</v>
      </c>
      <c r="N23" s="9">
        <v>-38223</v>
      </c>
      <c r="O23" s="249">
        <v>-70000</v>
      </c>
      <c r="P23" s="190">
        <v>-90000</v>
      </c>
      <c r="Q23" s="157" t="s">
        <v>2528</v>
      </c>
      <c r="R23" s="197"/>
    </row>
    <row r="24" spans="1:19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9">
        <v>-3860</v>
      </c>
      <c r="N24" s="9">
        <v>-7420</v>
      </c>
      <c r="O24" s="249">
        <v>-7500</v>
      </c>
      <c r="P24" s="190">
        <v>-4000</v>
      </c>
      <c r="Q24" s="155"/>
      <c r="R24" s="197"/>
    </row>
    <row r="25" spans="1:19" ht="24.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9">
        <v>-20500</v>
      </c>
      <c r="N25" s="9">
        <v>-6700</v>
      </c>
      <c r="O25" s="249">
        <v>-10000</v>
      </c>
      <c r="P25" s="190">
        <v>-20000</v>
      </c>
      <c r="Q25" s="157" t="s">
        <v>2528</v>
      </c>
      <c r="R25" s="197"/>
    </row>
    <row r="26" spans="1:19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9">
        <v>-41400</v>
      </c>
      <c r="N26" s="9">
        <v>-36600</v>
      </c>
      <c r="O26" s="249">
        <v>-40000</v>
      </c>
      <c r="P26" s="190">
        <v>-40000</v>
      </c>
      <c r="Q26" s="157" t="s">
        <v>2531</v>
      </c>
      <c r="R26" s="197"/>
    </row>
    <row r="27" spans="1:19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9">
        <v>-15500</v>
      </c>
      <c r="N27" s="9">
        <v>-11350</v>
      </c>
      <c r="O27" s="249">
        <v>-15000</v>
      </c>
      <c r="P27" s="190">
        <v>-15000</v>
      </c>
      <c r="Q27" s="157" t="s">
        <v>2529</v>
      </c>
      <c r="R27" s="197"/>
    </row>
    <row r="28" spans="1:19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9">
        <v>-18000</v>
      </c>
      <c r="N28" s="9">
        <v>-25250</v>
      </c>
      <c r="O28" s="249">
        <v>-27000</v>
      </c>
      <c r="P28" s="190">
        <v>-20000</v>
      </c>
      <c r="Q28" s="157" t="s">
        <v>2532</v>
      </c>
      <c r="R28" s="197"/>
    </row>
    <row r="29" spans="1:19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9">
        <v>-12500</v>
      </c>
      <c r="N29" s="9">
        <v>-14000</v>
      </c>
      <c r="O29" s="249">
        <v>-15000</v>
      </c>
      <c r="P29" s="190">
        <v>-15000</v>
      </c>
      <c r="Q29" s="157" t="s">
        <v>2532</v>
      </c>
    </row>
    <row r="30" spans="1:19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9">
        <v>-500</v>
      </c>
      <c r="N30" s="9">
        <v>-500</v>
      </c>
      <c r="O30" s="249">
        <v>-500</v>
      </c>
      <c r="P30" s="190">
        <v>-500</v>
      </c>
      <c r="Q30" s="157"/>
    </row>
    <row r="31" spans="1:19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9">
        <v>-94382</v>
      </c>
      <c r="N31" s="9">
        <v>-16553</v>
      </c>
      <c r="O31" s="249">
        <v>-90000</v>
      </c>
      <c r="P31" s="190">
        <v>-90000</v>
      </c>
      <c r="Q31" s="155"/>
      <c r="R31" s="197"/>
    </row>
    <row r="32" spans="1:19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9">
        <v>0</v>
      </c>
      <c r="N32" s="9">
        <v>0</v>
      </c>
      <c r="O32" s="249">
        <v>0</v>
      </c>
      <c r="P32" s="190">
        <v>0</v>
      </c>
      <c r="Q32" s="155"/>
      <c r="R32" s="197"/>
    </row>
    <row r="33" spans="1:19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9">
        <f>-6416-763</f>
        <v>-7179</v>
      </c>
      <c r="N33" s="9">
        <f>-2226-250-4352</f>
        <v>-6828</v>
      </c>
      <c r="O33" s="249">
        <v>-7000</v>
      </c>
      <c r="P33" s="190">
        <v>-5000</v>
      </c>
      <c r="Q33" s="157" t="s">
        <v>2499</v>
      </c>
      <c r="R33" s="197"/>
    </row>
    <row r="34" spans="1:19" x14ac:dyDescent="0.3">
      <c r="A34" s="7" t="s">
        <v>47</v>
      </c>
      <c r="B34" s="39">
        <f>SUM(B18:B33)</f>
        <v>-218877</v>
      </c>
      <c r="C34" s="39">
        <f t="shared" ref="C34:O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1">
        <f t="shared" si="3"/>
        <v>-638296</v>
      </c>
      <c r="N34" s="11">
        <f t="shared" si="3"/>
        <v>-337456</v>
      </c>
      <c r="O34" s="250">
        <f t="shared" si="3"/>
        <v>-577000</v>
      </c>
      <c r="P34" s="191">
        <f>SUM(P18:P33)</f>
        <v>-609500</v>
      </c>
      <c r="Q34" s="205"/>
      <c r="R34" s="206"/>
    </row>
    <row r="35" spans="1:19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113"/>
      <c r="N35" s="113"/>
      <c r="O35" s="250"/>
      <c r="P35" s="191"/>
      <c r="Q35" s="158"/>
      <c r="R35" s="207"/>
    </row>
    <row r="36" spans="1:19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2">
        <f t="shared" si="4"/>
        <v>-84874</v>
      </c>
      <c r="L36" s="12">
        <f>+L34+L15</f>
        <v>8025</v>
      </c>
      <c r="M36" s="11">
        <f>+M34+M15</f>
        <v>-10322</v>
      </c>
      <c r="N36" s="11">
        <f>+N34+N15</f>
        <v>136400</v>
      </c>
      <c r="O36" s="250">
        <f>O15+O34</f>
        <v>18633</v>
      </c>
      <c r="P36" s="191">
        <f>P15+P34</f>
        <v>-14500</v>
      </c>
      <c r="Q36" s="158"/>
      <c r="R36" s="207"/>
    </row>
    <row r="37" spans="1:19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1"/>
      <c r="N37" s="11"/>
      <c r="O37" s="250"/>
      <c r="P37" s="191"/>
      <c r="Q37" s="158"/>
      <c r="R37" s="207"/>
    </row>
    <row r="38" spans="1:19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1">
        <v>0</v>
      </c>
      <c r="N38" s="11">
        <v>0</v>
      </c>
      <c r="O38" s="250">
        <v>0</v>
      </c>
      <c r="P38" s="191">
        <v>0</v>
      </c>
      <c r="Q38" s="155"/>
      <c r="R38" s="206"/>
    </row>
    <row r="39" spans="1:19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245"/>
      <c r="M39" s="11"/>
      <c r="N39" s="11"/>
      <c r="O39" s="251"/>
      <c r="P39" s="210"/>
      <c r="Q39" s="205"/>
      <c r="R39" s="206"/>
    </row>
    <row r="40" spans="1:19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2">
        <f>+L38+L36</f>
        <v>8025</v>
      </c>
      <c r="M40" s="154">
        <f>+M38+M36</f>
        <v>-10322</v>
      </c>
      <c r="N40" s="154">
        <f>+N38+N36</f>
        <v>136400</v>
      </c>
      <c r="O40" s="252">
        <f>+O38+O36</f>
        <v>18633</v>
      </c>
      <c r="P40" s="192">
        <f>+P38+P36</f>
        <v>-14500</v>
      </c>
      <c r="Q40" s="155"/>
      <c r="R40" s="208"/>
    </row>
    <row r="41" spans="1:19" s="13" customFormat="1" x14ac:dyDescent="0.3">
      <c r="A41" s="4"/>
      <c r="B41" s="4"/>
      <c r="C41" s="4"/>
      <c r="D41" s="4"/>
      <c r="E41" s="4"/>
      <c r="F41" s="4"/>
      <c r="G41" s="4"/>
      <c r="H41" s="4"/>
      <c r="O41" s="58"/>
      <c r="P41" s="58"/>
      <c r="Q41" s="196"/>
      <c r="R41" s="155"/>
    </row>
    <row r="42" spans="1:19" x14ac:dyDescent="0.3">
      <c r="O42" s="55"/>
      <c r="P42" s="261"/>
      <c r="Q42" s="155"/>
    </row>
    <row r="43" spans="1:19" x14ac:dyDescent="0.3">
      <c r="O43" s="99"/>
    </row>
    <row r="44" spans="1:19" x14ac:dyDescent="0.3">
      <c r="O44" s="222"/>
    </row>
    <row r="45" spans="1:19" x14ac:dyDescent="0.3">
      <c r="O45" s="207"/>
    </row>
    <row r="46" spans="1:19" x14ac:dyDescent="0.3">
      <c r="O46" s="222"/>
    </row>
    <row r="47" spans="1:19" s="4" customFormat="1" x14ac:dyDescent="0.3">
      <c r="O47" s="99"/>
      <c r="Q47" s="196"/>
      <c r="R47" s="155"/>
      <c r="S47" s="1"/>
    </row>
    <row r="48" spans="1:19" s="4" customFormat="1" x14ac:dyDescent="0.3">
      <c r="O48" s="99"/>
      <c r="Q48" s="196"/>
      <c r="R48" s="155"/>
      <c r="S48" s="1"/>
    </row>
    <row r="49" spans="15:19" s="4" customFormat="1" x14ac:dyDescent="0.3">
      <c r="O49" s="99"/>
      <c r="Q49" s="196"/>
      <c r="R49" s="155"/>
      <c r="S49" s="1"/>
    </row>
    <row r="50" spans="15:19" s="4" customFormat="1" x14ac:dyDescent="0.3">
      <c r="O50" s="99"/>
      <c r="Q50" s="196"/>
      <c r="R50" s="155"/>
      <c r="S50" s="1"/>
    </row>
    <row r="51" spans="15:19" x14ac:dyDescent="0.3">
      <c r="O51" s="99"/>
    </row>
    <row r="52" spans="15:19" x14ac:dyDescent="0.3">
      <c r="O52" s="223"/>
    </row>
  </sheetData>
  <mergeCells count="1">
    <mergeCell ref="H1:J1"/>
  </mergeCells>
  <pageMargins left="0.7" right="0.7" top="0.75" bottom="0.75" header="0.3" footer="0.3"/>
  <pageSetup paperSize="9" scale="58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977FA-307B-4B28-B1F6-1B54C64F96A6}">
  <sheetPr>
    <tabColor theme="5" tint="-0.249977111117893"/>
    <pageSetUpPr fitToPage="1"/>
  </sheetPr>
  <dimension ref="A1:S52"/>
  <sheetViews>
    <sheetView zoomScale="90" zoomScaleNormal="90" workbookViewId="0">
      <pane xSplit="1" ySplit="3" topLeftCell="H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customWidth="1"/>
    <col min="9" max="14" width="16.44140625" style="1" customWidth="1"/>
    <col min="15" max="16" width="18.5546875" style="1" customWidth="1"/>
    <col min="17" max="17" width="27" style="196" customWidth="1"/>
    <col min="18" max="18" width="12" style="155" customWidth="1"/>
    <col min="19" max="16384" width="9.109375" style="1"/>
  </cols>
  <sheetData>
    <row r="1" spans="1:18" ht="31.8" thickBot="1" x14ac:dyDescent="0.65">
      <c r="A1" s="211" t="s">
        <v>486</v>
      </c>
      <c r="C1" s="224"/>
      <c r="D1" s="224"/>
      <c r="H1" s="295" t="s">
        <v>487</v>
      </c>
      <c r="I1" s="295"/>
      <c r="J1" s="295"/>
    </row>
    <row r="2" spans="1:18" ht="16.2" thickBot="1" x14ac:dyDescent="0.35"/>
    <row r="3" spans="1:18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227">
        <v>2020</v>
      </c>
      <c r="O3" s="253" t="s">
        <v>809</v>
      </c>
      <c r="P3" s="240" t="s">
        <v>2521</v>
      </c>
      <c r="Q3" s="156"/>
      <c r="R3" s="156"/>
    </row>
    <row r="4" spans="1:18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110"/>
      <c r="N4" s="110">
        <v>43999</v>
      </c>
      <c r="O4" s="110">
        <v>44196</v>
      </c>
      <c r="P4" s="209"/>
      <c r="Q4" s="156"/>
      <c r="R4" s="156"/>
    </row>
    <row r="5" spans="1:18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37"/>
      <c r="N5" s="237"/>
      <c r="O5" s="111"/>
      <c r="P5" s="8"/>
      <c r="Q5" s="155"/>
    </row>
    <row r="6" spans="1:18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9">
        <v>174547</v>
      </c>
      <c r="N6" s="9">
        <v>72471</v>
      </c>
      <c r="O6" s="249">
        <v>170000</v>
      </c>
      <c r="P6" s="190">
        <v>170000</v>
      </c>
      <c r="Q6" s="217" t="s">
        <v>2525</v>
      </c>
    </row>
    <row r="7" spans="1:18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9">
        <v>171450</v>
      </c>
      <c r="N7" s="9">
        <v>157400</v>
      </c>
      <c r="O7" s="249">
        <v>170000</v>
      </c>
      <c r="P7" s="190">
        <v>170000</v>
      </c>
      <c r="Q7" s="266" t="s">
        <v>2537</v>
      </c>
    </row>
    <row r="8" spans="1:18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9">
        <v>94105</v>
      </c>
      <c r="N8" s="9">
        <v>2040</v>
      </c>
      <c r="O8" s="249">
        <v>40000</v>
      </c>
      <c r="P8" s="190">
        <v>95000</v>
      </c>
      <c r="Q8" s="217"/>
    </row>
    <row r="9" spans="1:18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9">
        <v>12988</v>
      </c>
      <c r="N9" s="9">
        <v>10160</v>
      </c>
      <c r="O9" s="249">
        <v>15000</v>
      </c>
      <c r="P9" s="190">
        <v>15000</v>
      </c>
      <c r="Q9" s="236" t="s">
        <v>2538</v>
      </c>
    </row>
    <row r="10" spans="1:18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9">
        <v>63900</v>
      </c>
      <c r="N10" s="9">
        <v>30000</v>
      </c>
      <c r="O10" s="249">
        <v>50000</v>
      </c>
      <c r="P10" s="190">
        <v>35000</v>
      </c>
      <c r="Q10" s="217" t="s">
        <v>2533</v>
      </c>
    </row>
    <row r="11" spans="1:18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9">
        <v>89680</v>
      </c>
      <c r="N11" s="9">
        <v>0</v>
      </c>
      <c r="O11" s="249">
        <v>90000</v>
      </c>
      <c r="P11" s="190">
        <v>90000</v>
      </c>
      <c r="Q11" s="155"/>
    </row>
    <row r="12" spans="1:18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9">
        <v>0</v>
      </c>
      <c r="N12" s="9">
        <v>0</v>
      </c>
      <c r="O12" s="249">
        <v>0</v>
      </c>
      <c r="P12" s="190">
        <v>0</v>
      </c>
      <c r="Q12" s="155"/>
    </row>
    <row r="13" spans="1:18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9">
        <v>0</v>
      </c>
      <c r="N13" s="9">
        <v>0</v>
      </c>
      <c r="O13" s="249">
        <v>0</v>
      </c>
      <c r="P13" s="190">
        <v>0</v>
      </c>
      <c r="Q13" s="155"/>
    </row>
    <row r="14" spans="1:18" ht="41.2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9">
        <v>21304</v>
      </c>
      <c r="N14" s="9">
        <v>10780</v>
      </c>
      <c r="O14" s="249">
        <v>20000</v>
      </c>
      <c r="P14" s="190">
        <v>20000</v>
      </c>
      <c r="Q14" s="236" t="s">
        <v>2526</v>
      </c>
    </row>
    <row r="15" spans="1:18" x14ac:dyDescent="0.3">
      <c r="A15" s="7" t="s">
        <v>29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1">
        <f>SUM(M6:M14)</f>
        <v>627974</v>
      </c>
      <c r="N15" s="11">
        <f>SUM(N6:N14)</f>
        <v>282851</v>
      </c>
      <c r="O15" s="250">
        <f t="shared" ref="O15:P15" si="2">SUM(O6:O14)</f>
        <v>555000</v>
      </c>
      <c r="P15" s="191">
        <f t="shared" si="2"/>
        <v>595000</v>
      </c>
      <c r="Q15" s="155"/>
    </row>
    <row r="16" spans="1:18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M16" s="111"/>
      <c r="N16" s="111"/>
      <c r="O16" s="249"/>
      <c r="P16" s="190"/>
      <c r="Q16" s="155"/>
    </row>
    <row r="17" spans="1:19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M17" s="112"/>
      <c r="N17" s="112"/>
      <c r="O17" s="249"/>
      <c r="P17" s="190"/>
      <c r="Q17" s="159"/>
      <c r="R17" s="159"/>
    </row>
    <row r="18" spans="1:19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10">
        <v>-150140</v>
      </c>
      <c r="M18" s="9">
        <v>-104717</v>
      </c>
      <c r="N18" s="9">
        <v>-47828</v>
      </c>
      <c r="O18" s="249">
        <v>-110000</v>
      </c>
      <c r="P18" s="190">
        <v>-110000</v>
      </c>
      <c r="Q18" s="157" t="s">
        <v>2527</v>
      </c>
      <c r="R18" s="197"/>
      <c r="S18" s="55"/>
    </row>
    <row r="19" spans="1:19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10">
        <v>-70226</v>
      </c>
      <c r="M19" s="9">
        <v>-120875</v>
      </c>
      <c r="N19" s="9">
        <v>-47660</v>
      </c>
      <c r="O19" s="249">
        <v>-150000</v>
      </c>
      <c r="P19" s="190">
        <v>-120000</v>
      </c>
      <c r="Q19" s="157" t="s">
        <v>2536</v>
      </c>
      <c r="R19" s="197"/>
    </row>
    <row r="20" spans="1:19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9">
        <v>0</v>
      </c>
      <c r="N20" s="9">
        <v>0</v>
      </c>
      <c r="O20" s="249">
        <v>0</v>
      </c>
      <c r="P20" s="190">
        <v>0</v>
      </c>
      <c r="Q20" s="157"/>
      <c r="R20" s="197"/>
    </row>
    <row r="21" spans="1:19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9">
        <v>-70704</v>
      </c>
      <c r="N21" s="9">
        <v>0</v>
      </c>
      <c r="O21" s="249">
        <v>-30000</v>
      </c>
      <c r="P21" s="190">
        <v>-40000</v>
      </c>
      <c r="Q21" s="157" t="s">
        <v>2529</v>
      </c>
      <c r="R21" s="197"/>
    </row>
    <row r="22" spans="1:19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9">
        <v>-39500</v>
      </c>
      <c r="N22" s="9">
        <v>-5392</v>
      </c>
      <c r="O22" s="249">
        <v>-40000</v>
      </c>
      <c r="P22" s="190">
        <v>-40000</v>
      </c>
      <c r="Q22" s="157" t="s">
        <v>2530</v>
      </c>
      <c r="R22" s="197"/>
    </row>
    <row r="23" spans="1:19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9">
        <v>-88679</v>
      </c>
      <c r="N23" s="9">
        <v>-27900</v>
      </c>
      <c r="O23" s="249">
        <v>-70000</v>
      </c>
      <c r="P23" s="190">
        <v>-90000</v>
      </c>
      <c r="Q23" s="157" t="s">
        <v>2528</v>
      </c>
      <c r="R23" s="197"/>
    </row>
    <row r="24" spans="1:19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9">
        <v>-3860</v>
      </c>
      <c r="N24" s="9">
        <v>-1700</v>
      </c>
      <c r="O24" s="249">
        <v>-4000</v>
      </c>
      <c r="P24" s="190">
        <v>-4000</v>
      </c>
      <c r="Q24" s="155"/>
      <c r="R24" s="197"/>
    </row>
    <row r="25" spans="1:19" ht="24.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9">
        <v>-20500</v>
      </c>
      <c r="N25" s="9">
        <v>-6700</v>
      </c>
      <c r="O25" s="249">
        <v>-10000</v>
      </c>
      <c r="P25" s="190">
        <v>-20000</v>
      </c>
      <c r="Q25" s="157" t="s">
        <v>2528</v>
      </c>
      <c r="R25" s="197"/>
    </row>
    <row r="26" spans="1:19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9">
        <v>-41400</v>
      </c>
      <c r="N26" s="9">
        <v>-15200</v>
      </c>
      <c r="O26" s="249">
        <v>-40000</v>
      </c>
      <c r="P26" s="190">
        <v>-40000</v>
      </c>
      <c r="Q26" s="157" t="s">
        <v>2531</v>
      </c>
      <c r="R26" s="197"/>
    </row>
    <row r="27" spans="1:19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9">
        <v>-15500</v>
      </c>
      <c r="N27" s="9">
        <v>-10950</v>
      </c>
      <c r="O27" s="249">
        <v>-15000</v>
      </c>
      <c r="P27" s="190">
        <v>-15000</v>
      </c>
      <c r="Q27" s="157" t="s">
        <v>2529</v>
      </c>
      <c r="R27" s="197"/>
    </row>
    <row r="28" spans="1:19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9">
        <v>-18000</v>
      </c>
      <c r="N28" s="9">
        <v>-21000</v>
      </c>
      <c r="O28" s="249">
        <v>-21000</v>
      </c>
      <c r="P28" s="190">
        <v>-20000</v>
      </c>
      <c r="Q28" s="157" t="s">
        <v>2532</v>
      </c>
      <c r="R28" s="197"/>
    </row>
    <row r="29" spans="1:19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9">
        <v>-12500</v>
      </c>
      <c r="N29" s="9">
        <v>-9000</v>
      </c>
      <c r="O29" s="249">
        <v>-15000</v>
      </c>
      <c r="P29" s="190">
        <v>-15000</v>
      </c>
      <c r="Q29" s="157" t="s">
        <v>2532</v>
      </c>
    </row>
    <row r="30" spans="1:19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9">
        <v>-500</v>
      </c>
      <c r="N30" s="9">
        <v>-500</v>
      </c>
      <c r="O30" s="249">
        <v>-500</v>
      </c>
      <c r="P30" s="190">
        <v>-500</v>
      </c>
      <c r="Q30" s="157"/>
    </row>
    <row r="31" spans="1:19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9">
        <v>-94382</v>
      </c>
      <c r="N31" s="9">
        <v>0</v>
      </c>
      <c r="O31" s="249">
        <v>-90000</v>
      </c>
      <c r="P31" s="190">
        <v>-90000</v>
      </c>
      <c r="Q31" s="155"/>
      <c r="R31" s="197"/>
    </row>
    <row r="32" spans="1:19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9">
        <v>0</v>
      </c>
      <c r="N32" s="9">
        <v>0</v>
      </c>
      <c r="O32" s="249">
        <v>0</v>
      </c>
      <c r="P32" s="190">
        <v>0</v>
      </c>
      <c r="Q32" s="155"/>
      <c r="R32" s="197"/>
    </row>
    <row r="33" spans="1:19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9">
        <f>-6416-763</f>
        <v>-7179</v>
      </c>
      <c r="N33" s="9">
        <f>-2226-250-4352</f>
        <v>-6828</v>
      </c>
      <c r="O33" s="249">
        <v>-7000</v>
      </c>
      <c r="P33" s="190">
        <v>-5000</v>
      </c>
      <c r="Q33" s="157" t="s">
        <v>2499</v>
      </c>
      <c r="R33" s="197"/>
    </row>
    <row r="34" spans="1:19" x14ac:dyDescent="0.3">
      <c r="A34" s="7" t="s">
        <v>47</v>
      </c>
      <c r="B34" s="39">
        <f>SUM(B18:B33)</f>
        <v>-218877</v>
      </c>
      <c r="C34" s="39">
        <f t="shared" ref="C34:O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1">
        <f t="shared" si="3"/>
        <v>-638296</v>
      </c>
      <c r="N34" s="11">
        <f t="shared" si="3"/>
        <v>-200658</v>
      </c>
      <c r="O34" s="250">
        <f t="shared" si="3"/>
        <v>-602500</v>
      </c>
      <c r="P34" s="191">
        <f>SUM(P18:P33)</f>
        <v>-609500</v>
      </c>
      <c r="Q34" s="205"/>
      <c r="R34" s="206"/>
    </row>
    <row r="35" spans="1:19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113"/>
      <c r="N35" s="113"/>
      <c r="O35" s="250"/>
      <c r="P35" s="191"/>
      <c r="Q35" s="158"/>
      <c r="R35" s="207"/>
    </row>
    <row r="36" spans="1:19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2">
        <f t="shared" si="4"/>
        <v>-84874</v>
      </c>
      <c r="L36" s="12">
        <f>+L34+L15</f>
        <v>8025</v>
      </c>
      <c r="M36" s="11">
        <f>+M34+M15</f>
        <v>-10322</v>
      </c>
      <c r="N36" s="11">
        <f>+N34+N15</f>
        <v>82193</v>
      </c>
      <c r="O36" s="250">
        <f>O15+O34</f>
        <v>-47500</v>
      </c>
      <c r="P36" s="191">
        <f>P15+P34</f>
        <v>-14500</v>
      </c>
      <c r="Q36" s="158"/>
      <c r="R36" s="207"/>
    </row>
    <row r="37" spans="1:19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1"/>
      <c r="N37" s="11"/>
      <c r="O37" s="250"/>
      <c r="P37" s="191"/>
      <c r="Q37" s="158"/>
      <c r="R37" s="207"/>
    </row>
    <row r="38" spans="1:19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1">
        <v>0</v>
      </c>
      <c r="N38" s="11">
        <v>0</v>
      </c>
      <c r="O38" s="250">
        <v>0</v>
      </c>
      <c r="P38" s="191">
        <v>0</v>
      </c>
      <c r="Q38" s="155"/>
      <c r="R38" s="206"/>
    </row>
    <row r="39" spans="1:19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245"/>
      <c r="M39" s="11"/>
      <c r="N39" s="11"/>
      <c r="O39" s="251"/>
      <c r="P39" s="210"/>
      <c r="Q39" s="205"/>
      <c r="R39" s="206"/>
    </row>
    <row r="40" spans="1:19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2">
        <f>+L38+L36</f>
        <v>8025</v>
      </c>
      <c r="M40" s="154">
        <f>+M38+M36</f>
        <v>-10322</v>
      </c>
      <c r="N40" s="154">
        <f>+N38+N36</f>
        <v>82193</v>
      </c>
      <c r="O40" s="252">
        <f>+O38+O36</f>
        <v>-47500</v>
      </c>
      <c r="P40" s="192">
        <f>+P38+P36</f>
        <v>-14500</v>
      </c>
      <c r="Q40" s="155"/>
      <c r="R40" s="208"/>
    </row>
    <row r="41" spans="1:19" s="13" customFormat="1" x14ac:dyDescent="0.3">
      <c r="A41" s="4"/>
      <c r="B41" s="4"/>
      <c r="C41" s="4"/>
      <c r="D41" s="4"/>
      <c r="E41" s="4"/>
      <c r="F41" s="4"/>
      <c r="G41" s="4"/>
      <c r="H41" s="4"/>
      <c r="O41" s="58"/>
      <c r="P41" s="58"/>
      <c r="Q41" s="196"/>
      <c r="R41" s="155"/>
    </row>
    <row r="42" spans="1:19" x14ac:dyDescent="0.3">
      <c r="O42" s="55" t="s">
        <v>586</v>
      </c>
      <c r="P42" s="261"/>
      <c r="Q42" s="155" t="s">
        <v>2520</v>
      </c>
    </row>
    <row r="43" spans="1:19" x14ac:dyDescent="0.3">
      <c r="O43" s="99"/>
    </row>
    <row r="44" spans="1:19" x14ac:dyDescent="0.3">
      <c r="O44" s="222"/>
    </row>
    <row r="45" spans="1:19" x14ac:dyDescent="0.3">
      <c r="O45" s="207"/>
    </row>
    <row r="46" spans="1:19" x14ac:dyDescent="0.3">
      <c r="O46" s="222"/>
    </row>
    <row r="47" spans="1:19" s="4" customFormat="1" x14ac:dyDescent="0.3">
      <c r="O47" s="99"/>
      <c r="Q47" s="196"/>
      <c r="R47" s="155"/>
      <c r="S47" s="1"/>
    </row>
    <row r="48" spans="1:19" s="4" customFormat="1" x14ac:dyDescent="0.3">
      <c r="O48" s="99"/>
      <c r="Q48" s="196"/>
      <c r="R48" s="155"/>
      <c r="S48" s="1"/>
    </row>
    <row r="49" spans="15:19" s="4" customFormat="1" x14ac:dyDescent="0.3">
      <c r="O49" s="99"/>
      <c r="Q49" s="196"/>
      <c r="R49" s="155"/>
      <c r="S49" s="1"/>
    </row>
    <row r="50" spans="15:19" s="4" customFormat="1" x14ac:dyDescent="0.3">
      <c r="O50" s="99"/>
      <c r="Q50" s="196"/>
      <c r="R50" s="155"/>
      <c r="S50" s="1"/>
    </row>
    <row r="51" spans="15:19" x14ac:dyDescent="0.3">
      <c r="O51" s="99"/>
    </row>
    <row r="52" spans="15:19" x14ac:dyDescent="0.3">
      <c r="O52" s="223"/>
    </row>
  </sheetData>
  <mergeCells count="1">
    <mergeCell ref="H1:J1"/>
  </mergeCells>
  <pageMargins left="0.7" right="0.7" top="0.75" bottom="0.75" header="0.3" footer="0.3"/>
  <pageSetup paperSize="9" scale="58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CD05B-257C-4AEA-B97D-223C3D7BAD56}">
  <sheetPr>
    <tabColor theme="5" tint="-0.249977111117893"/>
    <pageSetUpPr fitToPage="1"/>
  </sheetPr>
  <dimension ref="A1:S52"/>
  <sheetViews>
    <sheetView zoomScale="90" zoomScaleNormal="90" workbookViewId="0">
      <pane xSplit="1" ySplit="3" topLeftCell="H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customWidth="1"/>
    <col min="9" max="14" width="16.44140625" style="1" customWidth="1"/>
    <col min="15" max="16" width="18.5546875" style="1" customWidth="1"/>
    <col min="17" max="17" width="27" style="196" customWidth="1"/>
    <col min="18" max="18" width="12" style="155" customWidth="1"/>
    <col min="19" max="16384" width="9.109375" style="1"/>
  </cols>
  <sheetData>
    <row r="1" spans="1:18" ht="31.8" thickBot="1" x14ac:dyDescent="0.65">
      <c r="A1" s="211" t="s">
        <v>486</v>
      </c>
      <c r="C1" s="224"/>
      <c r="D1" s="224"/>
      <c r="H1" s="295" t="s">
        <v>487</v>
      </c>
      <c r="I1" s="295"/>
      <c r="J1" s="295"/>
    </row>
    <row r="2" spans="1:18" ht="16.2" thickBot="1" x14ac:dyDescent="0.35"/>
    <row r="3" spans="1:18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227">
        <v>2020</v>
      </c>
      <c r="O3" s="253" t="s">
        <v>809</v>
      </c>
      <c r="P3" s="240" t="s">
        <v>2521</v>
      </c>
      <c r="Q3" s="156"/>
      <c r="R3" s="156"/>
    </row>
    <row r="4" spans="1:18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110"/>
      <c r="N4" s="110">
        <v>43970</v>
      </c>
      <c r="O4" s="110">
        <v>44196</v>
      </c>
      <c r="P4" s="209"/>
      <c r="Q4" s="156"/>
      <c r="R4" s="156"/>
    </row>
    <row r="5" spans="1:18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37"/>
      <c r="N5" s="237"/>
      <c r="O5" s="111"/>
      <c r="P5" s="8"/>
      <c r="Q5" s="155"/>
    </row>
    <row r="6" spans="1:18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9">
        <v>174547</v>
      </c>
      <c r="N6" s="9">
        <v>72471</v>
      </c>
      <c r="O6" s="249">
        <v>170000</v>
      </c>
      <c r="P6" s="190">
        <v>170000</v>
      </c>
      <c r="Q6" s="217" t="s">
        <v>2525</v>
      </c>
    </row>
    <row r="7" spans="1:18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9">
        <v>171450</v>
      </c>
      <c r="N7" s="9">
        <v>126350</v>
      </c>
      <c r="O7" s="249">
        <v>170000</v>
      </c>
      <c r="P7" s="190">
        <v>170000</v>
      </c>
      <c r="Q7" s="236" t="s">
        <v>2535</v>
      </c>
    </row>
    <row r="8" spans="1:18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9">
        <v>94105</v>
      </c>
      <c r="N8" s="9">
        <v>2040</v>
      </c>
      <c r="O8" s="249">
        <v>60000</v>
      </c>
      <c r="P8" s="190">
        <v>95000</v>
      </c>
      <c r="Q8" s="217"/>
    </row>
    <row r="9" spans="1:18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9">
        <v>12988</v>
      </c>
      <c r="N9" s="9">
        <v>5080</v>
      </c>
      <c r="O9" s="249">
        <v>15000</v>
      </c>
      <c r="P9" s="190">
        <v>15000</v>
      </c>
      <c r="Q9" s="236" t="s">
        <v>2534</v>
      </c>
    </row>
    <row r="10" spans="1:18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9">
        <v>63900</v>
      </c>
      <c r="N10" s="9">
        <v>30000</v>
      </c>
      <c r="O10" s="249">
        <v>50000</v>
      </c>
      <c r="P10" s="190">
        <v>35000</v>
      </c>
      <c r="Q10" s="217" t="s">
        <v>2533</v>
      </c>
    </row>
    <row r="11" spans="1:18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9">
        <v>89680</v>
      </c>
      <c r="N11" s="9">
        <v>0</v>
      </c>
      <c r="O11" s="249">
        <v>90000</v>
      </c>
      <c r="P11" s="190">
        <v>90000</v>
      </c>
      <c r="Q11" s="155"/>
    </row>
    <row r="12" spans="1:18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9">
        <v>0</v>
      </c>
      <c r="N12" s="9">
        <v>0</v>
      </c>
      <c r="O12" s="249">
        <v>0</v>
      </c>
      <c r="P12" s="190">
        <v>0</v>
      </c>
      <c r="Q12" s="155"/>
    </row>
    <row r="13" spans="1:18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9">
        <v>0</v>
      </c>
      <c r="N13" s="9">
        <v>0</v>
      </c>
      <c r="O13" s="249">
        <v>0</v>
      </c>
      <c r="P13" s="190">
        <v>0</v>
      </c>
      <c r="Q13" s="155"/>
    </row>
    <row r="14" spans="1:18" ht="41.2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9">
        <v>21304</v>
      </c>
      <c r="N14" s="9">
        <v>10780</v>
      </c>
      <c r="O14" s="249">
        <v>20000</v>
      </c>
      <c r="P14" s="190">
        <v>20000</v>
      </c>
      <c r="Q14" s="236" t="s">
        <v>2526</v>
      </c>
    </row>
    <row r="15" spans="1:18" x14ac:dyDescent="0.3">
      <c r="A15" s="7" t="s">
        <v>29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1">
        <f>SUM(M6:M14)</f>
        <v>627974</v>
      </c>
      <c r="N15" s="11">
        <f>SUM(N6:N14)</f>
        <v>246721</v>
      </c>
      <c r="O15" s="250">
        <f t="shared" ref="O15:P15" si="2">SUM(O6:O14)</f>
        <v>575000</v>
      </c>
      <c r="P15" s="191">
        <f t="shared" si="2"/>
        <v>595000</v>
      </c>
      <c r="Q15" s="155"/>
    </row>
    <row r="16" spans="1:18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M16" s="111"/>
      <c r="N16" s="111"/>
      <c r="O16" s="249"/>
      <c r="P16" s="190"/>
      <c r="Q16" s="155"/>
    </row>
    <row r="17" spans="1:19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M17" s="112"/>
      <c r="N17" s="112"/>
      <c r="O17" s="249"/>
      <c r="P17" s="190"/>
      <c r="Q17" s="159"/>
      <c r="R17" s="159"/>
    </row>
    <row r="18" spans="1:19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10">
        <v>-150140</v>
      </c>
      <c r="M18" s="9">
        <v>-104717</v>
      </c>
      <c r="N18" s="9">
        <v>-47828</v>
      </c>
      <c r="O18" s="249">
        <v>-110000</v>
      </c>
      <c r="P18" s="190">
        <v>-110000</v>
      </c>
      <c r="Q18" s="157" t="s">
        <v>2527</v>
      </c>
      <c r="R18" s="197"/>
      <c r="S18" s="55"/>
    </row>
    <row r="19" spans="1:19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10">
        <v>-70226</v>
      </c>
      <c r="M19" s="9">
        <v>-120875</v>
      </c>
      <c r="N19" s="9">
        <v>-39869</v>
      </c>
      <c r="O19" s="249">
        <v>-170000</v>
      </c>
      <c r="P19" s="190">
        <v>-120000</v>
      </c>
      <c r="Q19" s="157" t="s">
        <v>2536</v>
      </c>
      <c r="R19" s="197"/>
    </row>
    <row r="20" spans="1:19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9">
        <v>0</v>
      </c>
      <c r="N20" s="9">
        <v>0</v>
      </c>
      <c r="O20" s="249">
        <v>0</v>
      </c>
      <c r="P20" s="190">
        <v>0</v>
      </c>
      <c r="Q20" s="157"/>
      <c r="R20" s="197"/>
    </row>
    <row r="21" spans="1:19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9">
        <v>-70704</v>
      </c>
      <c r="N21" s="9">
        <v>0</v>
      </c>
      <c r="O21" s="249">
        <v>-40000</v>
      </c>
      <c r="P21" s="190">
        <v>-40000</v>
      </c>
      <c r="Q21" s="157" t="s">
        <v>2529</v>
      </c>
      <c r="R21" s="197"/>
    </row>
    <row r="22" spans="1:19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9">
        <v>-39500</v>
      </c>
      <c r="N22" s="9">
        <v>-5392</v>
      </c>
      <c r="O22" s="249">
        <v>-20000</v>
      </c>
      <c r="P22" s="190">
        <v>-40000</v>
      </c>
      <c r="Q22" s="157" t="s">
        <v>2530</v>
      </c>
      <c r="R22" s="197"/>
    </row>
    <row r="23" spans="1:19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9">
        <v>-88679</v>
      </c>
      <c r="N23" s="9">
        <v>-18530</v>
      </c>
      <c r="O23" s="249">
        <v>-75000</v>
      </c>
      <c r="P23" s="190">
        <v>-90000</v>
      </c>
      <c r="Q23" s="157" t="s">
        <v>2528</v>
      </c>
      <c r="R23" s="197"/>
    </row>
    <row r="24" spans="1:19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9">
        <v>-3860</v>
      </c>
      <c r="N24" s="9">
        <v>-1700</v>
      </c>
      <c r="O24" s="249">
        <v>-4000</v>
      </c>
      <c r="P24" s="190">
        <v>-4000</v>
      </c>
      <c r="Q24" s="155"/>
      <c r="R24" s="197"/>
    </row>
    <row r="25" spans="1:19" ht="24.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9">
        <v>-20500</v>
      </c>
      <c r="N25" s="9">
        <v>-6600</v>
      </c>
      <c r="O25" s="249">
        <v>-10000</v>
      </c>
      <c r="P25" s="190">
        <v>-20000</v>
      </c>
      <c r="Q25" s="157" t="s">
        <v>2528</v>
      </c>
      <c r="R25" s="197"/>
    </row>
    <row r="26" spans="1:19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9">
        <v>-41400</v>
      </c>
      <c r="N26" s="9">
        <v>-15200</v>
      </c>
      <c r="O26" s="249">
        <v>-40000</v>
      </c>
      <c r="P26" s="190">
        <v>-40000</v>
      </c>
      <c r="Q26" s="157" t="s">
        <v>2531</v>
      </c>
      <c r="R26" s="197"/>
    </row>
    <row r="27" spans="1:19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9">
        <v>-15500</v>
      </c>
      <c r="N27" s="9">
        <v>-10950</v>
      </c>
      <c r="O27" s="249">
        <v>-15000</v>
      </c>
      <c r="P27" s="190">
        <v>-15000</v>
      </c>
      <c r="Q27" s="157" t="s">
        <v>2529</v>
      </c>
      <c r="R27" s="197"/>
    </row>
    <row r="28" spans="1:19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9">
        <v>-18000</v>
      </c>
      <c r="N28" s="9">
        <v>0</v>
      </c>
      <c r="O28" s="249">
        <v>-20000</v>
      </c>
      <c r="P28" s="190">
        <v>-20000</v>
      </c>
      <c r="Q28" s="157" t="s">
        <v>2532</v>
      </c>
      <c r="R28" s="197"/>
    </row>
    <row r="29" spans="1:19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9">
        <v>-12500</v>
      </c>
      <c r="N29" s="9">
        <v>0</v>
      </c>
      <c r="O29" s="249">
        <v>-15000</v>
      </c>
      <c r="P29" s="190">
        <v>-15000</v>
      </c>
      <c r="Q29" s="157" t="s">
        <v>2532</v>
      </c>
    </row>
    <row r="30" spans="1:19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9">
        <v>-500</v>
      </c>
      <c r="N30" s="9">
        <v>-500</v>
      </c>
      <c r="O30" s="249">
        <v>-500</v>
      </c>
      <c r="P30" s="190">
        <v>-500</v>
      </c>
      <c r="Q30" s="157"/>
    </row>
    <row r="31" spans="1:19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9">
        <v>-94382</v>
      </c>
      <c r="N31" s="9">
        <v>0</v>
      </c>
      <c r="O31" s="249">
        <v>-90000</v>
      </c>
      <c r="P31" s="190">
        <v>-90000</v>
      </c>
      <c r="Q31" s="155"/>
      <c r="R31" s="197"/>
    </row>
    <row r="32" spans="1:19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9">
        <v>0</v>
      </c>
      <c r="N32" s="9">
        <v>0</v>
      </c>
      <c r="O32" s="249">
        <v>0</v>
      </c>
      <c r="P32" s="190">
        <v>0</v>
      </c>
      <c r="Q32" s="155"/>
      <c r="R32" s="197"/>
    </row>
    <row r="33" spans="1:19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9">
        <f>-6416-763</f>
        <v>-7179</v>
      </c>
      <c r="N33" s="9">
        <f>-2226-250-4352</f>
        <v>-6828</v>
      </c>
      <c r="O33" s="249">
        <v>-7000</v>
      </c>
      <c r="P33" s="190">
        <v>-5000</v>
      </c>
      <c r="Q33" s="157" t="s">
        <v>2499</v>
      </c>
      <c r="R33" s="197"/>
    </row>
    <row r="34" spans="1:19" x14ac:dyDescent="0.3">
      <c r="A34" s="7" t="s">
        <v>47</v>
      </c>
      <c r="B34" s="39">
        <f>SUM(B18:B33)</f>
        <v>-218877</v>
      </c>
      <c r="C34" s="39">
        <f t="shared" ref="C34:O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1">
        <f t="shared" si="3"/>
        <v>-638296</v>
      </c>
      <c r="N34" s="11">
        <f t="shared" si="3"/>
        <v>-153397</v>
      </c>
      <c r="O34" s="250">
        <f t="shared" si="3"/>
        <v>-616500</v>
      </c>
      <c r="P34" s="191">
        <f>SUM(P18:P33)</f>
        <v>-609500</v>
      </c>
      <c r="Q34" s="205"/>
      <c r="R34" s="206"/>
    </row>
    <row r="35" spans="1:19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113"/>
      <c r="N35" s="113"/>
      <c r="O35" s="250"/>
      <c r="P35" s="191"/>
      <c r="Q35" s="158"/>
      <c r="R35" s="207"/>
    </row>
    <row r="36" spans="1:19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2">
        <f t="shared" si="4"/>
        <v>-84874</v>
      </c>
      <c r="L36" s="12">
        <f>+L34+L15</f>
        <v>8025</v>
      </c>
      <c r="M36" s="11">
        <f>+M34+M15</f>
        <v>-10322</v>
      </c>
      <c r="N36" s="11">
        <f>+N34+N15</f>
        <v>93324</v>
      </c>
      <c r="O36" s="250">
        <f>O15+O34</f>
        <v>-41500</v>
      </c>
      <c r="P36" s="191">
        <f>P15+P34</f>
        <v>-14500</v>
      </c>
      <c r="Q36" s="158"/>
      <c r="R36" s="207"/>
    </row>
    <row r="37" spans="1:19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1"/>
      <c r="N37" s="11"/>
      <c r="O37" s="250"/>
      <c r="P37" s="191"/>
      <c r="Q37" s="158"/>
      <c r="R37" s="207"/>
    </row>
    <row r="38" spans="1:19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1">
        <v>0</v>
      </c>
      <c r="N38" s="11">
        <v>0</v>
      </c>
      <c r="O38" s="250">
        <v>0</v>
      </c>
      <c r="P38" s="191">
        <v>0</v>
      </c>
      <c r="Q38" s="155"/>
      <c r="R38" s="206"/>
    </row>
    <row r="39" spans="1:19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245"/>
      <c r="M39" s="11"/>
      <c r="N39" s="11"/>
      <c r="O39" s="251"/>
      <c r="P39" s="210"/>
      <c r="Q39" s="205"/>
      <c r="R39" s="206"/>
    </row>
    <row r="40" spans="1:19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2">
        <f>+L38+L36</f>
        <v>8025</v>
      </c>
      <c r="M40" s="154">
        <f>+M38+M36</f>
        <v>-10322</v>
      </c>
      <c r="N40" s="154">
        <f>+N38+N36</f>
        <v>93324</v>
      </c>
      <c r="O40" s="252">
        <f>+O38+O36</f>
        <v>-41500</v>
      </c>
      <c r="P40" s="192">
        <f>+P38+P36</f>
        <v>-14500</v>
      </c>
      <c r="Q40" s="155"/>
      <c r="R40" s="208"/>
    </row>
    <row r="41" spans="1:19" s="13" customFormat="1" x14ac:dyDescent="0.3">
      <c r="A41" s="4"/>
      <c r="B41" s="4"/>
      <c r="C41" s="4"/>
      <c r="D41" s="4"/>
      <c r="E41" s="4"/>
      <c r="F41" s="4"/>
      <c r="G41" s="4"/>
      <c r="H41" s="4"/>
      <c r="O41" s="58"/>
      <c r="P41" s="58"/>
      <c r="Q41" s="196"/>
      <c r="R41" s="155"/>
    </row>
    <row r="42" spans="1:19" x14ac:dyDescent="0.3">
      <c r="O42" s="55" t="s">
        <v>586</v>
      </c>
      <c r="P42" s="261"/>
      <c r="Q42" s="155" t="s">
        <v>2520</v>
      </c>
    </row>
    <row r="43" spans="1:19" x14ac:dyDescent="0.3">
      <c r="O43" s="99"/>
    </row>
    <row r="44" spans="1:19" x14ac:dyDescent="0.3">
      <c r="O44" s="222"/>
    </row>
    <row r="45" spans="1:19" x14ac:dyDescent="0.3">
      <c r="O45" s="207"/>
    </row>
    <row r="46" spans="1:19" x14ac:dyDescent="0.3">
      <c r="O46" s="222"/>
    </row>
    <row r="47" spans="1:19" s="4" customFormat="1" x14ac:dyDescent="0.3">
      <c r="O47" s="99"/>
      <c r="Q47" s="196"/>
      <c r="R47" s="155"/>
      <c r="S47" s="1"/>
    </row>
    <row r="48" spans="1:19" s="4" customFormat="1" x14ac:dyDescent="0.3">
      <c r="O48" s="99"/>
      <c r="Q48" s="196"/>
      <c r="R48" s="155"/>
      <c r="S48" s="1"/>
    </row>
    <row r="49" spans="15:19" s="4" customFormat="1" x14ac:dyDescent="0.3">
      <c r="O49" s="99"/>
      <c r="Q49" s="196"/>
      <c r="R49" s="155"/>
      <c r="S49" s="1"/>
    </row>
    <row r="50" spans="15:19" s="4" customFormat="1" x14ac:dyDescent="0.3">
      <c r="O50" s="99"/>
      <c r="Q50" s="196"/>
      <c r="R50" s="155"/>
      <c r="S50" s="1"/>
    </row>
    <row r="51" spans="15:19" x14ac:dyDescent="0.3">
      <c r="O51" s="99"/>
    </row>
    <row r="52" spans="15:19" x14ac:dyDescent="0.3">
      <c r="O52" s="223"/>
    </row>
  </sheetData>
  <mergeCells count="1">
    <mergeCell ref="H1:J1"/>
  </mergeCells>
  <pageMargins left="0.7" right="0.7" top="0.75" bottom="0.75" header="0.3" footer="0.3"/>
  <pageSetup paperSize="9" scale="58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1BD81-5906-4833-9B78-9E8B7DBB74BC}">
  <sheetPr>
    <tabColor theme="5" tint="-0.249977111117893"/>
    <pageSetUpPr fitToPage="1"/>
  </sheetPr>
  <dimension ref="A1:S52"/>
  <sheetViews>
    <sheetView zoomScale="90" zoomScaleNormal="90" workbookViewId="0">
      <pane xSplit="1" ySplit="3" topLeftCell="H4" activePane="bottomRight" state="frozen"/>
      <selection pane="topRight" activeCell="B1" sqref="B1"/>
      <selection pane="bottomLeft" activeCell="A4" sqref="A4"/>
      <selection pane="bottomRight" activeCell="O6" sqref="O6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customWidth="1"/>
    <col min="9" max="14" width="16.44140625" style="1" customWidth="1"/>
    <col min="15" max="16" width="18.5546875" style="1" customWidth="1"/>
    <col min="17" max="17" width="27" style="196" customWidth="1"/>
    <col min="18" max="18" width="12" style="155" customWidth="1"/>
    <col min="19" max="16384" width="9.109375" style="1"/>
  </cols>
  <sheetData>
    <row r="1" spans="1:18" ht="31.8" thickBot="1" x14ac:dyDescent="0.65">
      <c r="A1" s="211" t="s">
        <v>486</v>
      </c>
      <c r="C1" s="224"/>
      <c r="D1" s="224"/>
      <c r="H1" s="295" t="s">
        <v>487</v>
      </c>
      <c r="I1" s="295"/>
      <c r="J1" s="295"/>
    </row>
    <row r="2" spans="1:18" ht="16.2" thickBot="1" x14ac:dyDescent="0.35"/>
    <row r="3" spans="1:18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227">
        <v>2020</v>
      </c>
      <c r="O3" s="253" t="s">
        <v>809</v>
      </c>
      <c r="P3" s="240" t="s">
        <v>2521</v>
      </c>
      <c r="Q3" s="156"/>
      <c r="R3" s="156"/>
    </row>
    <row r="4" spans="1:18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110"/>
      <c r="N4" s="110">
        <v>43941</v>
      </c>
      <c r="O4" s="110">
        <v>44196</v>
      </c>
      <c r="P4" s="209"/>
      <c r="Q4" s="156"/>
      <c r="R4" s="156"/>
    </row>
    <row r="5" spans="1:18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37"/>
      <c r="N5" s="237"/>
      <c r="O5" s="111"/>
      <c r="P5" s="8"/>
      <c r="Q5" s="155"/>
    </row>
    <row r="6" spans="1:18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9">
        <v>174547</v>
      </c>
      <c r="N6" s="9">
        <v>72471</v>
      </c>
      <c r="O6" s="249">
        <v>170000</v>
      </c>
      <c r="P6" s="190">
        <v>170000</v>
      </c>
      <c r="Q6" s="217" t="s">
        <v>2525</v>
      </c>
    </row>
    <row r="7" spans="1:18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9">
        <v>171450</v>
      </c>
      <c r="N7" s="9">
        <v>0</v>
      </c>
      <c r="O7" s="249">
        <v>170000</v>
      </c>
      <c r="P7" s="190">
        <v>170000</v>
      </c>
      <c r="Q7" s="236" t="s">
        <v>2524</v>
      </c>
    </row>
    <row r="8" spans="1:18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9">
        <v>94105</v>
      </c>
      <c r="N8" s="9">
        <v>2040</v>
      </c>
      <c r="O8" s="249">
        <v>95000</v>
      </c>
      <c r="P8" s="190">
        <v>95000</v>
      </c>
      <c r="Q8" s="217"/>
    </row>
    <row r="9" spans="1:18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9">
        <v>12988</v>
      </c>
      <c r="N9" s="9">
        <v>5080</v>
      </c>
      <c r="O9" s="249">
        <v>15000</v>
      </c>
      <c r="P9" s="190">
        <v>15000</v>
      </c>
      <c r="Q9" s="236" t="s">
        <v>2534</v>
      </c>
    </row>
    <row r="10" spans="1:18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9">
        <v>63900</v>
      </c>
      <c r="N10" s="9">
        <v>30000</v>
      </c>
      <c r="O10" s="249">
        <v>60000</v>
      </c>
      <c r="P10" s="190">
        <v>35000</v>
      </c>
      <c r="Q10" s="217" t="s">
        <v>2533</v>
      </c>
    </row>
    <row r="11" spans="1:18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9">
        <v>89680</v>
      </c>
      <c r="N11" s="9">
        <v>0</v>
      </c>
      <c r="O11" s="249">
        <v>90000</v>
      </c>
      <c r="P11" s="190">
        <v>90000</v>
      </c>
      <c r="Q11" s="155"/>
    </row>
    <row r="12" spans="1:18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9">
        <v>0</v>
      </c>
      <c r="N12" s="9">
        <v>0</v>
      </c>
      <c r="O12" s="249">
        <v>0</v>
      </c>
      <c r="P12" s="190">
        <v>0</v>
      </c>
      <c r="Q12" s="155"/>
    </row>
    <row r="13" spans="1:18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9">
        <v>0</v>
      </c>
      <c r="N13" s="9">
        <v>0</v>
      </c>
      <c r="O13" s="249">
        <v>0</v>
      </c>
      <c r="P13" s="190">
        <v>0</v>
      </c>
      <c r="Q13" s="155"/>
    </row>
    <row r="14" spans="1:18" ht="41.2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9">
        <v>21304</v>
      </c>
      <c r="N14" s="9">
        <v>10780</v>
      </c>
      <c r="O14" s="249">
        <v>20000</v>
      </c>
      <c r="P14" s="190">
        <v>20000</v>
      </c>
      <c r="Q14" s="236" t="s">
        <v>2526</v>
      </c>
    </row>
    <row r="15" spans="1:18" x14ac:dyDescent="0.3">
      <c r="A15" s="7" t="s">
        <v>29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1">
        <f>SUM(M6:M14)</f>
        <v>627974</v>
      </c>
      <c r="N15" s="11">
        <f>SUM(N6:N14)</f>
        <v>120371</v>
      </c>
      <c r="O15" s="250">
        <f t="shared" ref="O15:P15" si="2">SUM(O6:O14)</f>
        <v>620000</v>
      </c>
      <c r="P15" s="191">
        <f t="shared" si="2"/>
        <v>595000</v>
      </c>
      <c r="Q15" s="155"/>
    </row>
    <row r="16" spans="1:18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M16" s="111"/>
      <c r="N16" s="111"/>
      <c r="O16" s="249"/>
      <c r="P16" s="190"/>
      <c r="Q16" s="155"/>
    </row>
    <row r="17" spans="1:19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M17" s="112"/>
      <c r="N17" s="112"/>
      <c r="O17" s="249"/>
      <c r="P17" s="190"/>
      <c r="Q17" s="159"/>
      <c r="R17" s="159"/>
    </row>
    <row r="18" spans="1:19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10">
        <v>-150140</v>
      </c>
      <c r="M18" s="9">
        <v>-104717</v>
      </c>
      <c r="N18" s="9">
        <v>-21589</v>
      </c>
      <c r="O18" s="249">
        <v>-110000</v>
      </c>
      <c r="P18" s="190">
        <v>-110000</v>
      </c>
      <c r="Q18" s="157" t="s">
        <v>2527</v>
      </c>
      <c r="R18" s="197"/>
      <c r="S18" s="55"/>
    </row>
    <row r="19" spans="1:19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10">
        <v>-70226</v>
      </c>
      <c r="M19" s="9">
        <v>-120875</v>
      </c>
      <c r="N19" s="9">
        <v>-17110</v>
      </c>
      <c r="O19" s="249">
        <v>-120000</v>
      </c>
      <c r="P19" s="190">
        <v>-120000</v>
      </c>
      <c r="Q19" s="157" t="s">
        <v>2528</v>
      </c>
      <c r="R19" s="197"/>
    </row>
    <row r="20" spans="1:19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9">
        <v>0</v>
      </c>
      <c r="N20" s="9">
        <v>0</v>
      </c>
      <c r="O20" s="249">
        <v>0</v>
      </c>
      <c r="P20" s="190">
        <v>0</v>
      </c>
      <c r="Q20" s="157"/>
      <c r="R20" s="197"/>
    </row>
    <row r="21" spans="1:19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9">
        <v>-70704</v>
      </c>
      <c r="N21" s="9">
        <v>0</v>
      </c>
      <c r="O21" s="249">
        <v>-40000</v>
      </c>
      <c r="P21" s="190">
        <v>-40000</v>
      </c>
      <c r="Q21" s="157" t="s">
        <v>2529</v>
      </c>
      <c r="R21" s="197"/>
    </row>
    <row r="22" spans="1:19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9">
        <v>-39500</v>
      </c>
      <c r="N22" s="9">
        <v>-3392</v>
      </c>
      <c r="O22" s="249">
        <v>-40000</v>
      </c>
      <c r="P22" s="190">
        <v>-40000</v>
      </c>
      <c r="Q22" s="157" t="s">
        <v>2530</v>
      </c>
      <c r="R22" s="197"/>
    </row>
    <row r="23" spans="1:19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9">
        <v>-88679</v>
      </c>
      <c r="N23" s="9">
        <v>-14602</v>
      </c>
      <c r="O23" s="249">
        <v>-90000</v>
      </c>
      <c r="P23" s="190">
        <v>-90000</v>
      </c>
      <c r="Q23" s="157" t="s">
        <v>2528</v>
      </c>
      <c r="R23" s="197"/>
    </row>
    <row r="24" spans="1:19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9">
        <v>-3860</v>
      </c>
      <c r="N24" s="9">
        <v>-1700</v>
      </c>
      <c r="O24" s="249">
        <v>-4000</v>
      </c>
      <c r="P24" s="190">
        <v>-4000</v>
      </c>
      <c r="Q24" s="155"/>
      <c r="R24" s="197"/>
    </row>
    <row r="25" spans="1:19" ht="24.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9">
        <v>-20500</v>
      </c>
      <c r="N25" s="9">
        <v>-4800</v>
      </c>
      <c r="O25" s="249">
        <v>-20000</v>
      </c>
      <c r="P25" s="190">
        <v>-20000</v>
      </c>
      <c r="Q25" s="157" t="s">
        <v>2528</v>
      </c>
      <c r="R25" s="197"/>
    </row>
    <row r="26" spans="1:19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9">
        <v>-41400</v>
      </c>
      <c r="N26" s="9">
        <v>-1000</v>
      </c>
      <c r="O26" s="249">
        <v>-40000</v>
      </c>
      <c r="P26" s="190">
        <v>-40000</v>
      </c>
      <c r="Q26" s="157" t="s">
        <v>2531</v>
      </c>
      <c r="R26" s="197"/>
    </row>
    <row r="27" spans="1:19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9">
        <v>-15500</v>
      </c>
      <c r="N27" s="9">
        <v>-5550</v>
      </c>
      <c r="O27" s="249">
        <v>-15000</v>
      </c>
      <c r="P27" s="190">
        <v>-15000</v>
      </c>
      <c r="Q27" s="157" t="s">
        <v>2529</v>
      </c>
      <c r="R27" s="197"/>
    </row>
    <row r="28" spans="1:19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9">
        <v>-18000</v>
      </c>
      <c r="N28" s="9">
        <v>0</v>
      </c>
      <c r="O28" s="249">
        <v>-20000</v>
      </c>
      <c r="P28" s="190">
        <v>-20000</v>
      </c>
      <c r="Q28" s="157" t="s">
        <v>2532</v>
      </c>
      <c r="R28" s="197"/>
    </row>
    <row r="29" spans="1:19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9">
        <v>-12500</v>
      </c>
      <c r="N29" s="9">
        <v>0</v>
      </c>
      <c r="O29" s="249">
        <v>-15000</v>
      </c>
      <c r="P29" s="190">
        <v>-15000</v>
      </c>
      <c r="Q29" s="157" t="s">
        <v>2532</v>
      </c>
    </row>
    <row r="30" spans="1:19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9">
        <v>-500</v>
      </c>
      <c r="N30" s="9">
        <v>-500</v>
      </c>
      <c r="O30" s="249">
        <v>-500</v>
      </c>
      <c r="P30" s="190">
        <v>-500</v>
      </c>
      <c r="Q30" s="157"/>
    </row>
    <row r="31" spans="1:19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9">
        <v>-94382</v>
      </c>
      <c r="N31" s="9">
        <v>0</v>
      </c>
      <c r="O31" s="249">
        <v>-90000</v>
      </c>
      <c r="P31" s="190">
        <v>-90000</v>
      </c>
      <c r="Q31" s="155"/>
      <c r="R31" s="197"/>
    </row>
    <row r="32" spans="1:19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9">
        <v>0</v>
      </c>
      <c r="N32" s="9">
        <v>0</v>
      </c>
      <c r="O32" s="249">
        <v>0</v>
      </c>
      <c r="P32" s="190">
        <v>0</v>
      </c>
      <c r="Q32" s="155"/>
      <c r="R32" s="197"/>
    </row>
    <row r="33" spans="1:19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9">
        <f>-6416-763</f>
        <v>-7179</v>
      </c>
      <c r="N33" s="9">
        <f>-2226-250-4352</f>
        <v>-6828</v>
      </c>
      <c r="O33" s="249">
        <v>-7000</v>
      </c>
      <c r="P33" s="190">
        <v>-5000</v>
      </c>
      <c r="Q33" s="157" t="s">
        <v>2499</v>
      </c>
      <c r="R33" s="197"/>
    </row>
    <row r="34" spans="1:19" x14ac:dyDescent="0.3">
      <c r="A34" s="7" t="s">
        <v>47</v>
      </c>
      <c r="B34" s="39">
        <f>SUM(B18:B33)</f>
        <v>-218877</v>
      </c>
      <c r="C34" s="39">
        <f t="shared" ref="C34:O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1">
        <f t="shared" si="3"/>
        <v>-638296</v>
      </c>
      <c r="N34" s="11">
        <f t="shared" si="3"/>
        <v>-77071</v>
      </c>
      <c r="O34" s="250">
        <f t="shared" si="3"/>
        <v>-611500</v>
      </c>
      <c r="P34" s="191">
        <f>SUM(P18:P33)</f>
        <v>-609500</v>
      </c>
      <c r="Q34" s="205"/>
      <c r="R34" s="206"/>
    </row>
    <row r="35" spans="1:19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113"/>
      <c r="N35" s="113"/>
      <c r="O35" s="250"/>
      <c r="P35" s="191"/>
      <c r="Q35" s="158"/>
      <c r="R35" s="207"/>
    </row>
    <row r="36" spans="1:19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2">
        <f t="shared" si="4"/>
        <v>-84874</v>
      </c>
      <c r="L36" s="12">
        <f>+L34+L15</f>
        <v>8025</v>
      </c>
      <c r="M36" s="11">
        <f>+M34+M15</f>
        <v>-10322</v>
      </c>
      <c r="N36" s="11">
        <f>+N34+N15</f>
        <v>43300</v>
      </c>
      <c r="O36" s="250">
        <f>O15+O34</f>
        <v>8500</v>
      </c>
      <c r="P36" s="191">
        <f>P15+P34</f>
        <v>-14500</v>
      </c>
      <c r="Q36" s="158"/>
      <c r="R36" s="207"/>
    </row>
    <row r="37" spans="1:19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1"/>
      <c r="N37" s="11"/>
      <c r="O37" s="250"/>
      <c r="P37" s="191"/>
      <c r="Q37" s="158"/>
      <c r="R37" s="207"/>
    </row>
    <row r="38" spans="1:19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1">
        <v>0</v>
      </c>
      <c r="N38" s="11">
        <v>0</v>
      </c>
      <c r="O38" s="250">
        <v>0</v>
      </c>
      <c r="P38" s="191">
        <v>0</v>
      </c>
      <c r="Q38" s="155"/>
      <c r="R38" s="206"/>
    </row>
    <row r="39" spans="1:19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245"/>
      <c r="M39" s="11"/>
      <c r="N39" s="11"/>
      <c r="O39" s="251"/>
      <c r="P39" s="210"/>
      <c r="Q39" s="205"/>
      <c r="R39" s="206"/>
    </row>
    <row r="40" spans="1:19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2">
        <f>+L38+L36</f>
        <v>8025</v>
      </c>
      <c r="M40" s="154">
        <f>+M38+M36</f>
        <v>-10322</v>
      </c>
      <c r="N40" s="154">
        <f>+N38+N36</f>
        <v>43300</v>
      </c>
      <c r="O40" s="252">
        <f>+O38+O36</f>
        <v>8500</v>
      </c>
      <c r="P40" s="192">
        <f>+P38+P36</f>
        <v>-14500</v>
      </c>
      <c r="Q40" s="155"/>
      <c r="R40" s="208"/>
    </row>
    <row r="41" spans="1:19" s="13" customFormat="1" x14ac:dyDescent="0.3">
      <c r="A41" s="4"/>
      <c r="B41" s="4"/>
      <c r="C41" s="4"/>
      <c r="D41" s="4"/>
      <c r="E41" s="4"/>
      <c r="F41" s="4"/>
      <c r="G41" s="4"/>
      <c r="H41" s="4"/>
      <c r="O41" s="58"/>
      <c r="P41" s="58"/>
      <c r="Q41" s="196"/>
      <c r="R41" s="155"/>
    </row>
    <row r="42" spans="1:19" x14ac:dyDescent="0.3">
      <c r="O42" s="55" t="s">
        <v>586</v>
      </c>
      <c r="P42" s="261"/>
      <c r="Q42" s="155" t="s">
        <v>2520</v>
      </c>
    </row>
    <row r="43" spans="1:19" x14ac:dyDescent="0.3">
      <c r="O43" s="99"/>
    </row>
    <row r="44" spans="1:19" x14ac:dyDescent="0.3">
      <c r="O44" s="222"/>
    </row>
    <row r="45" spans="1:19" x14ac:dyDescent="0.3">
      <c r="O45" s="207"/>
    </row>
    <row r="46" spans="1:19" x14ac:dyDescent="0.3">
      <c r="O46" s="222"/>
    </row>
    <row r="47" spans="1:19" s="4" customFormat="1" x14ac:dyDescent="0.3">
      <c r="O47" s="99"/>
      <c r="Q47" s="196"/>
      <c r="R47" s="155"/>
      <c r="S47" s="1"/>
    </row>
    <row r="48" spans="1:19" s="4" customFormat="1" x14ac:dyDescent="0.3">
      <c r="O48" s="99"/>
      <c r="Q48" s="196"/>
      <c r="R48" s="155"/>
      <c r="S48" s="1"/>
    </row>
    <row r="49" spans="15:19" s="4" customFormat="1" x14ac:dyDescent="0.3">
      <c r="O49" s="99"/>
      <c r="Q49" s="196"/>
      <c r="R49" s="155"/>
      <c r="S49" s="1"/>
    </row>
    <row r="50" spans="15:19" s="4" customFormat="1" x14ac:dyDescent="0.3">
      <c r="O50" s="99"/>
      <c r="Q50" s="196"/>
      <c r="R50" s="155"/>
      <c r="S50" s="1"/>
    </row>
    <row r="51" spans="15:19" x14ac:dyDescent="0.3">
      <c r="O51" s="99"/>
    </row>
    <row r="52" spans="15:19" x14ac:dyDescent="0.3">
      <c r="O52" s="223"/>
    </row>
  </sheetData>
  <mergeCells count="1">
    <mergeCell ref="H1:J1"/>
  </mergeCells>
  <pageMargins left="0.7" right="0.7" top="0.75" bottom="0.75" header="0.3" footer="0.3"/>
  <pageSetup paperSize="9" scale="58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522A8-9409-4D9E-B43A-ABA1CAD79486}">
  <sheetPr>
    <tabColor theme="5" tint="-0.249977111117893"/>
    <pageSetUpPr fitToPage="1"/>
  </sheetPr>
  <dimension ref="A1:S52"/>
  <sheetViews>
    <sheetView zoomScale="90" zoomScaleNormal="90" workbookViewId="0">
      <pane xSplit="1" ySplit="3" topLeftCell="H4" activePane="bottomRight" state="frozen"/>
      <selection pane="topRight" activeCell="B1" sqref="B1"/>
      <selection pane="bottomLeft" activeCell="A4" sqref="A4"/>
      <selection pane="bottomRight" activeCell="N3" sqref="N3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customWidth="1"/>
    <col min="9" max="14" width="16.44140625" style="1" customWidth="1"/>
    <col min="15" max="16" width="18.5546875" style="1" customWidth="1"/>
    <col min="17" max="17" width="27" style="196" customWidth="1"/>
    <col min="18" max="18" width="12" style="155" customWidth="1"/>
    <col min="19" max="16384" width="9.109375" style="1"/>
  </cols>
  <sheetData>
    <row r="1" spans="1:18" ht="31.8" thickBot="1" x14ac:dyDescent="0.65">
      <c r="A1" s="211" t="s">
        <v>486</v>
      </c>
      <c r="C1" s="224"/>
      <c r="D1" s="224"/>
      <c r="H1" s="295" t="s">
        <v>487</v>
      </c>
      <c r="I1" s="295"/>
      <c r="J1" s="295"/>
    </row>
    <row r="2" spans="1:18" ht="16.2" thickBot="1" x14ac:dyDescent="0.35">
      <c r="O2" s="265"/>
      <c r="P2" s="265"/>
    </row>
    <row r="3" spans="1:18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227">
        <v>2020</v>
      </c>
      <c r="O3" s="253" t="s">
        <v>809</v>
      </c>
      <c r="P3" s="240" t="s">
        <v>2521</v>
      </c>
      <c r="Q3" s="156"/>
      <c r="R3" s="156"/>
    </row>
    <row r="4" spans="1:18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110"/>
      <c r="N4" s="110">
        <v>43900</v>
      </c>
      <c r="O4" s="110">
        <v>44196</v>
      </c>
      <c r="P4" s="209"/>
      <c r="Q4" s="156"/>
      <c r="R4" s="156"/>
    </row>
    <row r="5" spans="1:18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37"/>
      <c r="N5" s="237"/>
      <c r="O5" s="111"/>
      <c r="P5" s="8"/>
      <c r="Q5" s="155"/>
    </row>
    <row r="6" spans="1:18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9">
        <v>174547</v>
      </c>
      <c r="N6" s="9">
        <v>0</v>
      </c>
      <c r="O6" s="249">
        <v>170000</v>
      </c>
      <c r="P6" s="190">
        <v>170000</v>
      </c>
      <c r="Q6" s="217" t="s">
        <v>2525</v>
      </c>
    </row>
    <row r="7" spans="1:18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9">
        <v>171450</v>
      </c>
      <c r="N7" s="9">
        <v>0</v>
      </c>
      <c r="O7" s="249">
        <v>170000</v>
      </c>
      <c r="P7" s="190">
        <v>170000</v>
      </c>
      <c r="Q7" s="236" t="s">
        <v>2524</v>
      </c>
    </row>
    <row r="8" spans="1:18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9">
        <v>94105</v>
      </c>
      <c r="N8" s="9">
        <v>1476</v>
      </c>
      <c r="O8" s="249">
        <v>95000</v>
      </c>
      <c r="P8" s="190">
        <v>95000</v>
      </c>
      <c r="Q8" s="217"/>
    </row>
    <row r="9" spans="1:18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9">
        <v>12988</v>
      </c>
      <c r="N9" s="9">
        <v>5080</v>
      </c>
      <c r="O9" s="249">
        <v>15000</v>
      </c>
      <c r="P9" s="190">
        <v>15000</v>
      </c>
      <c r="Q9" s="236" t="s">
        <v>2522</v>
      </c>
    </row>
    <row r="10" spans="1:18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9">
        <v>63900</v>
      </c>
      <c r="N10" s="9">
        <v>30000</v>
      </c>
      <c r="O10" s="249">
        <v>60000</v>
      </c>
      <c r="P10" s="190">
        <v>35000</v>
      </c>
      <c r="Q10" s="217" t="s">
        <v>2523</v>
      </c>
    </row>
    <row r="11" spans="1:18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9">
        <v>89680</v>
      </c>
      <c r="N11" s="9">
        <v>0</v>
      </c>
      <c r="O11" s="249">
        <v>90000</v>
      </c>
      <c r="P11" s="190">
        <v>90000</v>
      </c>
      <c r="Q11" s="155"/>
    </row>
    <row r="12" spans="1:18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9">
        <v>0</v>
      </c>
      <c r="N12" s="9">
        <v>0</v>
      </c>
      <c r="O12" s="249">
        <v>0</v>
      </c>
      <c r="P12" s="190">
        <v>0</v>
      </c>
      <c r="Q12" s="155"/>
    </row>
    <row r="13" spans="1:18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9">
        <v>0</v>
      </c>
      <c r="N13" s="9">
        <v>0</v>
      </c>
      <c r="O13" s="249">
        <v>0</v>
      </c>
      <c r="P13" s="190">
        <v>0</v>
      </c>
      <c r="Q13" s="155"/>
    </row>
    <row r="14" spans="1:18" ht="41.2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9">
        <v>21304</v>
      </c>
      <c r="N14" s="9">
        <v>10780</v>
      </c>
      <c r="O14" s="249">
        <v>20000</v>
      </c>
      <c r="P14" s="190">
        <v>20000</v>
      </c>
      <c r="Q14" s="236" t="s">
        <v>2526</v>
      </c>
    </row>
    <row r="15" spans="1:18" x14ac:dyDescent="0.3">
      <c r="A15" s="7" t="s">
        <v>29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1">
        <f>SUM(M6:M14)</f>
        <v>627974</v>
      </c>
      <c r="N15" s="11">
        <f>SUM(N6:N14)</f>
        <v>47336</v>
      </c>
      <c r="O15" s="250">
        <f t="shared" ref="O15:P15" si="2">SUM(O6:O14)</f>
        <v>620000</v>
      </c>
      <c r="P15" s="191">
        <f t="shared" si="2"/>
        <v>595000</v>
      </c>
      <c r="Q15" s="155"/>
    </row>
    <row r="16" spans="1:18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M16" s="111"/>
      <c r="N16" s="111"/>
      <c r="O16" s="249"/>
      <c r="P16" s="190"/>
      <c r="Q16" s="155"/>
    </row>
    <row r="17" spans="1:19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M17" s="112"/>
      <c r="N17" s="112"/>
      <c r="O17" s="249"/>
      <c r="P17" s="190"/>
      <c r="Q17" s="159"/>
      <c r="R17" s="159"/>
    </row>
    <row r="18" spans="1:19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10">
        <v>-150140</v>
      </c>
      <c r="M18" s="9">
        <v>-104717</v>
      </c>
      <c r="N18" s="9">
        <v>-10760</v>
      </c>
      <c r="O18" s="249">
        <v>-110000</v>
      </c>
      <c r="P18" s="190">
        <v>-110000</v>
      </c>
      <c r="Q18" s="157" t="s">
        <v>2527</v>
      </c>
      <c r="R18" s="197"/>
      <c r="S18" s="55"/>
    </row>
    <row r="19" spans="1:19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10">
        <v>-70226</v>
      </c>
      <c r="M19" s="9">
        <v>-120875</v>
      </c>
      <c r="N19" s="9">
        <v>6074</v>
      </c>
      <c r="O19" s="249">
        <v>-120000</v>
      </c>
      <c r="P19" s="190">
        <v>-120000</v>
      </c>
      <c r="Q19" s="157" t="s">
        <v>2528</v>
      </c>
      <c r="R19" s="197"/>
    </row>
    <row r="20" spans="1:19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9">
        <v>0</v>
      </c>
      <c r="N20" s="9">
        <v>0</v>
      </c>
      <c r="O20" s="249">
        <v>0</v>
      </c>
      <c r="P20" s="190">
        <v>0</v>
      </c>
      <c r="Q20" s="157"/>
      <c r="R20" s="197"/>
    </row>
    <row r="21" spans="1:19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9">
        <v>-70704</v>
      </c>
      <c r="N21" s="9">
        <v>0</v>
      </c>
      <c r="O21" s="249">
        <v>-40000</v>
      </c>
      <c r="P21" s="190">
        <v>-40000</v>
      </c>
      <c r="Q21" s="157" t="s">
        <v>2529</v>
      </c>
      <c r="R21" s="197"/>
    </row>
    <row r="22" spans="1:19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9">
        <v>-39500</v>
      </c>
      <c r="N22" s="9">
        <v>-3392</v>
      </c>
      <c r="O22" s="249">
        <v>-40000</v>
      </c>
      <c r="P22" s="190">
        <v>-40000</v>
      </c>
      <c r="Q22" s="157" t="s">
        <v>2530</v>
      </c>
      <c r="R22" s="197"/>
    </row>
    <row r="23" spans="1:19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9">
        <v>-88679</v>
      </c>
      <c r="N23" s="9">
        <v>-2241</v>
      </c>
      <c r="O23" s="249">
        <v>-90000</v>
      </c>
      <c r="P23" s="190">
        <v>-90000</v>
      </c>
      <c r="Q23" s="157" t="s">
        <v>2528</v>
      </c>
      <c r="R23" s="197"/>
    </row>
    <row r="24" spans="1:19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9">
        <v>-3860</v>
      </c>
      <c r="N24" s="9">
        <v>0</v>
      </c>
      <c r="O24" s="249">
        <v>-4000</v>
      </c>
      <c r="P24" s="190">
        <v>-4000</v>
      </c>
      <c r="Q24" s="155"/>
      <c r="R24" s="197"/>
    </row>
    <row r="25" spans="1:19" ht="24.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9">
        <v>-20500</v>
      </c>
      <c r="N25" s="9">
        <v>-4800</v>
      </c>
      <c r="O25" s="249">
        <v>-20000</v>
      </c>
      <c r="P25" s="190">
        <v>-20000</v>
      </c>
      <c r="Q25" s="157" t="s">
        <v>2528</v>
      </c>
      <c r="R25" s="197"/>
    </row>
    <row r="26" spans="1:19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9">
        <v>-41400</v>
      </c>
      <c r="N26" s="9">
        <v>-1000</v>
      </c>
      <c r="O26" s="249">
        <v>-40000</v>
      </c>
      <c r="P26" s="190">
        <v>-40000</v>
      </c>
      <c r="Q26" s="157" t="s">
        <v>2531</v>
      </c>
      <c r="R26" s="197"/>
    </row>
    <row r="27" spans="1:19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9">
        <v>-15500</v>
      </c>
      <c r="N27" s="9">
        <v>-2550</v>
      </c>
      <c r="O27" s="249">
        <v>-15000</v>
      </c>
      <c r="P27" s="190">
        <v>-15000</v>
      </c>
      <c r="Q27" s="157" t="s">
        <v>2529</v>
      </c>
      <c r="R27" s="197"/>
    </row>
    <row r="28" spans="1:19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9">
        <v>-18000</v>
      </c>
      <c r="N28" s="9">
        <v>0</v>
      </c>
      <c r="O28" s="249">
        <v>-20000</v>
      </c>
      <c r="P28" s="190">
        <v>-20000</v>
      </c>
      <c r="Q28" s="157" t="s">
        <v>2532</v>
      </c>
      <c r="R28" s="197"/>
    </row>
    <row r="29" spans="1:19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9">
        <v>-12500</v>
      </c>
      <c r="N29" s="9">
        <v>0</v>
      </c>
      <c r="O29" s="249">
        <v>-15000</v>
      </c>
      <c r="P29" s="190">
        <v>-15000</v>
      </c>
      <c r="Q29" s="157" t="s">
        <v>2532</v>
      </c>
    </row>
    <row r="30" spans="1:19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9">
        <v>-500</v>
      </c>
      <c r="N30" s="9">
        <v>-500</v>
      </c>
      <c r="O30" s="249">
        <v>-500</v>
      </c>
      <c r="P30" s="190">
        <v>-500</v>
      </c>
      <c r="Q30" s="157"/>
    </row>
    <row r="31" spans="1:19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9">
        <v>-94382</v>
      </c>
      <c r="N31" s="9">
        <v>0</v>
      </c>
      <c r="O31" s="249">
        <v>-90000</v>
      </c>
      <c r="P31" s="190">
        <v>-90000</v>
      </c>
      <c r="Q31" s="155"/>
      <c r="R31" s="197"/>
    </row>
    <row r="32" spans="1:19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9">
        <v>0</v>
      </c>
      <c r="N32" s="9">
        <v>0</v>
      </c>
      <c r="O32" s="249">
        <v>0</v>
      </c>
      <c r="P32" s="190">
        <v>0</v>
      </c>
      <c r="Q32" s="155"/>
      <c r="R32" s="197"/>
    </row>
    <row r="33" spans="1:19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9">
        <f>-6416-763</f>
        <v>-7179</v>
      </c>
      <c r="N33" s="9">
        <f>-2226-250-840-2685-277-550</f>
        <v>-6828</v>
      </c>
      <c r="O33" s="249">
        <v>-5000</v>
      </c>
      <c r="P33" s="190">
        <v>-5000</v>
      </c>
      <c r="Q33" s="157" t="s">
        <v>2499</v>
      </c>
      <c r="R33" s="197"/>
    </row>
    <row r="34" spans="1:19" x14ac:dyDescent="0.3">
      <c r="A34" s="7" t="s">
        <v>47</v>
      </c>
      <c r="B34" s="39">
        <f>SUM(B18:B33)</f>
        <v>-218877</v>
      </c>
      <c r="C34" s="39">
        <f t="shared" ref="C34:O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1">
        <f t="shared" ref="M34" si="4">SUM(M18:M33)</f>
        <v>-638296</v>
      </c>
      <c r="N34" s="11">
        <f t="shared" si="3"/>
        <v>-25997</v>
      </c>
      <c r="O34" s="250">
        <f t="shared" si="3"/>
        <v>-609500</v>
      </c>
      <c r="P34" s="191">
        <f>SUM(P18:P33)</f>
        <v>-609500</v>
      </c>
      <c r="Q34" s="205"/>
      <c r="R34" s="206"/>
    </row>
    <row r="35" spans="1:19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113"/>
      <c r="N35" s="113"/>
      <c r="O35" s="250"/>
      <c r="P35" s="191"/>
      <c r="Q35" s="158"/>
      <c r="R35" s="207"/>
    </row>
    <row r="36" spans="1:19" s="13" customFormat="1" ht="38.25" customHeight="1" x14ac:dyDescent="0.3">
      <c r="A36" s="7" t="s">
        <v>48</v>
      </c>
      <c r="B36" s="39">
        <f t="shared" ref="B36:K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12">
        <f t="shared" si="5"/>
        <v>10177</v>
      </c>
      <c r="J36" s="12">
        <f>+J34+J15</f>
        <v>36557</v>
      </c>
      <c r="K36" s="12">
        <f t="shared" si="5"/>
        <v>-84874</v>
      </c>
      <c r="L36" s="12">
        <f>+L34+L15</f>
        <v>8025</v>
      </c>
      <c r="M36" s="11">
        <f>+M34+M15</f>
        <v>-10322</v>
      </c>
      <c r="N36" s="11">
        <f>+N34+N15</f>
        <v>21339</v>
      </c>
      <c r="O36" s="250">
        <f>O15+O34</f>
        <v>10500</v>
      </c>
      <c r="P36" s="191">
        <f>P15+P34</f>
        <v>-14500</v>
      </c>
      <c r="Q36" s="158"/>
      <c r="R36" s="207"/>
    </row>
    <row r="37" spans="1:19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1"/>
      <c r="N37" s="11"/>
      <c r="O37" s="250"/>
      <c r="P37" s="191"/>
      <c r="Q37" s="158"/>
      <c r="R37" s="207"/>
    </row>
    <row r="38" spans="1:19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1">
        <v>0</v>
      </c>
      <c r="N38" s="11">
        <v>0</v>
      </c>
      <c r="O38" s="250">
        <v>0</v>
      </c>
      <c r="P38" s="191">
        <v>0</v>
      </c>
      <c r="Q38" s="155"/>
      <c r="R38" s="206"/>
    </row>
    <row r="39" spans="1:19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245"/>
      <c r="M39" s="11"/>
      <c r="N39" s="11"/>
      <c r="O39" s="251"/>
      <c r="P39" s="210"/>
      <c r="Q39" s="205"/>
      <c r="R39" s="206"/>
    </row>
    <row r="40" spans="1:19" s="13" customFormat="1" ht="16.2" thickBot="1" x14ac:dyDescent="0.35">
      <c r="A40" s="7" t="s">
        <v>88</v>
      </c>
      <c r="B40" s="39">
        <f t="shared" ref="B40:K40" si="6">+B38+B36</f>
        <v>-34674</v>
      </c>
      <c r="C40" s="39">
        <f t="shared" si="6"/>
        <v>76791</v>
      </c>
      <c r="D40" s="39">
        <f t="shared" si="6"/>
        <v>22713</v>
      </c>
      <c r="E40" s="39">
        <f t="shared" si="6"/>
        <v>-15009.140000000043</v>
      </c>
      <c r="F40" s="39">
        <f t="shared" si="6"/>
        <v>-35959.489999999991</v>
      </c>
      <c r="G40" s="39">
        <f t="shared" si="6"/>
        <v>-181974</v>
      </c>
      <c r="H40" s="39">
        <f t="shared" si="6"/>
        <v>13685</v>
      </c>
      <c r="I40" s="12">
        <f t="shared" si="6"/>
        <v>10177</v>
      </c>
      <c r="J40" s="12">
        <f>+J38+J36</f>
        <v>36557</v>
      </c>
      <c r="K40" s="12">
        <f t="shared" si="6"/>
        <v>-84874</v>
      </c>
      <c r="L40" s="12">
        <f>+L38+L36</f>
        <v>8025</v>
      </c>
      <c r="M40" s="154">
        <f>+M38+M36</f>
        <v>-10322</v>
      </c>
      <c r="N40" s="154">
        <f>+N38+N36</f>
        <v>21339</v>
      </c>
      <c r="O40" s="252">
        <f>+O38+O36</f>
        <v>10500</v>
      </c>
      <c r="P40" s="192">
        <f>+P38+P36</f>
        <v>-14500</v>
      </c>
      <c r="Q40" s="155"/>
      <c r="R40" s="208"/>
    </row>
    <row r="41" spans="1:19" s="13" customFormat="1" x14ac:dyDescent="0.3">
      <c r="A41" s="4"/>
      <c r="B41" s="4"/>
      <c r="C41" s="4"/>
      <c r="D41" s="4"/>
      <c r="E41" s="4"/>
      <c r="F41" s="4"/>
      <c r="G41" s="4"/>
      <c r="H41" s="4"/>
      <c r="O41" s="58"/>
      <c r="P41" s="58"/>
      <c r="Q41" s="196"/>
      <c r="R41" s="155"/>
    </row>
    <row r="42" spans="1:19" x14ac:dyDescent="0.3">
      <c r="O42" s="55" t="s">
        <v>586</v>
      </c>
      <c r="P42" s="261"/>
      <c r="Q42" s="155" t="s">
        <v>2520</v>
      </c>
    </row>
    <row r="43" spans="1:19" x14ac:dyDescent="0.3">
      <c r="O43" s="99"/>
    </row>
    <row r="44" spans="1:19" x14ac:dyDescent="0.3">
      <c r="O44" s="222"/>
    </row>
    <row r="45" spans="1:19" x14ac:dyDescent="0.3">
      <c r="O45" s="207"/>
    </row>
    <row r="46" spans="1:19" x14ac:dyDescent="0.3">
      <c r="O46" s="222"/>
    </row>
    <row r="47" spans="1:19" s="4" customFormat="1" x14ac:dyDescent="0.3">
      <c r="O47" s="99"/>
      <c r="Q47" s="196"/>
      <c r="R47" s="155"/>
      <c r="S47" s="1"/>
    </row>
    <row r="48" spans="1:19" s="4" customFormat="1" x14ac:dyDescent="0.3">
      <c r="O48" s="99"/>
      <c r="Q48" s="196"/>
      <c r="R48" s="155"/>
      <c r="S48" s="1"/>
    </row>
    <row r="49" spans="15:19" s="4" customFormat="1" x14ac:dyDescent="0.3">
      <c r="O49" s="99"/>
      <c r="Q49" s="196"/>
      <c r="R49" s="155"/>
      <c r="S49" s="1"/>
    </row>
    <row r="50" spans="15:19" s="4" customFormat="1" x14ac:dyDescent="0.3">
      <c r="O50" s="99"/>
      <c r="Q50" s="196"/>
      <c r="R50" s="155"/>
      <c r="S50" s="1"/>
    </row>
    <row r="51" spans="15:19" x14ac:dyDescent="0.3">
      <c r="O51" s="99"/>
    </row>
    <row r="52" spans="15:19" x14ac:dyDescent="0.3">
      <c r="O52" s="223"/>
    </row>
  </sheetData>
  <mergeCells count="1">
    <mergeCell ref="H1:J1"/>
  </mergeCells>
  <pageMargins left="0.7" right="0.7" top="0.75" bottom="0.75" header="0.3" footer="0.3"/>
  <pageSetup paperSize="9" scale="58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CAFA7-4213-4A2E-AC00-A18E2D3C2068}">
  <sheetPr>
    <tabColor theme="5" tint="-0.249977111117893"/>
    <pageSetUpPr fitToPage="1"/>
  </sheetPr>
  <dimension ref="A1:Q50"/>
  <sheetViews>
    <sheetView zoomScaleNormal="100" workbookViewId="0">
      <pane xSplit="1" ySplit="3" topLeftCell="G10" activePane="bottomRight" state="frozen"/>
      <selection pane="topRight" activeCell="B1" sqref="B1"/>
      <selection pane="bottomLeft" activeCell="A4" sqref="A4"/>
      <selection pane="bottomRight" activeCell="N18" sqref="N18:N33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customWidth="1"/>
    <col min="8" max="8" width="14.33203125" style="4" customWidth="1"/>
    <col min="9" max="13" width="16.44140625" style="1" customWidth="1"/>
    <col min="14" max="14" width="18.5546875" style="1" customWidth="1"/>
    <col min="15" max="15" width="27" style="196" customWidth="1"/>
    <col min="16" max="16" width="12" style="155" customWidth="1"/>
    <col min="17" max="16384" width="9.109375" style="1"/>
  </cols>
  <sheetData>
    <row r="1" spans="1:16" ht="31.8" thickBot="1" x14ac:dyDescent="0.65">
      <c r="A1" s="211" t="s">
        <v>486</v>
      </c>
      <c r="B1" s="254"/>
      <c r="C1" s="255"/>
      <c r="D1" s="255"/>
      <c r="E1" s="291" t="s">
        <v>487</v>
      </c>
      <c r="F1" s="291"/>
      <c r="G1" s="291"/>
      <c r="H1" s="291"/>
      <c r="I1" s="292"/>
    </row>
    <row r="2" spans="1:16" ht="16.2" thickBot="1" x14ac:dyDescent="0.35"/>
    <row r="3" spans="1:16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37">
        <v>2016</v>
      </c>
      <c r="K3" s="241">
        <v>2017</v>
      </c>
      <c r="L3" s="37">
        <v>2018</v>
      </c>
      <c r="M3" s="241">
        <v>2019</v>
      </c>
      <c r="N3" s="240" t="s">
        <v>2521</v>
      </c>
      <c r="O3" s="156"/>
      <c r="P3" s="156"/>
    </row>
    <row r="4" spans="1:16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263"/>
      <c r="M4" s="110"/>
      <c r="N4" s="209"/>
      <c r="O4" s="156"/>
      <c r="P4" s="156"/>
    </row>
    <row r="5" spans="1:16" ht="16.2" thickBot="1" x14ac:dyDescent="0.35">
      <c r="A5" s="32" t="s">
        <v>19</v>
      </c>
      <c r="B5" s="10"/>
      <c r="C5" s="7"/>
      <c r="D5" s="7"/>
      <c r="I5" s="4"/>
      <c r="J5" s="4"/>
      <c r="K5" s="262"/>
      <c r="L5" s="264"/>
      <c r="M5" s="237"/>
      <c r="N5" s="8"/>
      <c r="O5" s="155"/>
    </row>
    <row r="6" spans="1:16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38">
        <v>183801</v>
      </c>
      <c r="L6" s="38">
        <v>157419</v>
      </c>
      <c r="M6" s="9">
        <v>174547</v>
      </c>
      <c r="N6" s="190">
        <v>170000</v>
      </c>
      <c r="O6" s="217"/>
    </row>
    <row r="7" spans="1:16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38">
        <v>131700</v>
      </c>
      <c r="L7" s="38">
        <v>136075</v>
      </c>
      <c r="M7" s="9">
        <v>171450</v>
      </c>
      <c r="N7" s="190">
        <v>170000</v>
      </c>
      <c r="O7" s="236"/>
    </row>
    <row r="8" spans="1:16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38">
        <v>96525</v>
      </c>
      <c r="L8" s="38">
        <v>71440</v>
      </c>
      <c r="M8" s="9">
        <v>94105</v>
      </c>
      <c r="N8" s="190">
        <v>95000</v>
      </c>
      <c r="O8" s="155"/>
    </row>
    <row r="9" spans="1:16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38">
        <v>13700</v>
      </c>
      <c r="L9" s="38">
        <v>18200</v>
      </c>
      <c r="M9" s="9">
        <v>12988</v>
      </c>
      <c r="N9" s="190">
        <v>15000</v>
      </c>
      <c r="O9" s="217"/>
    </row>
    <row r="10" spans="1:16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38">
        <v>104297</v>
      </c>
      <c r="L10" s="38">
        <v>93420</v>
      </c>
      <c r="M10" s="9">
        <v>63900</v>
      </c>
      <c r="N10" s="190">
        <v>35000</v>
      </c>
      <c r="O10" s="217"/>
    </row>
    <row r="11" spans="1:16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38">
        <v>85200</v>
      </c>
      <c r="L11" s="38">
        <v>69517</v>
      </c>
      <c r="M11" s="9">
        <v>89680</v>
      </c>
      <c r="N11" s="190">
        <v>90000</v>
      </c>
      <c r="O11" s="155"/>
    </row>
    <row r="12" spans="1:16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38">
        <v>5455</v>
      </c>
      <c r="L12" s="38">
        <v>0</v>
      </c>
      <c r="M12" s="9">
        <v>0</v>
      </c>
      <c r="N12" s="190">
        <v>0</v>
      </c>
      <c r="O12" s="155"/>
    </row>
    <row r="13" spans="1:16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38">
        <v>0</v>
      </c>
      <c r="L13" s="38">
        <v>0</v>
      </c>
      <c r="M13" s="9">
        <v>0</v>
      </c>
      <c r="N13" s="190">
        <v>0</v>
      </c>
      <c r="O13" s="155"/>
    </row>
    <row r="14" spans="1:16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38">
        <v>29446</v>
      </c>
      <c r="L14" s="38">
        <v>56040</v>
      </c>
      <c r="M14" s="9">
        <v>21304</v>
      </c>
      <c r="N14" s="190">
        <v>20000</v>
      </c>
      <c r="O14" s="217"/>
    </row>
    <row r="15" spans="1:16" x14ac:dyDescent="0.3">
      <c r="A15" s="7" t="s">
        <v>29</v>
      </c>
      <c r="B15" s="39">
        <f t="shared" ref="B15:N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si="0"/>
        <v>621290</v>
      </c>
      <c r="K15" s="39">
        <f t="shared" si="0"/>
        <v>650124</v>
      </c>
      <c r="L15" s="39">
        <f>SUM(L6:L14)</f>
        <v>602111</v>
      </c>
      <c r="M15" s="11">
        <v>627974</v>
      </c>
      <c r="N15" s="191">
        <f t="shared" si="0"/>
        <v>595000</v>
      </c>
      <c r="O15" s="155"/>
    </row>
    <row r="16" spans="1:16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K16" s="40"/>
      <c r="M16" s="111"/>
      <c r="N16" s="190"/>
      <c r="O16" s="155"/>
    </row>
    <row r="17" spans="1:17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K17" s="41"/>
      <c r="M17" s="112"/>
      <c r="N17" s="190"/>
      <c r="O17" s="159"/>
      <c r="P17" s="159"/>
    </row>
    <row r="18" spans="1:17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38">
        <v>-134562</v>
      </c>
      <c r="L18" s="38">
        <v>-150140</v>
      </c>
      <c r="M18" s="9">
        <v>-104717</v>
      </c>
      <c r="N18" s="190">
        <v>-110000</v>
      </c>
      <c r="O18" s="155"/>
      <c r="P18" s="197"/>
      <c r="Q18" s="55"/>
    </row>
    <row r="19" spans="1:17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38">
        <v>-201761</v>
      </c>
      <c r="L19" s="38">
        <v>-70226</v>
      </c>
      <c r="M19" s="9">
        <v>-120875</v>
      </c>
      <c r="N19" s="190">
        <v>-120000</v>
      </c>
      <c r="O19" s="157"/>
      <c r="P19" s="197"/>
    </row>
    <row r="20" spans="1:17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38">
        <v>-17887</v>
      </c>
      <c r="L20" s="38">
        <v>-4522</v>
      </c>
      <c r="M20" s="9">
        <v>0</v>
      </c>
      <c r="N20" s="190">
        <v>0</v>
      </c>
      <c r="O20" s="157"/>
      <c r="P20" s="197"/>
    </row>
    <row r="21" spans="1:17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38">
        <v>-38345</v>
      </c>
      <c r="L21" s="38">
        <v>-52120</v>
      </c>
      <c r="M21" s="9">
        <v>-70704</v>
      </c>
      <c r="N21" s="190">
        <v>-40000</v>
      </c>
      <c r="O21" s="155"/>
      <c r="P21" s="197"/>
    </row>
    <row r="22" spans="1:17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38">
        <v>-40515</v>
      </c>
      <c r="L22" s="38">
        <v>-23150</v>
      </c>
      <c r="M22" s="9">
        <v>-39500</v>
      </c>
      <c r="N22" s="190">
        <v>-40000</v>
      </c>
      <c r="O22" s="155"/>
      <c r="P22" s="197"/>
    </row>
    <row r="23" spans="1:17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38">
        <v>-76389</v>
      </c>
      <c r="L23" s="38">
        <v>-81515</v>
      </c>
      <c r="M23" s="9">
        <v>-88679</v>
      </c>
      <c r="N23" s="190">
        <v>-90000</v>
      </c>
      <c r="O23" s="157"/>
      <c r="P23" s="197"/>
    </row>
    <row r="24" spans="1:17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38">
        <v>-2500</v>
      </c>
      <c r="L24" s="38">
        <v>-3050</v>
      </c>
      <c r="M24" s="9">
        <v>-3860</v>
      </c>
      <c r="N24" s="190">
        <v>-4000</v>
      </c>
      <c r="O24" s="155"/>
      <c r="P24" s="197"/>
    </row>
    <row r="25" spans="1:17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38">
        <v>-23700</v>
      </c>
      <c r="L25" s="38">
        <v>-23490</v>
      </c>
      <c r="M25" s="9">
        <v>-20500</v>
      </c>
      <c r="N25" s="190">
        <v>-20000</v>
      </c>
      <c r="O25" s="157"/>
      <c r="P25" s="197"/>
    </row>
    <row r="26" spans="1:17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38">
        <v>-30550</v>
      </c>
      <c r="L26" s="38">
        <v>-32750</v>
      </c>
      <c r="M26" s="9">
        <v>-41400</v>
      </c>
      <c r="N26" s="190">
        <v>-40000</v>
      </c>
      <c r="O26" s="157"/>
      <c r="P26" s="197"/>
    </row>
    <row r="27" spans="1:17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38">
        <v>-14710</v>
      </c>
      <c r="L27" s="38">
        <v>-18980</v>
      </c>
      <c r="M27" s="9">
        <v>-15500</v>
      </c>
      <c r="N27" s="190">
        <v>-15000</v>
      </c>
      <c r="O27" s="155"/>
      <c r="P27" s="197"/>
    </row>
    <row r="28" spans="1:17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38">
        <v>-39400</v>
      </c>
      <c r="L28" s="38">
        <v>-28600</v>
      </c>
      <c r="M28" s="9">
        <v>-18000</v>
      </c>
      <c r="N28" s="190">
        <v>-20000</v>
      </c>
      <c r="O28" s="157"/>
      <c r="P28" s="197"/>
    </row>
    <row r="29" spans="1:17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38">
        <v>-10000</v>
      </c>
      <c r="L29" s="38">
        <v>-14500</v>
      </c>
      <c r="M29" s="9">
        <v>-12500</v>
      </c>
      <c r="N29" s="190">
        <v>-15000</v>
      </c>
      <c r="O29" s="157"/>
    </row>
    <row r="30" spans="1:17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38">
        <v>-3000</v>
      </c>
      <c r="L30" s="38">
        <v>-500</v>
      </c>
      <c r="M30" s="9">
        <v>-500</v>
      </c>
      <c r="N30" s="190">
        <v>-500</v>
      </c>
      <c r="O30" s="157"/>
    </row>
    <row r="31" spans="1:17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38">
        <v>-90569</v>
      </c>
      <c r="L31" s="38">
        <v>-87302</v>
      </c>
      <c r="M31" s="9">
        <v>-94382</v>
      </c>
      <c r="N31" s="190">
        <v>-90000</v>
      </c>
      <c r="O31" s="155"/>
      <c r="P31" s="197"/>
    </row>
    <row r="32" spans="1:17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38">
        <v>0</v>
      </c>
      <c r="L32" s="38">
        <v>0</v>
      </c>
      <c r="M32" s="9">
        <v>0</v>
      </c>
      <c r="N32" s="190">
        <v>0</v>
      </c>
      <c r="O32" s="155"/>
      <c r="P32" s="197"/>
    </row>
    <row r="33" spans="1:17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38">
        <v>-11110</v>
      </c>
      <c r="L33" s="38">
        <f>-1688+-1553</f>
        <v>-3241</v>
      </c>
      <c r="M33" s="9">
        <v>-7179</v>
      </c>
      <c r="N33" s="190">
        <v>-5000</v>
      </c>
      <c r="O33" s="155"/>
      <c r="P33" s="197"/>
    </row>
    <row r="34" spans="1:17" x14ac:dyDescent="0.3">
      <c r="A34" s="7" t="s">
        <v>47</v>
      </c>
      <c r="B34" s="39">
        <f>SUM(B18:B33)</f>
        <v>-218877</v>
      </c>
      <c r="C34" s="39">
        <f t="shared" ref="C34:H34" si="1">SUM(C18:C33)</f>
        <v>-258934</v>
      </c>
      <c r="D34" s="39">
        <f t="shared" si="1"/>
        <v>-187844</v>
      </c>
      <c r="E34" s="39">
        <f t="shared" si="1"/>
        <v>-247088.42</v>
      </c>
      <c r="F34" s="39">
        <f t="shared" si="1"/>
        <v>-325572.77</v>
      </c>
      <c r="G34" s="39">
        <f t="shared" si="1"/>
        <v>-457445</v>
      </c>
      <c r="H34" s="39">
        <f t="shared" si="1"/>
        <v>-467066</v>
      </c>
      <c r="I34" s="39">
        <f>SUM(I18:I33)</f>
        <v>-618159</v>
      </c>
      <c r="J34" s="39">
        <f>SUM(J18:J33)</f>
        <v>-584733</v>
      </c>
      <c r="K34" s="39">
        <f>SUM(K18:K33)</f>
        <v>-734998</v>
      </c>
      <c r="L34" s="39">
        <f t="shared" ref="L34" si="2">SUM(L18:L33)</f>
        <v>-594086</v>
      </c>
      <c r="M34" s="11">
        <v>-638296</v>
      </c>
      <c r="N34" s="191">
        <f>SUM(N18:N33)</f>
        <v>-609500</v>
      </c>
      <c r="O34" s="205"/>
      <c r="P34" s="206"/>
    </row>
    <row r="35" spans="1:17" x14ac:dyDescent="0.3">
      <c r="A35" s="7"/>
      <c r="B35" s="41"/>
      <c r="C35" s="41"/>
      <c r="D35" s="41"/>
      <c r="E35" s="39"/>
      <c r="F35" s="39"/>
      <c r="G35" s="39"/>
      <c r="H35" s="39"/>
      <c r="I35" s="259"/>
      <c r="J35" s="259"/>
      <c r="K35" s="259"/>
      <c r="L35" s="259"/>
      <c r="M35" s="113"/>
      <c r="N35" s="191"/>
      <c r="O35" s="158"/>
      <c r="P35" s="207"/>
    </row>
    <row r="36" spans="1:17" s="13" customFormat="1" x14ac:dyDescent="0.3">
      <c r="A36" s="7" t="s">
        <v>48</v>
      </c>
      <c r="B36" s="39">
        <f t="shared" ref="B36:K36" si="3">+B34+B15</f>
        <v>-24674</v>
      </c>
      <c r="C36" s="39">
        <f t="shared" si="3"/>
        <v>86791</v>
      </c>
      <c r="D36" s="39">
        <f t="shared" si="3"/>
        <v>32713</v>
      </c>
      <c r="E36" s="39">
        <f t="shared" si="3"/>
        <v>-5009.1400000000431</v>
      </c>
      <c r="F36" s="39">
        <f t="shared" si="3"/>
        <v>-25959.489999999991</v>
      </c>
      <c r="G36" s="39">
        <f t="shared" si="3"/>
        <v>-167525</v>
      </c>
      <c r="H36" s="39">
        <f t="shared" si="3"/>
        <v>13685</v>
      </c>
      <c r="I36" s="39">
        <f t="shared" si="3"/>
        <v>10177</v>
      </c>
      <c r="J36" s="39">
        <f t="shared" si="3"/>
        <v>36557</v>
      </c>
      <c r="K36" s="39">
        <f t="shared" si="3"/>
        <v>-84874</v>
      </c>
      <c r="L36" s="39">
        <f>+L34+L15</f>
        <v>8025</v>
      </c>
      <c r="M36" s="11">
        <v>-10322</v>
      </c>
      <c r="N36" s="191">
        <f>N15+N34</f>
        <v>-14500</v>
      </c>
      <c r="O36" s="158"/>
      <c r="P36" s="207"/>
    </row>
    <row r="37" spans="1:17" s="13" customFormat="1" x14ac:dyDescent="0.3">
      <c r="A37" s="7"/>
      <c r="B37" s="41"/>
      <c r="C37" s="41"/>
      <c r="D37" s="41"/>
      <c r="E37" s="39"/>
      <c r="F37" s="39"/>
      <c r="G37" s="39"/>
      <c r="H37" s="39"/>
      <c r="I37" s="39"/>
      <c r="J37" s="39"/>
      <c r="K37" s="39"/>
      <c r="L37" s="39"/>
      <c r="M37" s="11"/>
      <c r="N37" s="191"/>
      <c r="O37" s="158"/>
      <c r="P37" s="207"/>
    </row>
    <row r="38" spans="1:17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11">
        <v>0</v>
      </c>
      <c r="N38" s="191">
        <v>0</v>
      </c>
      <c r="O38" s="155"/>
      <c r="P38" s="206"/>
    </row>
    <row r="39" spans="1:17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39"/>
      <c r="J39" s="39"/>
      <c r="K39" s="39"/>
      <c r="L39" s="260"/>
      <c r="M39" s="11"/>
      <c r="N39" s="210"/>
      <c r="O39" s="205"/>
      <c r="P39" s="206"/>
    </row>
    <row r="40" spans="1:17" s="13" customFormat="1" ht="16.2" thickBot="1" x14ac:dyDescent="0.35">
      <c r="A40" s="7" t="s">
        <v>88</v>
      </c>
      <c r="B40" s="39">
        <f t="shared" ref="B40:K40" si="4">+B38+B36</f>
        <v>-34674</v>
      </c>
      <c r="C40" s="39">
        <f t="shared" si="4"/>
        <v>76791</v>
      </c>
      <c r="D40" s="39">
        <f t="shared" si="4"/>
        <v>22713</v>
      </c>
      <c r="E40" s="39">
        <f t="shared" si="4"/>
        <v>-15009.140000000043</v>
      </c>
      <c r="F40" s="248">
        <f t="shared" si="4"/>
        <v>-35959.489999999991</v>
      </c>
      <c r="G40" s="248">
        <f t="shared" si="4"/>
        <v>-181974</v>
      </c>
      <c r="H40" s="248">
        <f t="shared" si="4"/>
        <v>13685</v>
      </c>
      <c r="I40" s="248">
        <f t="shared" si="4"/>
        <v>10177</v>
      </c>
      <c r="J40" s="248">
        <f t="shared" si="4"/>
        <v>36557</v>
      </c>
      <c r="K40" s="248">
        <f t="shared" si="4"/>
        <v>-84874</v>
      </c>
      <c r="L40" s="248">
        <f>+L38+L36</f>
        <v>8025</v>
      </c>
      <c r="M40" s="154">
        <v>-10322</v>
      </c>
      <c r="N40" s="192">
        <f>+N38+N36</f>
        <v>-14500</v>
      </c>
      <c r="O40" s="155"/>
      <c r="P40" s="208"/>
    </row>
    <row r="41" spans="1:17" s="13" customFormat="1" x14ac:dyDescent="0.3">
      <c r="A41" s="4"/>
      <c r="B41" s="4"/>
      <c r="C41" s="4"/>
      <c r="D41" s="4"/>
      <c r="E41" s="4"/>
      <c r="F41" s="4"/>
      <c r="G41" s="4"/>
      <c r="H41" s="4"/>
      <c r="N41" s="58"/>
      <c r="O41" s="196"/>
      <c r="P41" s="155"/>
    </row>
    <row r="47" spans="1:17" s="4" customFormat="1" x14ac:dyDescent="0.3">
      <c r="O47" s="196"/>
      <c r="P47" s="155"/>
      <c r="Q47" s="1"/>
    </row>
    <row r="48" spans="1:17" s="4" customFormat="1" x14ac:dyDescent="0.3">
      <c r="O48" s="196"/>
      <c r="P48" s="155"/>
      <c r="Q48" s="1"/>
    </row>
    <row r="49" spans="15:17" s="4" customFormat="1" x14ac:dyDescent="0.3">
      <c r="O49" s="196"/>
      <c r="P49" s="155"/>
      <c r="Q49" s="1"/>
    </row>
    <row r="50" spans="15:17" s="4" customFormat="1" x14ac:dyDescent="0.3">
      <c r="O50" s="196"/>
      <c r="P50" s="155"/>
      <c r="Q50" s="1"/>
    </row>
  </sheetData>
  <mergeCells count="1">
    <mergeCell ref="E1:I1"/>
  </mergeCells>
  <pageMargins left="0.7" right="0.7" top="0.75" bottom="0.75" header="0.3" footer="0.3"/>
  <pageSetup paperSize="9" scale="73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19089-AB1C-4447-AB3C-451FA92C42C8}">
  <sheetPr>
    <tabColor theme="9" tint="-0.499984740745262"/>
    <pageSetUpPr fitToPage="1"/>
  </sheetPr>
  <dimension ref="A1:G34"/>
  <sheetViews>
    <sheetView topLeftCell="A4" workbookViewId="0">
      <selection activeCell="E11" sqref="E11"/>
    </sheetView>
  </sheetViews>
  <sheetFormatPr defaultColWidth="9.109375" defaultRowHeight="14.4" x14ac:dyDescent="0.3"/>
  <cols>
    <col min="1" max="1" width="9.109375" style="1"/>
    <col min="2" max="2" width="39.6640625" style="1" customWidth="1"/>
    <col min="3" max="5" width="13.6640625" style="1" customWidth="1"/>
    <col min="6" max="16384" width="9.109375" style="1"/>
  </cols>
  <sheetData>
    <row r="1" spans="1:7" ht="34.200000000000003" thickBot="1" x14ac:dyDescent="0.7">
      <c r="A1" s="193" t="s">
        <v>2506</v>
      </c>
      <c r="B1" s="194"/>
      <c r="C1" s="195"/>
      <c r="D1" s="195"/>
      <c r="E1" s="194"/>
    </row>
    <row r="2" spans="1:7" ht="18.75" customHeight="1" thickBot="1" x14ac:dyDescent="0.7">
      <c r="A2" s="135"/>
      <c r="B2" s="130"/>
      <c r="E2" s="136"/>
    </row>
    <row r="3" spans="1:7" ht="15" thickBot="1" x14ac:dyDescent="0.35">
      <c r="A3" s="124"/>
      <c r="C3" s="102" t="s">
        <v>0</v>
      </c>
      <c r="D3" s="102" t="s">
        <v>904</v>
      </c>
      <c r="E3" s="102" t="s">
        <v>2</v>
      </c>
    </row>
    <row r="4" spans="1:7" ht="15" thickBot="1" x14ac:dyDescent="0.35">
      <c r="A4" s="147" t="s">
        <v>905</v>
      </c>
      <c r="C4" s="103">
        <v>43466</v>
      </c>
      <c r="D4" s="104"/>
      <c r="E4" s="103">
        <v>43830</v>
      </c>
    </row>
    <row r="5" spans="1:7" x14ac:dyDescent="0.3">
      <c r="A5" s="124"/>
      <c r="E5" s="136"/>
    </row>
    <row r="6" spans="1:7" ht="15.6" x14ac:dyDescent="0.3">
      <c r="A6" s="146" t="s">
        <v>906</v>
      </c>
      <c r="E6" s="136"/>
    </row>
    <row r="7" spans="1:7" ht="15" thickBot="1" x14ac:dyDescent="0.35">
      <c r="A7" s="124"/>
      <c r="B7" s="1" t="s">
        <v>5</v>
      </c>
      <c r="C7" s="105">
        <v>0</v>
      </c>
      <c r="D7" s="105">
        <v>0</v>
      </c>
      <c r="E7" s="140">
        <v>0</v>
      </c>
    </row>
    <row r="8" spans="1:7" x14ac:dyDescent="0.3">
      <c r="A8" s="137" t="s">
        <v>907</v>
      </c>
      <c r="C8" s="106">
        <f>SUM(C7:C7)</f>
        <v>0</v>
      </c>
      <c r="D8" s="106">
        <f>SUM(D7:D7)</f>
        <v>0</v>
      </c>
      <c r="E8" s="141">
        <f>SUM(E7:E7)</f>
        <v>0</v>
      </c>
    </row>
    <row r="9" spans="1:7" x14ac:dyDescent="0.3">
      <c r="A9" s="124"/>
      <c r="C9" s="138"/>
      <c r="D9" s="138"/>
      <c r="E9" s="139"/>
    </row>
    <row r="10" spans="1:7" ht="15.6" x14ac:dyDescent="0.3">
      <c r="A10" s="146" t="s">
        <v>9</v>
      </c>
      <c r="C10" s="138"/>
      <c r="D10" s="138"/>
      <c r="E10" s="139"/>
    </row>
    <row r="11" spans="1:7" x14ac:dyDescent="0.3">
      <c r="A11" s="124"/>
      <c r="B11" s="55" t="s">
        <v>908</v>
      </c>
      <c r="C11" s="138">
        <v>793.74</v>
      </c>
      <c r="D11" s="138">
        <f>+E11-C11</f>
        <v>0</v>
      </c>
      <c r="E11" s="139">
        <v>793.74</v>
      </c>
    </row>
    <row r="12" spans="1:7" x14ac:dyDescent="0.3">
      <c r="A12" s="124"/>
      <c r="B12" s="55" t="s">
        <v>2432</v>
      </c>
      <c r="C12" s="138">
        <v>111546.29</v>
      </c>
      <c r="D12" s="138">
        <f>+E12-C12</f>
        <v>-24156.25</v>
      </c>
      <c r="E12" s="184">
        <v>87390.04</v>
      </c>
    </row>
    <row r="13" spans="1:7" ht="15" thickBot="1" x14ac:dyDescent="0.35">
      <c r="A13" s="124"/>
      <c r="B13" s="55" t="s">
        <v>2433</v>
      </c>
      <c r="C13" s="107">
        <v>0</v>
      </c>
      <c r="D13" s="105">
        <f>+E13-C13</f>
        <v>0</v>
      </c>
      <c r="E13" s="142">
        <v>0</v>
      </c>
      <c r="G13" s="2"/>
    </row>
    <row r="14" spans="1:7" x14ac:dyDescent="0.3">
      <c r="A14" s="137" t="s">
        <v>14</v>
      </c>
      <c r="C14" s="106">
        <f>SUM(C11:C13)</f>
        <v>112340.03</v>
      </c>
      <c r="D14" s="106">
        <f>SUM(D11:D13)</f>
        <v>-24156.25</v>
      </c>
      <c r="E14" s="141">
        <f>SUM(E11:E13)</f>
        <v>88183.78</v>
      </c>
    </row>
    <row r="15" spans="1:7" x14ac:dyDescent="0.3">
      <c r="A15" s="124"/>
      <c r="C15" s="138"/>
      <c r="D15" s="138"/>
      <c r="E15" s="139"/>
    </row>
    <row r="16" spans="1:7" ht="15.6" x14ac:dyDescent="0.3">
      <c r="A16" s="146" t="s">
        <v>911</v>
      </c>
      <c r="C16" s="138"/>
      <c r="D16" s="138"/>
      <c r="E16" s="139"/>
    </row>
    <row r="17" spans="1:5" ht="15" thickBot="1" x14ac:dyDescent="0.35">
      <c r="A17" s="122"/>
      <c r="B17" s="55"/>
      <c r="C17" s="107">
        <v>0</v>
      </c>
      <c r="D17" s="105">
        <f>+E17-C17</f>
        <v>0</v>
      </c>
      <c r="E17" s="142">
        <v>0</v>
      </c>
    </row>
    <row r="18" spans="1:5" x14ac:dyDescent="0.3">
      <c r="A18" s="137" t="s">
        <v>913</v>
      </c>
      <c r="C18" s="106">
        <f>SUM(C17:C17)</f>
        <v>0</v>
      </c>
      <c r="D18" s="106">
        <f>SUM(D17:D17)</f>
        <v>0</v>
      </c>
      <c r="E18" s="141">
        <f>SUM(E17:E17)</f>
        <v>0</v>
      </c>
    </row>
    <row r="19" spans="1:5" x14ac:dyDescent="0.3">
      <c r="A19" s="124"/>
      <c r="C19" s="138"/>
      <c r="D19" s="138"/>
      <c r="E19" s="139"/>
    </row>
    <row r="20" spans="1:5" s="58" customFormat="1" ht="15" thickBot="1" x14ac:dyDescent="0.35">
      <c r="A20" s="143" t="s">
        <v>15</v>
      </c>
      <c r="C20" s="108">
        <f>+C8+C14+C18</f>
        <v>112340.03</v>
      </c>
      <c r="D20" s="108">
        <f>+E20-C20</f>
        <v>-24156.25</v>
      </c>
      <c r="E20" s="144">
        <f>+E8+E14+E17</f>
        <v>88183.78</v>
      </c>
    </row>
    <row r="21" spans="1:5" ht="15" thickTop="1" x14ac:dyDescent="0.3">
      <c r="A21" s="124"/>
      <c r="C21" s="138"/>
      <c r="D21" s="138"/>
      <c r="E21" s="139"/>
    </row>
    <row r="22" spans="1:5" x14ac:dyDescent="0.3">
      <c r="A22" s="124"/>
      <c r="C22" s="138"/>
      <c r="D22" s="138"/>
      <c r="E22" s="139"/>
    </row>
    <row r="23" spans="1:5" x14ac:dyDescent="0.3">
      <c r="A23" s="147" t="s">
        <v>923</v>
      </c>
      <c r="C23" s="138"/>
      <c r="D23" s="138"/>
      <c r="E23" s="139"/>
    </row>
    <row r="24" spans="1:5" x14ac:dyDescent="0.3">
      <c r="A24" s="124"/>
      <c r="C24" s="138"/>
      <c r="D24" s="138"/>
      <c r="E24" s="139"/>
    </row>
    <row r="25" spans="1:5" ht="15.6" x14ac:dyDescent="0.3">
      <c r="A25" s="146" t="s">
        <v>2461</v>
      </c>
      <c r="C25" s="138"/>
      <c r="D25" s="138"/>
      <c r="E25" s="139"/>
    </row>
    <row r="26" spans="1:5" ht="15" thickBot="1" x14ac:dyDescent="0.35">
      <c r="A26" s="122"/>
      <c r="B26" s="55" t="s">
        <v>2463</v>
      </c>
      <c r="C26" s="107">
        <v>13834</v>
      </c>
      <c r="D26" s="105">
        <f>+E26-C26</f>
        <v>-13834</v>
      </c>
      <c r="E26" s="142">
        <v>0</v>
      </c>
    </row>
    <row r="27" spans="1:5" x14ac:dyDescent="0.3">
      <c r="A27" s="137" t="s">
        <v>2462</v>
      </c>
      <c r="C27" s="106">
        <f>SUM(C26:C26)</f>
        <v>13834</v>
      </c>
      <c r="D27" s="106">
        <f>SUM(D26:D26)</f>
        <v>-13834</v>
      </c>
      <c r="E27" s="141">
        <f>SUM(E26:E26)</f>
        <v>0</v>
      </c>
    </row>
    <row r="28" spans="1:5" x14ac:dyDescent="0.3">
      <c r="A28" s="137"/>
      <c r="C28" s="106"/>
      <c r="D28" s="106"/>
      <c r="E28" s="141"/>
    </row>
    <row r="29" spans="1:5" ht="15.6" x14ac:dyDescent="0.3">
      <c r="A29" s="146" t="s">
        <v>8</v>
      </c>
      <c r="C29" s="138"/>
      <c r="D29" s="138"/>
      <c r="E29" s="139"/>
    </row>
    <row r="30" spans="1:5" ht="15" thickBot="1" x14ac:dyDescent="0.35">
      <c r="A30" s="124"/>
      <c r="B30" s="55" t="s">
        <v>8</v>
      </c>
      <c r="C30" s="105">
        <v>98506.03</v>
      </c>
      <c r="D30" s="105">
        <f>+E30-C30</f>
        <v>-10322.25</v>
      </c>
      <c r="E30" s="140">
        <v>88183.78</v>
      </c>
    </row>
    <row r="31" spans="1:5" x14ac:dyDescent="0.3">
      <c r="A31" s="137" t="s">
        <v>914</v>
      </c>
      <c r="C31" s="106">
        <f>SUM(C30:C30)</f>
        <v>98506.03</v>
      </c>
      <c r="D31" s="106">
        <f>SUM(D30:D30)</f>
        <v>-10322.25</v>
      </c>
      <c r="E31" s="141">
        <f>SUM(E30:E30)</f>
        <v>88183.78</v>
      </c>
    </row>
    <row r="32" spans="1:5" x14ac:dyDescent="0.3">
      <c r="A32" s="124"/>
      <c r="E32" s="136"/>
    </row>
    <row r="33" spans="1:5" s="58" customFormat="1" ht="15" thickBot="1" x14ac:dyDescent="0.35">
      <c r="A33" s="143" t="s">
        <v>915</v>
      </c>
      <c r="C33" s="108">
        <f>+C31+C27</f>
        <v>112340.03</v>
      </c>
      <c r="D33" s="108">
        <f>+D31+D27</f>
        <v>-24156.25</v>
      </c>
      <c r="E33" s="144">
        <f>+E31+E27</f>
        <v>88183.78</v>
      </c>
    </row>
    <row r="34" spans="1:5" ht="15.6" thickTop="1" thickBot="1" x14ac:dyDescent="0.35">
      <c r="A34" s="125"/>
      <c r="B34" s="126"/>
      <c r="C34" s="126"/>
      <c r="D34" s="126"/>
      <c r="E34" s="145"/>
    </row>
  </sheetData>
  <pageMargins left="1.18" right="0.7" top="0.75" bottom="0.75" header="0.3" footer="0.3"/>
  <pageSetup paperSize="9" scale="90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E94C2-B11B-4FFF-ACCC-86CFA76D18BD}">
  <sheetPr>
    <tabColor theme="5" tint="-0.249977111117893"/>
    <pageSetUpPr fitToPage="1"/>
  </sheetPr>
  <dimension ref="A1:Q50"/>
  <sheetViews>
    <sheetView zoomScaleNormal="100" workbookViewId="0">
      <pane xSplit="1" ySplit="3" topLeftCell="H4" activePane="bottomRight" state="frozen"/>
      <selection pane="topRight" activeCell="B1" sqref="B1"/>
      <selection pane="bottomLeft" activeCell="A4" sqref="A4"/>
      <selection pane="bottomRight" activeCell="H6" sqref="H6"/>
    </sheetView>
  </sheetViews>
  <sheetFormatPr defaultColWidth="9.109375" defaultRowHeight="15.6" x14ac:dyDescent="0.3"/>
  <cols>
    <col min="1" max="1" width="30.6640625" style="4" customWidth="1"/>
    <col min="2" max="5" width="14.33203125" style="4" customWidth="1"/>
    <col min="6" max="6" width="16.5546875" style="4" customWidth="1"/>
    <col min="7" max="7" width="18" style="4" customWidth="1"/>
    <col min="8" max="8" width="14.33203125" style="4" customWidth="1"/>
    <col min="9" max="13" width="16.44140625" style="1" customWidth="1"/>
    <col min="14" max="14" width="18.5546875" style="1" customWidth="1"/>
    <col min="15" max="15" width="27" style="196" hidden="1" customWidth="1"/>
    <col min="16" max="16" width="12" style="155" customWidth="1"/>
    <col min="17" max="16384" width="9.109375" style="1"/>
  </cols>
  <sheetData>
    <row r="1" spans="1:16" ht="31.8" thickBot="1" x14ac:dyDescent="0.65">
      <c r="A1" s="211" t="s">
        <v>486</v>
      </c>
      <c r="C1" s="224"/>
      <c r="D1" s="224"/>
      <c r="H1" s="295" t="s">
        <v>487</v>
      </c>
      <c r="I1" s="295"/>
      <c r="J1" s="295"/>
    </row>
    <row r="2" spans="1:16" ht="16.2" thickBot="1" x14ac:dyDescent="0.35"/>
    <row r="3" spans="1:16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227">
        <v>2019</v>
      </c>
      <c r="N3" s="240" t="s">
        <v>2490</v>
      </c>
      <c r="O3" s="156"/>
      <c r="P3" s="156"/>
    </row>
    <row r="4" spans="1:16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110"/>
      <c r="N4" s="209"/>
      <c r="O4" s="156"/>
      <c r="P4" s="156"/>
    </row>
    <row r="5" spans="1:16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37"/>
      <c r="N5" s="8"/>
      <c r="O5" s="155"/>
    </row>
    <row r="6" spans="1:16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38">
        <v>183801</v>
      </c>
      <c r="L6" s="38">
        <v>157419</v>
      </c>
      <c r="M6" s="9">
        <v>174547</v>
      </c>
      <c r="N6" s="190">
        <v>160000</v>
      </c>
      <c r="O6" s="217" t="s">
        <v>2478</v>
      </c>
    </row>
    <row r="7" spans="1:16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38">
        <v>131700</v>
      </c>
      <c r="L7" s="38">
        <v>136075</v>
      </c>
      <c r="M7" s="9">
        <v>171450</v>
      </c>
      <c r="N7" s="190">
        <v>150000</v>
      </c>
      <c r="O7" s="236" t="s">
        <v>2507</v>
      </c>
    </row>
    <row r="8" spans="1:16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38">
        <v>96525</v>
      </c>
      <c r="L8" s="38">
        <v>71440</v>
      </c>
      <c r="M8" s="9">
        <v>94105</v>
      </c>
      <c r="N8" s="190">
        <v>80000</v>
      </c>
      <c r="O8" s="217"/>
    </row>
    <row r="9" spans="1:16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38">
        <v>13700</v>
      </c>
      <c r="L9" s="38">
        <v>18200</v>
      </c>
      <c r="M9" s="9">
        <v>12988</v>
      </c>
      <c r="N9" s="190">
        <v>20000</v>
      </c>
      <c r="O9" s="217" t="s">
        <v>2508</v>
      </c>
    </row>
    <row r="10" spans="1:16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38">
        <v>104297</v>
      </c>
      <c r="L10" s="38">
        <v>93420</v>
      </c>
      <c r="M10" s="9">
        <v>63900</v>
      </c>
      <c r="N10" s="190">
        <v>70000</v>
      </c>
      <c r="O10" s="217" t="s">
        <v>2509</v>
      </c>
    </row>
    <row r="11" spans="1:16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38">
        <v>85200</v>
      </c>
      <c r="L11" s="38">
        <v>69517</v>
      </c>
      <c r="M11" s="9">
        <v>89680</v>
      </c>
      <c r="N11" s="190">
        <v>90000</v>
      </c>
      <c r="O11" s="155"/>
    </row>
    <row r="12" spans="1:16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38">
        <v>5455</v>
      </c>
      <c r="L12" s="38">
        <v>0</v>
      </c>
      <c r="M12" s="9">
        <v>0</v>
      </c>
      <c r="N12" s="190">
        <v>0</v>
      </c>
      <c r="O12" s="155"/>
    </row>
    <row r="13" spans="1:16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38">
        <v>0</v>
      </c>
      <c r="L13" s="38">
        <v>0</v>
      </c>
      <c r="M13" s="9">
        <v>0</v>
      </c>
      <c r="N13" s="190">
        <v>0</v>
      </c>
      <c r="O13" s="155"/>
    </row>
    <row r="14" spans="1:16" ht="21.6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38">
        <v>29446</v>
      </c>
      <c r="L14" s="38">
        <v>56040</v>
      </c>
      <c r="M14" s="9">
        <v>21304</v>
      </c>
      <c r="N14" s="190">
        <v>25000</v>
      </c>
      <c r="O14" s="236" t="s">
        <v>2516</v>
      </c>
    </row>
    <row r="15" spans="1:16" x14ac:dyDescent="0.3">
      <c r="A15" s="7" t="s">
        <v>29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39">
        <f t="shared" si="0"/>
        <v>650124</v>
      </c>
      <c r="L15" s="39">
        <f>SUM(L6:L14)</f>
        <v>602111</v>
      </c>
      <c r="M15" s="11">
        <f>SUM(M6:M14)</f>
        <v>627974</v>
      </c>
      <c r="N15" s="191">
        <f t="shared" ref="N15" si="2">SUM(N6:N14)</f>
        <v>595000</v>
      </c>
      <c r="O15" s="155"/>
    </row>
    <row r="16" spans="1:16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M16" s="111"/>
      <c r="N16" s="190"/>
      <c r="O16" s="155"/>
    </row>
    <row r="17" spans="1:17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M17" s="112"/>
      <c r="N17" s="190"/>
      <c r="O17" s="159"/>
      <c r="P17" s="159"/>
    </row>
    <row r="18" spans="1:17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38">
        <v>-134562</v>
      </c>
      <c r="L18" s="38">
        <v>-150140</v>
      </c>
      <c r="M18" s="9">
        <v>-104717</v>
      </c>
      <c r="N18" s="190">
        <v>-150000</v>
      </c>
      <c r="O18" s="157" t="s">
        <v>2486</v>
      </c>
      <c r="P18" s="197"/>
      <c r="Q18" s="55"/>
    </row>
    <row r="19" spans="1:17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38">
        <v>-201761</v>
      </c>
      <c r="L19" s="38">
        <v>-70226</v>
      </c>
      <c r="M19" s="9">
        <v>-120875</v>
      </c>
      <c r="N19" s="190">
        <v>-100000</v>
      </c>
      <c r="O19" s="157" t="s">
        <v>2515</v>
      </c>
      <c r="P19" s="197"/>
    </row>
    <row r="20" spans="1:17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38">
        <v>-17887</v>
      </c>
      <c r="L20" s="38">
        <v>-4522</v>
      </c>
      <c r="M20" s="9">
        <v>0</v>
      </c>
      <c r="N20" s="190">
        <v>-5000</v>
      </c>
      <c r="O20" s="157"/>
      <c r="P20" s="197"/>
    </row>
    <row r="21" spans="1:17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38">
        <v>-38345</v>
      </c>
      <c r="L21" s="38">
        <v>-52120</v>
      </c>
      <c r="M21" s="9">
        <v>-70704</v>
      </c>
      <c r="N21" s="190">
        <v>-40000</v>
      </c>
      <c r="O21" s="157" t="s">
        <v>2510</v>
      </c>
      <c r="P21" s="197"/>
    </row>
    <row r="22" spans="1:17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38">
        <v>-40515</v>
      </c>
      <c r="L22" s="38">
        <v>-23150</v>
      </c>
      <c r="M22" s="9">
        <v>-39500</v>
      </c>
      <c r="N22" s="190">
        <v>-25000</v>
      </c>
      <c r="O22" s="157" t="s">
        <v>2513</v>
      </c>
      <c r="P22" s="197"/>
    </row>
    <row r="23" spans="1:17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38">
        <v>-76389</v>
      </c>
      <c r="L23" s="38">
        <v>-81515</v>
      </c>
      <c r="M23" s="9">
        <v>-88679</v>
      </c>
      <c r="N23" s="190">
        <v>-80000</v>
      </c>
      <c r="O23" s="157" t="s">
        <v>2514</v>
      </c>
      <c r="P23" s="197"/>
    </row>
    <row r="24" spans="1:17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38">
        <v>-2500</v>
      </c>
      <c r="L24" s="38">
        <v>-3050</v>
      </c>
      <c r="M24" s="9">
        <v>-3860</v>
      </c>
      <c r="N24" s="190">
        <v>-3000</v>
      </c>
      <c r="O24" s="155"/>
      <c r="P24" s="197"/>
    </row>
    <row r="25" spans="1:17" ht="24.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38">
        <v>-23700</v>
      </c>
      <c r="L25" s="38">
        <v>-23490</v>
      </c>
      <c r="M25" s="9">
        <v>-20500</v>
      </c>
      <c r="N25" s="190">
        <v>-25000</v>
      </c>
      <c r="O25" s="157" t="s">
        <v>2517</v>
      </c>
      <c r="P25" s="197"/>
    </row>
    <row r="26" spans="1:17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38">
        <v>-30550</v>
      </c>
      <c r="L26" s="38">
        <v>-32750</v>
      </c>
      <c r="M26" s="9">
        <v>-41400</v>
      </c>
      <c r="N26" s="190">
        <v>-30000</v>
      </c>
      <c r="O26" s="157" t="s">
        <v>2518</v>
      </c>
      <c r="P26" s="197"/>
    </row>
    <row r="27" spans="1:17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38">
        <v>-14710</v>
      </c>
      <c r="L27" s="38">
        <v>-18980</v>
      </c>
      <c r="M27" s="9">
        <v>-15500</v>
      </c>
      <c r="N27" s="190">
        <v>-20000</v>
      </c>
      <c r="O27" s="157" t="s">
        <v>2519</v>
      </c>
      <c r="P27" s="197"/>
    </row>
    <row r="28" spans="1:17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38">
        <v>-39400</v>
      </c>
      <c r="L28" s="38">
        <v>-28600</v>
      </c>
      <c r="M28" s="9">
        <v>-18000</v>
      </c>
      <c r="N28" s="190">
        <v>-30000</v>
      </c>
      <c r="O28" s="157" t="s">
        <v>2511</v>
      </c>
      <c r="P28" s="197"/>
    </row>
    <row r="29" spans="1:17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38">
        <v>-10000</v>
      </c>
      <c r="L29" s="38">
        <v>-14500</v>
      </c>
      <c r="M29" s="9">
        <v>-12500</v>
      </c>
      <c r="N29" s="190">
        <v>-15000</v>
      </c>
      <c r="O29" s="157" t="s">
        <v>2512</v>
      </c>
    </row>
    <row r="30" spans="1:17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38">
        <v>-3000</v>
      </c>
      <c r="L30" s="38">
        <v>-500</v>
      </c>
      <c r="M30" s="9">
        <v>-500</v>
      </c>
      <c r="N30" s="190">
        <v>-1000</v>
      </c>
      <c r="O30" s="157"/>
    </row>
    <row r="31" spans="1:17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38">
        <v>-90569</v>
      </c>
      <c r="L31" s="38">
        <v>-87302</v>
      </c>
      <c r="M31" s="9">
        <v>-94382</v>
      </c>
      <c r="N31" s="190">
        <v>-90000</v>
      </c>
      <c r="O31" s="155"/>
      <c r="P31" s="197"/>
    </row>
    <row r="32" spans="1:17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38">
        <v>0</v>
      </c>
      <c r="L32" s="38">
        <v>0</v>
      </c>
      <c r="M32" s="9">
        <v>0</v>
      </c>
      <c r="N32" s="190">
        <v>0</v>
      </c>
      <c r="O32" s="155"/>
      <c r="P32" s="197"/>
    </row>
    <row r="33" spans="1:17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38">
        <v>-11110</v>
      </c>
      <c r="L33" s="38">
        <f>-1688+-1553</f>
        <v>-3241</v>
      </c>
      <c r="M33" s="9">
        <f>-6416-763</f>
        <v>-7179</v>
      </c>
      <c r="N33" s="190">
        <v>-5000</v>
      </c>
      <c r="O33" s="157" t="s">
        <v>2499</v>
      </c>
      <c r="P33" s="197"/>
    </row>
    <row r="34" spans="1:17" x14ac:dyDescent="0.3">
      <c r="A34" s="7" t="s">
        <v>47</v>
      </c>
      <c r="B34" s="39">
        <f>SUM(B18:B33)</f>
        <v>-218877</v>
      </c>
      <c r="C34" s="39">
        <f t="shared" ref="C34:M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39">
        <f t="shared" si="3"/>
        <v>-734998</v>
      </c>
      <c r="L34" s="39">
        <f t="shared" si="3"/>
        <v>-594086</v>
      </c>
      <c r="M34" s="11">
        <f t="shared" si="3"/>
        <v>-638296</v>
      </c>
      <c r="N34" s="191">
        <f>SUM(N18:N33)</f>
        <v>-619000</v>
      </c>
      <c r="O34" s="205"/>
      <c r="P34" s="206"/>
    </row>
    <row r="35" spans="1:17" x14ac:dyDescent="0.3">
      <c r="A35" s="7"/>
      <c r="B35" s="41"/>
      <c r="C35" s="41"/>
      <c r="D35" s="41"/>
      <c r="E35" s="39"/>
      <c r="F35" s="39"/>
      <c r="G35" s="39"/>
      <c r="H35" s="39"/>
      <c r="I35" s="259"/>
      <c r="J35" s="259"/>
      <c r="K35" s="259"/>
      <c r="L35" s="259"/>
      <c r="M35" s="113"/>
      <c r="N35" s="191"/>
      <c r="O35" s="158"/>
      <c r="P35" s="207"/>
    </row>
    <row r="36" spans="1:17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39">
        <f t="shared" si="4"/>
        <v>10177</v>
      </c>
      <c r="J36" s="39">
        <f>+J34+J15</f>
        <v>36557</v>
      </c>
      <c r="K36" s="39">
        <f t="shared" si="4"/>
        <v>-84874</v>
      </c>
      <c r="L36" s="39">
        <f>+L34+L15</f>
        <v>8025</v>
      </c>
      <c r="M36" s="11">
        <f>+M34+M15</f>
        <v>-10322</v>
      </c>
      <c r="N36" s="191">
        <f>N15+N34</f>
        <v>-24000</v>
      </c>
      <c r="O36" s="158"/>
      <c r="P36" s="207"/>
    </row>
    <row r="37" spans="1:17" s="13" customFormat="1" x14ac:dyDescent="0.3">
      <c r="A37" s="7"/>
      <c r="B37" s="41"/>
      <c r="C37" s="41"/>
      <c r="D37" s="41"/>
      <c r="E37" s="39"/>
      <c r="F37" s="39"/>
      <c r="G37" s="39"/>
      <c r="H37" s="39"/>
      <c r="I37" s="39"/>
      <c r="J37" s="39"/>
      <c r="K37" s="39"/>
      <c r="L37" s="39"/>
      <c r="M37" s="11"/>
      <c r="N37" s="191"/>
      <c r="O37" s="158"/>
      <c r="P37" s="207"/>
    </row>
    <row r="38" spans="1:17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11">
        <v>0</v>
      </c>
      <c r="N38" s="191">
        <v>0</v>
      </c>
      <c r="O38" s="155"/>
      <c r="P38" s="206"/>
    </row>
    <row r="39" spans="1:17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39"/>
      <c r="J39" s="39"/>
      <c r="K39" s="39"/>
      <c r="L39" s="260"/>
      <c r="M39" s="11"/>
      <c r="N39" s="210"/>
      <c r="O39" s="205"/>
      <c r="P39" s="206"/>
    </row>
    <row r="40" spans="1:17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39">
        <f t="shared" si="5"/>
        <v>10177</v>
      </c>
      <c r="J40" s="39">
        <f>+J38+J36</f>
        <v>36557</v>
      </c>
      <c r="K40" s="39">
        <f t="shared" si="5"/>
        <v>-84874</v>
      </c>
      <c r="L40" s="39">
        <f>+L38+L36</f>
        <v>8025</v>
      </c>
      <c r="M40" s="154">
        <f>+M38+M36</f>
        <v>-10322</v>
      </c>
      <c r="N40" s="192">
        <f>+N38+N36</f>
        <v>-24000</v>
      </c>
      <c r="O40" s="155"/>
      <c r="P40" s="208"/>
    </row>
    <row r="41" spans="1:17" s="13" customFormat="1" x14ac:dyDescent="0.3">
      <c r="A41" s="4"/>
      <c r="B41" s="4"/>
      <c r="C41" s="4"/>
      <c r="D41" s="4"/>
      <c r="E41" s="4"/>
      <c r="F41" s="4"/>
      <c r="G41" s="4"/>
      <c r="H41" s="4"/>
      <c r="N41" s="58"/>
      <c r="O41" s="196"/>
      <c r="P41" s="155"/>
    </row>
    <row r="42" spans="1:17" x14ac:dyDescent="0.3">
      <c r="O42" s="155"/>
    </row>
    <row r="47" spans="1:17" s="4" customFormat="1" x14ac:dyDescent="0.3">
      <c r="O47" s="196"/>
      <c r="P47" s="155"/>
      <c r="Q47" s="1"/>
    </row>
    <row r="48" spans="1:17" s="4" customFormat="1" x14ac:dyDescent="0.3">
      <c r="O48" s="196"/>
      <c r="P48" s="155"/>
      <c r="Q48" s="1"/>
    </row>
    <row r="49" spans="15:17" s="4" customFormat="1" x14ac:dyDescent="0.3">
      <c r="O49" s="196"/>
      <c r="P49" s="155"/>
      <c r="Q49" s="1"/>
    </row>
    <row r="50" spans="15:17" s="4" customFormat="1" x14ac:dyDescent="0.3">
      <c r="O50" s="196"/>
      <c r="P50" s="155"/>
      <c r="Q50" s="1"/>
    </row>
  </sheetData>
  <mergeCells count="1">
    <mergeCell ref="H1:J1"/>
  </mergeCells>
  <pageMargins left="0.7" right="0.7" top="0.75" bottom="0.75" header="0.3" footer="0.3"/>
  <pageSetup paperSize="9" scale="55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20427-B753-4329-854F-EF537DF4A680}">
  <sheetPr>
    <tabColor theme="5" tint="-0.249977111117893"/>
    <pageSetUpPr fitToPage="1"/>
  </sheetPr>
  <dimension ref="A1:R52"/>
  <sheetViews>
    <sheetView zoomScale="90" zoomScaleNormal="90" workbookViewId="0">
      <pane xSplit="1" ySplit="3" topLeftCell="B10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customWidth="1"/>
    <col min="9" max="13" width="16.44140625" style="1" customWidth="1"/>
    <col min="14" max="15" width="18.5546875" style="1" customWidth="1"/>
    <col min="16" max="16" width="27" style="196" customWidth="1"/>
    <col min="17" max="17" width="12" style="155" customWidth="1"/>
    <col min="18" max="16384" width="9.109375" style="1"/>
  </cols>
  <sheetData>
    <row r="1" spans="1:17" ht="31.8" thickBot="1" x14ac:dyDescent="0.65">
      <c r="A1" s="211" t="s">
        <v>486</v>
      </c>
      <c r="C1" s="224"/>
      <c r="D1" s="224"/>
      <c r="H1" s="295" t="s">
        <v>487</v>
      </c>
      <c r="I1" s="295"/>
      <c r="J1" s="295"/>
    </row>
    <row r="2" spans="1:17" ht="16.2" thickBot="1" x14ac:dyDescent="0.35"/>
    <row r="3" spans="1:17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227">
        <v>2019</v>
      </c>
      <c r="N3" s="253" t="s">
        <v>809</v>
      </c>
      <c r="O3" s="240" t="s">
        <v>2490</v>
      </c>
      <c r="P3" s="156"/>
      <c r="Q3" s="156"/>
    </row>
    <row r="4" spans="1:17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110">
        <v>43830</v>
      </c>
      <c r="N4" s="110">
        <v>43830</v>
      </c>
      <c r="O4" s="209"/>
      <c r="P4" s="156"/>
      <c r="Q4" s="156"/>
    </row>
    <row r="5" spans="1:17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37"/>
      <c r="N5" s="111"/>
      <c r="O5" s="8"/>
      <c r="P5" s="155"/>
    </row>
    <row r="6" spans="1:17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9">
        <v>174547</v>
      </c>
      <c r="N6" s="249">
        <v>174547</v>
      </c>
      <c r="O6" s="190">
        <v>160000</v>
      </c>
      <c r="P6" s="217" t="s">
        <v>2478</v>
      </c>
    </row>
    <row r="7" spans="1:17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9">
        <v>171450</v>
      </c>
      <c r="N7" s="249">
        <v>171450</v>
      </c>
      <c r="O7" s="190">
        <v>150000</v>
      </c>
      <c r="P7" s="236" t="s">
        <v>2507</v>
      </c>
    </row>
    <row r="8" spans="1:17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9">
        <v>94105</v>
      </c>
      <c r="N8" s="249">
        <v>94105</v>
      </c>
      <c r="O8" s="190">
        <v>80000</v>
      </c>
      <c r="P8" s="217"/>
    </row>
    <row r="9" spans="1:17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9">
        <v>12988</v>
      </c>
      <c r="N9" s="249">
        <v>12988</v>
      </c>
      <c r="O9" s="190">
        <v>20000</v>
      </c>
      <c r="P9" s="217" t="s">
        <v>2508</v>
      </c>
    </row>
    <row r="10" spans="1:17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9">
        <v>63900</v>
      </c>
      <c r="N10" s="249">
        <v>63900</v>
      </c>
      <c r="O10" s="190">
        <v>70000</v>
      </c>
      <c r="P10" s="217" t="s">
        <v>2509</v>
      </c>
    </row>
    <row r="11" spans="1:17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9">
        <v>89680</v>
      </c>
      <c r="N11" s="249">
        <v>89680</v>
      </c>
      <c r="O11" s="190">
        <v>90000</v>
      </c>
      <c r="P11" s="155"/>
    </row>
    <row r="12" spans="1:17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9">
        <v>0</v>
      </c>
      <c r="N12" s="249">
        <v>0</v>
      </c>
      <c r="O12" s="190">
        <v>0</v>
      </c>
      <c r="P12" s="155"/>
    </row>
    <row r="13" spans="1:17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9">
        <v>0</v>
      </c>
      <c r="N13" s="249">
        <v>0</v>
      </c>
      <c r="O13" s="190">
        <v>0</v>
      </c>
      <c r="P13" s="155"/>
    </row>
    <row r="14" spans="1:17" ht="21.6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9">
        <v>21304</v>
      </c>
      <c r="N14" s="249">
        <v>21304</v>
      </c>
      <c r="O14" s="190">
        <v>25000</v>
      </c>
      <c r="P14" s="236" t="s">
        <v>2516</v>
      </c>
    </row>
    <row r="15" spans="1:17" x14ac:dyDescent="0.3">
      <c r="A15" s="7" t="s">
        <v>29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1">
        <f>SUM(M6:M14)</f>
        <v>627974</v>
      </c>
      <c r="N15" s="250">
        <f t="shared" ref="N15:O15" si="2">SUM(N6:N14)</f>
        <v>627974</v>
      </c>
      <c r="O15" s="191">
        <f t="shared" si="2"/>
        <v>595000</v>
      </c>
      <c r="P15" s="155"/>
    </row>
    <row r="16" spans="1:17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M16" s="111"/>
      <c r="N16" s="249"/>
      <c r="O16" s="190"/>
      <c r="P16" s="155"/>
    </row>
    <row r="17" spans="1:18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M17" s="112"/>
      <c r="N17" s="249"/>
      <c r="O17" s="190"/>
      <c r="P17" s="159"/>
      <c r="Q17" s="159"/>
    </row>
    <row r="18" spans="1:18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10">
        <v>-150140</v>
      </c>
      <c r="M18" s="9">
        <v>-104717</v>
      </c>
      <c r="N18" s="249">
        <v>-104717</v>
      </c>
      <c r="O18" s="190">
        <v>-150000</v>
      </c>
      <c r="P18" s="157" t="s">
        <v>2486</v>
      </c>
      <c r="Q18" s="197"/>
      <c r="R18" s="55"/>
    </row>
    <row r="19" spans="1:18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10">
        <v>-70226</v>
      </c>
      <c r="M19" s="9">
        <v>-120875</v>
      </c>
      <c r="N19" s="249">
        <v>-120875</v>
      </c>
      <c r="O19" s="190">
        <v>-100000</v>
      </c>
      <c r="P19" s="157" t="s">
        <v>2515</v>
      </c>
      <c r="Q19" s="197"/>
    </row>
    <row r="20" spans="1:18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9">
        <v>0</v>
      </c>
      <c r="N20" s="249">
        <v>0</v>
      </c>
      <c r="O20" s="190">
        <v>-5000</v>
      </c>
      <c r="P20" s="157"/>
      <c r="Q20" s="197"/>
    </row>
    <row r="21" spans="1:18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9">
        <v>-70704</v>
      </c>
      <c r="N21" s="249">
        <v>-70704</v>
      </c>
      <c r="O21" s="190">
        <v>-40000</v>
      </c>
      <c r="P21" s="157" t="s">
        <v>2510</v>
      </c>
      <c r="Q21" s="197"/>
    </row>
    <row r="22" spans="1:18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9">
        <v>-39500</v>
      </c>
      <c r="N22" s="249">
        <v>-39500</v>
      </c>
      <c r="O22" s="190">
        <v>-25000</v>
      </c>
      <c r="P22" s="157" t="s">
        <v>2513</v>
      </c>
      <c r="Q22" s="197"/>
    </row>
    <row r="23" spans="1:18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9">
        <v>-88679</v>
      </c>
      <c r="N23" s="249">
        <v>-88679</v>
      </c>
      <c r="O23" s="190">
        <v>-80000</v>
      </c>
      <c r="P23" s="157" t="s">
        <v>2514</v>
      </c>
      <c r="Q23" s="197"/>
    </row>
    <row r="24" spans="1:18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9">
        <v>-3860</v>
      </c>
      <c r="N24" s="249">
        <v>-3860</v>
      </c>
      <c r="O24" s="190">
        <v>-3000</v>
      </c>
      <c r="P24" s="155"/>
      <c r="Q24" s="197"/>
    </row>
    <row r="25" spans="1:18" ht="24.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9">
        <v>-20500</v>
      </c>
      <c r="N25" s="249">
        <v>-20500</v>
      </c>
      <c r="O25" s="190">
        <v>-25000</v>
      </c>
      <c r="P25" s="157" t="s">
        <v>2517</v>
      </c>
      <c r="Q25" s="197"/>
    </row>
    <row r="26" spans="1:18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9">
        <v>-41400</v>
      </c>
      <c r="N26" s="249">
        <v>-41400</v>
      </c>
      <c r="O26" s="190">
        <v>-30000</v>
      </c>
      <c r="P26" s="157" t="s">
        <v>2518</v>
      </c>
      <c r="Q26" s="197"/>
    </row>
    <row r="27" spans="1:18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9">
        <v>-15500</v>
      </c>
      <c r="N27" s="249">
        <v>-15500</v>
      </c>
      <c r="O27" s="190">
        <v>-20000</v>
      </c>
      <c r="P27" s="157" t="s">
        <v>2519</v>
      </c>
      <c r="Q27" s="197"/>
    </row>
    <row r="28" spans="1:18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9">
        <v>-18000</v>
      </c>
      <c r="N28" s="249">
        <v>-18000</v>
      </c>
      <c r="O28" s="190">
        <v>-30000</v>
      </c>
      <c r="P28" s="157" t="s">
        <v>2511</v>
      </c>
      <c r="Q28" s="197"/>
    </row>
    <row r="29" spans="1:18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9">
        <v>-12500</v>
      </c>
      <c r="N29" s="249">
        <v>-12500</v>
      </c>
      <c r="O29" s="190">
        <v>-15000</v>
      </c>
      <c r="P29" s="157" t="s">
        <v>2512</v>
      </c>
    </row>
    <row r="30" spans="1:18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9">
        <v>-500</v>
      </c>
      <c r="N30" s="249">
        <v>-500</v>
      </c>
      <c r="O30" s="190">
        <v>-1000</v>
      </c>
      <c r="P30" s="157"/>
    </row>
    <row r="31" spans="1:18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9">
        <v>-94382</v>
      </c>
      <c r="N31" s="249">
        <v>-94382</v>
      </c>
      <c r="O31" s="190">
        <v>-90000</v>
      </c>
      <c r="P31" s="155"/>
      <c r="Q31" s="197"/>
    </row>
    <row r="32" spans="1:18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9">
        <v>0</v>
      </c>
      <c r="N32" s="249">
        <v>0</v>
      </c>
      <c r="O32" s="190">
        <v>0</v>
      </c>
      <c r="P32" s="155"/>
      <c r="Q32" s="197"/>
    </row>
    <row r="33" spans="1:18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9">
        <f>-6416-763</f>
        <v>-7179</v>
      </c>
      <c r="N33" s="249">
        <v>-7179</v>
      </c>
      <c r="O33" s="190">
        <v>-5000</v>
      </c>
      <c r="P33" s="157" t="s">
        <v>2499</v>
      </c>
      <c r="Q33" s="197"/>
    </row>
    <row r="34" spans="1:18" x14ac:dyDescent="0.3">
      <c r="A34" s="7" t="s">
        <v>47</v>
      </c>
      <c r="B34" s="39">
        <f>SUM(B18:B33)</f>
        <v>-218877</v>
      </c>
      <c r="C34" s="39">
        <f t="shared" ref="C34:N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1">
        <f t="shared" si="3"/>
        <v>-638296</v>
      </c>
      <c r="N34" s="250">
        <f t="shared" si="3"/>
        <v>-638296</v>
      </c>
      <c r="O34" s="191">
        <f>SUM(O18:O33)</f>
        <v>-619000</v>
      </c>
      <c r="P34" s="205"/>
      <c r="Q34" s="206"/>
    </row>
    <row r="35" spans="1:18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113"/>
      <c r="N35" s="250"/>
      <c r="O35" s="191"/>
      <c r="P35" s="158"/>
      <c r="Q35" s="207"/>
    </row>
    <row r="36" spans="1:18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2">
        <f t="shared" si="4"/>
        <v>-84874</v>
      </c>
      <c r="L36" s="12">
        <f>+L34+L15</f>
        <v>8025</v>
      </c>
      <c r="M36" s="11">
        <f>+M34+M15</f>
        <v>-10322</v>
      </c>
      <c r="N36" s="250">
        <f>N15+N34</f>
        <v>-10322</v>
      </c>
      <c r="O36" s="191">
        <f>O15+O34</f>
        <v>-24000</v>
      </c>
      <c r="P36" s="158"/>
      <c r="Q36" s="207"/>
    </row>
    <row r="37" spans="1:18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1"/>
      <c r="N37" s="250"/>
      <c r="O37" s="191"/>
      <c r="P37" s="158"/>
      <c r="Q37" s="207"/>
    </row>
    <row r="38" spans="1:18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1">
        <v>0</v>
      </c>
      <c r="N38" s="250">
        <v>0</v>
      </c>
      <c r="O38" s="191">
        <v>0</v>
      </c>
      <c r="P38" s="155"/>
      <c r="Q38" s="206"/>
    </row>
    <row r="39" spans="1:18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245"/>
      <c r="M39" s="11"/>
      <c r="N39" s="251"/>
      <c r="O39" s="210"/>
      <c r="P39" s="205"/>
      <c r="Q39" s="206"/>
    </row>
    <row r="40" spans="1:18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2">
        <f>+L38+L36</f>
        <v>8025</v>
      </c>
      <c r="M40" s="154">
        <f>+M38+M36</f>
        <v>-10322</v>
      </c>
      <c r="N40" s="252">
        <f>+N38+N36</f>
        <v>-10322</v>
      </c>
      <c r="O40" s="192">
        <f>+O38+O36</f>
        <v>-24000</v>
      </c>
      <c r="P40" s="155"/>
      <c r="Q40" s="208"/>
    </row>
    <row r="41" spans="1:18" s="13" customFormat="1" x14ac:dyDescent="0.3">
      <c r="A41" s="4"/>
      <c r="B41" s="4"/>
      <c r="C41" s="4"/>
      <c r="D41" s="4"/>
      <c r="E41" s="4"/>
      <c r="F41" s="4"/>
      <c r="G41" s="4"/>
      <c r="H41" s="4"/>
      <c r="N41" s="58"/>
      <c r="O41" s="58"/>
      <c r="P41" s="196"/>
      <c r="Q41" s="155"/>
    </row>
    <row r="42" spans="1:18" x14ac:dyDescent="0.3">
      <c r="N42" s="55" t="s">
        <v>586</v>
      </c>
      <c r="O42" s="261">
        <v>-103777</v>
      </c>
      <c r="P42" s="155" t="s">
        <v>2520</v>
      </c>
    </row>
    <row r="43" spans="1:18" x14ac:dyDescent="0.3">
      <c r="N43" s="99"/>
    </row>
    <row r="44" spans="1:18" x14ac:dyDescent="0.3">
      <c r="N44" s="222"/>
    </row>
    <row r="45" spans="1:18" x14ac:dyDescent="0.3">
      <c r="N45" s="207"/>
    </row>
    <row r="46" spans="1:18" x14ac:dyDescent="0.3">
      <c r="N46" s="222"/>
    </row>
    <row r="47" spans="1:18" s="4" customFormat="1" x14ac:dyDescent="0.3">
      <c r="N47" s="99"/>
      <c r="P47" s="196"/>
      <c r="Q47" s="155"/>
      <c r="R47" s="1"/>
    </row>
    <row r="48" spans="1:18" s="4" customFormat="1" x14ac:dyDescent="0.3">
      <c r="N48" s="99"/>
      <c r="P48" s="196"/>
      <c r="Q48" s="155"/>
      <c r="R48" s="1"/>
    </row>
    <row r="49" spans="14:18" s="4" customFormat="1" x14ac:dyDescent="0.3">
      <c r="N49" s="99"/>
      <c r="P49" s="196"/>
      <c r="Q49" s="155"/>
      <c r="R49" s="1"/>
    </row>
    <row r="50" spans="14:18" s="4" customFormat="1" x14ac:dyDescent="0.3">
      <c r="N50" s="99"/>
      <c r="P50" s="196"/>
      <c r="Q50" s="155"/>
      <c r="R50" s="1"/>
    </row>
    <row r="51" spans="14:18" x14ac:dyDescent="0.3">
      <c r="N51" s="99"/>
    </row>
    <row r="52" spans="14:18" x14ac:dyDescent="0.3">
      <c r="N52" s="223"/>
    </row>
  </sheetData>
  <mergeCells count="1">
    <mergeCell ref="H1:J1"/>
  </mergeCells>
  <pageMargins left="0.7" right="0.7" top="0.75" bottom="0.75" header="0.3" footer="0.3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3A50F-8050-451B-A647-2C94D3281734}">
  <sheetPr>
    <tabColor theme="5" tint="-0.249977111117893"/>
    <pageSetUpPr fitToPage="1"/>
  </sheetPr>
  <dimension ref="A1:X58"/>
  <sheetViews>
    <sheetView zoomScale="110" zoomScaleNormal="110" workbookViewId="0">
      <pane xSplit="1" ySplit="3" topLeftCell="O4" activePane="bottomRight" state="frozen"/>
      <selection pane="topRight" activeCell="B1" sqref="B1"/>
      <selection pane="bottomLeft" activeCell="A4" sqref="A4"/>
      <selection pane="bottomRight" activeCell="V32" sqref="V32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2" width="16.44140625" style="1" hidden="1" customWidth="1"/>
    <col min="13" max="13" width="18" style="1" hidden="1" customWidth="1"/>
    <col min="14" max="14" width="16.44140625" style="1" hidden="1" customWidth="1"/>
    <col min="15" max="18" width="16.44140625" style="1" customWidth="1"/>
    <col min="19" max="19" width="17.6640625" style="1" customWidth="1"/>
    <col min="20" max="21" width="18.5546875" style="1" customWidth="1"/>
    <col min="22" max="22" width="27" style="217" customWidth="1"/>
    <col min="23" max="23" width="15.88671875" style="155" customWidth="1"/>
    <col min="24" max="16384" width="9.109375" style="1"/>
  </cols>
  <sheetData>
    <row r="1" spans="1:23" ht="31.8" thickBot="1" x14ac:dyDescent="0.65">
      <c r="A1" s="211" t="s">
        <v>486</v>
      </c>
      <c r="C1" s="224"/>
      <c r="D1" s="224"/>
      <c r="I1" s="4"/>
      <c r="J1" s="4"/>
      <c r="K1" s="289"/>
      <c r="L1" s="289"/>
      <c r="M1" s="289"/>
      <c r="O1" s="290" t="s">
        <v>2786</v>
      </c>
      <c r="P1" s="290"/>
    </row>
    <row r="2" spans="1:23" ht="16.2" thickBot="1" x14ac:dyDescent="0.35"/>
    <row r="3" spans="1:23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37">
        <v>2023</v>
      </c>
      <c r="R3" s="37">
        <v>2024</v>
      </c>
      <c r="S3" s="227">
        <v>2025</v>
      </c>
      <c r="T3" s="253" t="s">
        <v>809</v>
      </c>
      <c r="U3" s="240" t="s">
        <v>2812</v>
      </c>
      <c r="V3" s="270"/>
      <c r="W3" s="156"/>
    </row>
    <row r="4" spans="1:23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42"/>
      <c r="R4" s="42"/>
      <c r="S4" s="110">
        <v>45888</v>
      </c>
      <c r="T4" s="110">
        <v>46022</v>
      </c>
      <c r="U4" s="209"/>
      <c r="V4" s="270"/>
      <c r="W4" s="156"/>
    </row>
    <row r="5" spans="1:23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56"/>
      <c r="R5" s="256"/>
      <c r="S5" s="237"/>
      <c r="T5" s="111"/>
      <c r="U5" s="8"/>
    </row>
    <row r="6" spans="1:23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10">
        <v>225734</v>
      </c>
      <c r="Q6" s="10">
        <v>252983</v>
      </c>
      <c r="R6" s="10">
        <v>209138</v>
      </c>
      <c r="S6" s="9">
        <v>85872</v>
      </c>
      <c r="T6" s="249">
        <v>200000</v>
      </c>
      <c r="U6" s="190">
        <v>210000</v>
      </c>
      <c r="V6" s="217" t="s">
        <v>2605</v>
      </c>
    </row>
    <row r="7" spans="1:23" ht="36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10">
        <v>187000</v>
      </c>
      <c r="Q7" s="10">
        <v>181250</v>
      </c>
      <c r="R7" s="10">
        <v>211575</v>
      </c>
      <c r="S7" s="9">
        <v>342825</v>
      </c>
      <c r="T7" s="249">
        <v>345000</v>
      </c>
      <c r="U7" s="190">
        <v>350000</v>
      </c>
      <c r="V7" s="258" t="s">
        <v>2863</v>
      </c>
    </row>
    <row r="8" spans="1:23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10">
        <v>83434</v>
      </c>
      <c r="Q8" s="10">
        <v>177917</v>
      </c>
      <c r="R8" s="10">
        <v>112047</v>
      </c>
      <c r="S8" s="9">
        <v>45297</v>
      </c>
      <c r="T8" s="249">
        <v>100000</v>
      </c>
      <c r="U8" s="190">
        <v>115000</v>
      </c>
      <c r="V8" s="236" t="s">
        <v>2859</v>
      </c>
    </row>
    <row r="9" spans="1:23" ht="21.6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10">
        <v>33422</v>
      </c>
      <c r="Q9" s="10">
        <v>14330</v>
      </c>
      <c r="R9" s="10">
        <v>27500</v>
      </c>
      <c r="S9" s="9">
        <v>99574</v>
      </c>
      <c r="T9" s="249">
        <v>100000</v>
      </c>
      <c r="U9" s="190">
        <v>105000</v>
      </c>
      <c r="V9" s="236" t="s">
        <v>2862</v>
      </c>
    </row>
    <row r="10" spans="1:23" ht="35.4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10">
        <v>109900</v>
      </c>
      <c r="Q10" s="10">
        <v>137850</v>
      </c>
      <c r="R10" s="10">
        <v>125900</v>
      </c>
      <c r="S10" s="9">
        <v>162700</v>
      </c>
      <c r="T10" s="249">
        <v>163000</v>
      </c>
      <c r="U10" s="190">
        <v>100000</v>
      </c>
      <c r="V10" s="236" t="s">
        <v>2842</v>
      </c>
    </row>
    <row r="11" spans="1:23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10">
        <v>145695</v>
      </c>
      <c r="Q11" s="10">
        <v>163300</v>
      </c>
      <c r="R11" s="10">
        <v>203280</v>
      </c>
      <c r="S11" s="9">
        <v>217430</v>
      </c>
      <c r="T11" s="249">
        <v>217430</v>
      </c>
      <c r="U11" s="190">
        <v>200000</v>
      </c>
    </row>
    <row r="12" spans="1:23" x14ac:dyDescent="0.3">
      <c r="A12" s="4" t="s">
        <v>2823</v>
      </c>
      <c r="B12" s="38">
        <v>500</v>
      </c>
      <c r="C12" s="38">
        <v>85850</v>
      </c>
      <c r="D12" s="38">
        <v>62250</v>
      </c>
      <c r="E12" s="38">
        <v>66900</v>
      </c>
      <c r="F12" s="38">
        <v>91100</v>
      </c>
      <c r="G12" s="38">
        <v>83700</v>
      </c>
      <c r="H12" s="38">
        <v>94424</v>
      </c>
      <c r="I12" s="38">
        <f>99500</f>
        <v>99500</v>
      </c>
      <c r="J12" s="38">
        <f>81000</f>
        <v>81000</v>
      </c>
      <c r="K12" s="10">
        <v>85200</v>
      </c>
      <c r="L12" s="10">
        <v>69517</v>
      </c>
      <c r="M12" s="10">
        <v>89680</v>
      </c>
      <c r="N12" s="10">
        <v>95633</v>
      </c>
      <c r="O12" s="10"/>
      <c r="P12" s="10"/>
      <c r="Q12" s="10"/>
      <c r="R12" s="10"/>
      <c r="S12" s="9">
        <v>127878</v>
      </c>
      <c r="T12" s="249">
        <v>127878</v>
      </c>
      <c r="U12" s="190">
        <v>124000</v>
      </c>
    </row>
    <row r="13" spans="1:23" hidden="1" x14ac:dyDescent="0.3">
      <c r="A13" s="4" t="s">
        <v>2143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0</v>
      </c>
      <c r="G13" s="38">
        <v>0</v>
      </c>
      <c r="H13" s="38">
        <v>0</v>
      </c>
      <c r="I13" s="38">
        <v>0</v>
      </c>
      <c r="J13" s="38">
        <f>5750-1743-1743-1453-3486-4358-15750+10000+7640+840+1463+5660</f>
        <v>2820</v>
      </c>
      <c r="K13" s="10">
        <v>5455</v>
      </c>
      <c r="L13" s="10">
        <v>0</v>
      </c>
      <c r="M13" s="10">
        <v>0</v>
      </c>
      <c r="N13" s="10">
        <v>0</v>
      </c>
      <c r="O13" s="10"/>
      <c r="P13" s="10"/>
      <c r="Q13" s="10"/>
      <c r="R13" s="10"/>
      <c r="S13" s="9"/>
      <c r="T13" s="249">
        <v>0</v>
      </c>
      <c r="U13" s="190">
        <v>0</v>
      </c>
    </row>
    <row r="14" spans="1:23" x14ac:dyDescent="0.3">
      <c r="A14" s="4" t="s">
        <v>27</v>
      </c>
      <c r="B14" s="38">
        <v>2474</v>
      </c>
      <c r="C14" s="38">
        <v>239</v>
      </c>
      <c r="D14" s="38">
        <v>450</v>
      </c>
      <c r="E14" s="38">
        <v>2470.9899999999998</v>
      </c>
      <c r="F14" s="38">
        <v>1824.88</v>
      </c>
      <c r="G14" s="38">
        <v>514</v>
      </c>
      <c r="H14" s="38">
        <v>101</v>
      </c>
      <c r="I14" s="38">
        <v>13</v>
      </c>
      <c r="J14" s="38">
        <v>0</v>
      </c>
      <c r="K14" s="10">
        <v>0</v>
      </c>
      <c r="L14" s="10">
        <v>0</v>
      </c>
      <c r="M14" s="10">
        <v>0</v>
      </c>
      <c r="N14" s="10">
        <v>0</v>
      </c>
      <c r="O14" s="10"/>
      <c r="P14" s="10"/>
      <c r="Q14" s="10"/>
      <c r="R14" s="10">
        <v>6206</v>
      </c>
      <c r="S14" s="9">
        <v>0</v>
      </c>
      <c r="T14" s="249">
        <v>3000</v>
      </c>
      <c r="U14" s="190">
        <v>3000</v>
      </c>
    </row>
    <row r="15" spans="1:23" ht="21.6" x14ac:dyDescent="0.3">
      <c r="A15" s="4" t="s">
        <v>490</v>
      </c>
      <c r="B15" s="38">
        <f>3455+2000</f>
        <v>5455</v>
      </c>
      <c r="C15" s="38">
        <f>400+10000+12000</f>
        <v>22400</v>
      </c>
      <c r="D15" s="38">
        <v>4112</v>
      </c>
      <c r="E15" s="38">
        <f>4135+5600</f>
        <v>9735</v>
      </c>
      <c r="F15" s="38">
        <f>1987+4050</f>
        <v>6037</v>
      </c>
      <c r="G15" s="38">
        <v>1630</v>
      </c>
      <c r="H15" s="38">
        <v>16554</v>
      </c>
      <c r="I15" s="38">
        <f>28269-19125+4390+6756</f>
        <v>20290</v>
      </c>
      <c r="J15" s="38">
        <f>2914+5838+4950+240+1000+6365+1880+2390</f>
        <v>25577</v>
      </c>
      <c r="K15" s="10">
        <v>29446</v>
      </c>
      <c r="L15" s="10">
        <v>56040</v>
      </c>
      <c r="M15" s="10">
        <v>21304</v>
      </c>
      <c r="N15" s="10">
        <v>93807</v>
      </c>
      <c r="O15" s="10">
        <v>61627</v>
      </c>
      <c r="P15" s="10">
        <v>46439</v>
      </c>
      <c r="Q15" s="10">
        <v>11035</v>
      </c>
      <c r="R15" s="10">
        <v>17071</v>
      </c>
      <c r="S15" s="9">
        <v>16635</v>
      </c>
      <c r="T15" s="249">
        <v>20000</v>
      </c>
      <c r="U15" s="190">
        <v>15000</v>
      </c>
      <c r="V15" s="236" t="s">
        <v>2841</v>
      </c>
    </row>
    <row r="16" spans="1:23" x14ac:dyDescent="0.3">
      <c r="A16" s="7" t="s">
        <v>2554</v>
      </c>
      <c r="B16" s="39">
        <f t="shared" ref="B16:K16" si="0">SUM(B6:B15)</f>
        <v>194703</v>
      </c>
      <c r="C16" s="39">
        <f t="shared" si="0"/>
        <v>431575</v>
      </c>
      <c r="D16" s="39">
        <f t="shared" si="0"/>
        <v>282807</v>
      </c>
      <c r="E16" s="39">
        <f t="shared" si="0"/>
        <v>308979.27999999997</v>
      </c>
      <c r="F16" s="39">
        <f t="shared" si="0"/>
        <v>390713.28</v>
      </c>
      <c r="G16" s="39">
        <f t="shared" si="0"/>
        <v>373620</v>
      </c>
      <c r="H16" s="39">
        <f t="shared" si="0"/>
        <v>575175</v>
      </c>
      <c r="I16" s="39">
        <f>SUM(I6:I15)</f>
        <v>727836</v>
      </c>
      <c r="J16" s="39">
        <f t="shared" ref="J16" si="1">SUM(J6:J15)</f>
        <v>702290</v>
      </c>
      <c r="K16" s="12">
        <f t="shared" si="0"/>
        <v>735324</v>
      </c>
      <c r="L16" s="12">
        <f t="shared" ref="L16:R16" si="2">SUM(L6:L15)</f>
        <v>671628</v>
      </c>
      <c r="M16" s="12">
        <f t="shared" si="2"/>
        <v>717654</v>
      </c>
      <c r="N16" s="12">
        <f t="shared" si="2"/>
        <v>763533</v>
      </c>
      <c r="O16" s="12">
        <f t="shared" si="2"/>
        <v>701882</v>
      </c>
      <c r="P16" s="12">
        <f t="shared" si="2"/>
        <v>831624</v>
      </c>
      <c r="Q16" s="12">
        <f t="shared" si="2"/>
        <v>938665</v>
      </c>
      <c r="R16" s="12">
        <f t="shared" si="2"/>
        <v>912717</v>
      </c>
      <c r="S16" s="11">
        <f>SUM(S6:S15)</f>
        <v>1098211</v>
      </c>
      <c r="T16" s="250">
        <f>SUM(T6:T15)</f>
        <v>1276308</v>
      </c>
      <c r="U16" s="191">
        <f>SUM(U6:U15)</f>
        <v>1222000</v>
      </c>
    </row>
    <row r="17" spans="1:24" ht="16.2" thickBot="1" x14ac:dyDescent="0.35">
      <c r="B17" s="38"/>
      <c r="C17" s="40"/>
      <c r="D17" s="40"/>
      <c r="E17" s="38"/>
      <c r="F17" s="40"/>
      <c r="G17" s="40"/>
      <c r="H17" s="40"/>
      <c r="I17" s="40"/>
      <c r="J17" s="40"/>
      <c r="S17" s="111"/>
      <c r="T17" s="249"/>
      <c r="U17" s="190"/>
    </row>
    <row r="18" spans="1:24" s="13" customFormat="1" ht="16.2" thickBot="1" x14ac:dyDescent="0.35">
      <c r="A18" s="32" t="s">
        <v>30</v>
      </c>
      <c r="B18" s="38"/>
      <c r="C18" s="41"/>
      <c r="D18" s="41"/>
      <c r="E18" s="38"/>
      <c r="F18" s="41"/>
      <c r="G18" s="41"/>
      <c r="H18" s="41"/>
      <c r="I18" s="41"/>
      <c r="J18" s="41"/>
      <c r="S18" s="112"/>
      <c r="T18" s="249"/>
      <c r="U18" s="190"/>
      <c r="V18" s="271"/>
      <c r="W18" s="159"/>
    </row>
    <row r="19" spans="1:24" ht="54" customHeight="1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10">
        <v>-70226</v>
      </c>
      <c r="M19" s="10">
        <v>-120875</v>
      </c>
      <c r="N19" s="10">
        <v>-81372</v>
      </c>
      <c r="O19" s="10">
        <v>-159842</v>
      </c>
      <c r="P19" s="10">
        <v>-181432</v>
      </c>
      <c r="Q19" s="10">
        <v>-220492</v>
      </c>
      <c r="R19" s="10">
        <v>-95687</v>
      </c>
      <c r="S19" s="9">
        <f>-195999</f>
        <v>-195999</v>
      </c>
      <c r="T19" s="249">
        <v>-210000</v>
      </c>
      <c r="U19" s="190">
        <v>-130000</v>
      </c>
      <c r="V19" s="236" t="s">
        <v>2865</v>
      </c>
      <c r="W19" s="276" t="s">
        <v>2864</v>
      </c>
    </row>
    <row r="20" spans="1:24" x14ac:dyDescent="0.3">
      <c r="A20" s="4" t="s">
        <v>45</v>
      </c>
      <c r="B20" s="38">
        <v>-32646</v>
      </c>
      <c r="C20" s="38">
        <v>-42437</v>
      </c>
      <c r="D20" s="38">
        <v>-26923</v>
      </c>
      <c r="E20" s="38">
        <v>-32572</v>
      </c>
      <c r="F20" s="38">
        <v>-50743</v>
      </c>
      <c r="G20" s="38">
        <v>-52811</v>
      </c>
      <c r="H20" s="38">
        <v>-126816</v>
      </c>
      <c r="I20" s="38">
        <f>-953-23023-1120-3576-498-29220-3576-3576-48894</f>
        <v>-114436</v>
      </c>
      <c r="J20" s="38">
        <f>-975-3576-25151+2412-26894-7152-45412</f>
        <v>-106748</v>
      </c>
      <c r="K20" s="10">
        <v>-134562</v>
      </c>
      <c r="L20" s="10">
        <v>-150140</v>
      </c>
      <c r="M20" s="10">
        <v>-104717</v>
      </c>
      <c r="N20" s="10">
        <v>-122818</v>
      </c>
      <c r="O20" s="10">
        <v>-100638</v>
      </c>
      <c r="P20" s="10">
        <v>-133504</v>
      </c>
      <c r="Q20" s="10">
        <v>-140769</v>
      </c>
      <c r="R20" s="10">
        <v>-121835</v>
      </c>
      <c r="S20" s="9">
        <v>-92894</v>
      </c>
      <c r="T20" s="249">
        <v>-130000</v>
      </c>
      <c r="U20" s="190">
        <v>-120000</v>
      </c>
      <c r="W20" s="197"/>
      <c r="X20" s="55"/>
    </row>
    <row r="21" spans="1:24" x14ac:dyDescent="0.3">
      <c r="A21" s="4" t="s">
        <v>508</v>
      </c>
      <c r="B21" s="38">
        <v>-11755</v>
      </c>
      <c r="C21" s="38">
        <v>-20024</v>
      </c>
      <c r="D21" s="38">
        <v>-13297</v>
      </c>
      <c r="E21" s="38">
        <v>-14853.42</v>
      </c>
      <c r="F21" s="38">
        <v>-18717</v>
      </c>
      <c r="G21" s="38">
        <v>-4027</v>
      </c>
      <c r="H21" s="38">
        <v>-20624</v>
      </c>
      <c r="I21" s="38">
        <f>-3208-5440+2557-5729-1907+1985-874-1767-2130-3432-789-9120-114-867-1407-1435-38-5807-8282</f>
        <v>-47804</v>
      </c>
      <c r="J21" s="38">
        <f>-3760-1277-3685+3685-2253-17843-2444-4021-349-5145-111-368-279-322</f>
        <v>-38172</v>
      </c>
      <c r="K21" s="10">
        <v>-17887</v>
      </c>
      <c r="L21" s="10">
        <v>-4522</v>
      </c>
      <c r="M21" s="10">
        <v>0</v>
      </c>
      <c r="N21" s="10">
        <v>-469</v>
      </c>
      <c r="O21" s="10">
        <v>-225</v>
      </c>
      <c r="P21" s="10">
        <v>-519</v>
      </c>
      <c r="Q21" s="10">
        <v>-58306</v>
      </c>
      <c r="R21" s="10">
        <v>-29423</v>
      </c>
      <c r="S21" s="9">
        <v>-290</v>
      </c>
      <c r="T21" s="249">
        <v>-35000</v>
      </c>
      <c r="U21" s="190">
        <v>-45000</v>
      </c>
      <c r="V21" s="217" t="s">
        <v>2843</v>
      </c>
      <c r="W21" s="197"/>
    </row>
    <row r="22" spans="1:24" ht="28.8" customHeight="1" x14ac:dyDescent="0.3">
      <c r="A22" s="4" t="s">
        <v>1633</v>
      </c>
      <c r="B22" s="38">
        <v>-4800</v>
      </c>
      <c r="C22" s="38">
        <v>-3398</v>
      </c>
      <c r="D22" s="38">
        <v>0</v>
      </c>
      <c r="E22" s="38">
        <v>-7138</v>
      </c>
      <c r="F22" s="38">
        <v>-3450</v>
      </c>
      <c r="G22" s="38">
        <v>-8100</v>
      </c>
      <c r="H22" s="38">
        <v>-6790</v>
      </c>
      <c r="I22" s="38">
        <f>-2940-7000-2500-2800-185+23111-23111-31150-1700-495-1000</f>
        <v>-49770</v>
      </c>
      <c r="J22" s="38">
        <f>-2100-1969-5000-500-15500-1440-629-7355</f>
        <v>-34493</v>
      </c>
      <c r="K22" s="10">
        <v>-38345</v>
      </c>
      <c r="L22" s="10">
        <v>-52120</v>
      </c>
      <c r="M22" s="10">
        <v>-70704</v>
      </c>
      <c r="N22" s="10">
        <v>-10498</v>
      </c>
      <c r="O22" s="10">
        <v>-17059</v>
      </c>
      <c r="P22" s="10">
        <v>-29952</v>
      </c>
      <c r="Q22" s="10">
        <v>-42358</v>
      </c>
      <c r="R22" s="10">
        <v>-52555</v>
      </c>
      <c r="S22" s="9">
        <f>-25660-53400</f>
        <v>-79060</v>
      </c>
      <c r="T22" s="249">
        <v>-90000</v>
      </c>
      <c r="U22" s="190">
        <v>-90000</v>
      </c>
      <c r="V22" s="217" t="s">
        <v>2861</v>
      </c>
      <c r="W22" s="197"/>
    </row>
    <row r="23" spans="1:24" ht="33.6" customHeight="1" x14ac:dyDescent="0.3">
      <c r="A23" s="4" t="s">
        <v>940</v>
      </c>
      <c r="B23" s="38">
        <v>0</v>
      </c>
      <c r="C23" s="38">
        <v>-1700</v>
      </c>
      <c r="D23" s="38">
        <v>0</v>
      </c>
      <c r="E23" s="38">
        <v>-3400</v>
      </c>
      <c r="F23" s="38">
        <v>-3900</v>
      </c>
      <c r="G23" s="38">
        <v>-4550</v>
      </c>
      <c r="H23" s="38">
        <v>-7520</v>
      </c>
      <c r="I23" s="38">
        <f>-4500-4000-682-4000-1110</f>
        <v>-14292</v>
      </c>
      <c r="J23" s="38">
        <f>-4000-5500-4000-407</f>
        <v>-13907</v>
      </c>
      <c r="K23" s="10">
        <v>-40515</v>
      </c>
      <c r="L23" s="10">
        <v>-23150</v>
      </c>
      <c r="M23" s="10">
        <v>-39500</v>
      </c>
      <c r="N23" s="10">
        <v>-35192</v>
      </c>
      <c r="O23" s="10">
        <v>-26250</v>
      </c>
      <c r="P23" s="10">
        <v>-92029</v>
      </c>
      <c r="Q23" s="10">
        <v>-99926</v>
      </c>
      <c r="R23" s="10">
        <v>-108845</v>
      </c>
      <c r="S23" s="9">
        <v>-62937</v>
      </c>
      <c r="T23" s="249">
        <v>-110000</v>
      </c>
      <c r="U23" s="190">
        <v>-210000</v>
      </c>
      <c r="V23" s="217" t="s">
        <v>2866</v>
      </c>
      <c r="W23" s="197"/>
    </row>
    <row r="24" spans="1:24" ht="28.2" customHeight="1" x14ac:dyDescent="0.3">
      <c r="A24" s="4" t="s">
        <v>39</v>
      </c>
      <c r="B24" s="38">
        <v>-18016</v>
      </c>
      <c r="C24" s="38">
        <v>-18105</v>
      </c>
      <c r="D24" s="38">
        <v>-14387</v>
      </c>
      <c r="E24" s="38">
        <v>-7915</v>
      </c>
      <c r="F24" s="38">
        <v>-13828</v>
      </c>
      <c r="G24" s="38">
        <v>-24118</v>
      </c>
      <c r="H24" s="38">
        <v>-30770</v>
      </c>
      <c r="I24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4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4" s="10">
        <v>-76389</v>
      </c>
      <c r="L24" s="10">
        <v>-81515</v>
      </c>
      <c r="M24" s="10">
        <v>-88679</v>
      </c>
      <c r="N24" s="10">
        <v>-72732</v>
      </c>
      <c r="O24" s="10">
        <v>-58100</v>
      </c>
      <c r="P24" s="10">
        <v>-79144</v>
      </c>
      <c r="Q24" s="10">
        <v>-104788</v>
      </c>
      <c r="R24" s="10">
        <v>-88174</v>
      </c>
      <c r="S24" s="9">
        <v>-65971</v>
      </c>
      <c r="T24" s="249">
        <v>-90000</v>
      </c>
      <c r="U24" s="190">
        <v>-95000</v>
      </c>
      <c r="V24" s="236" t="s">
        <v>2867</v>
      </c>
      <c r="W24" s="197"/>
    </row>
    <row r="25" spans="1:24" x14ac:dyDescent="0.3">
      <c r="A25" s="4" t="s">
        <v>40</v>
      </c>
      <c r="B25" s="38">
        <v>0</v>
      </c>
      <c r="C25" s="38">
        <v>-850</v>
      </c>
      <c r="D25" s="38">
        <v>-625</v>
      </c>
      <c r="E25" s="38">
        <v>-8200</v>
      </c>
      <c r="F25" s="38">
        <v>0</v>
      </c>
      <c r="G25" s="38">
        <v>0</v>
      </c>
      <c r="H25" s="38">
        <v>-2100</v>
      </c>
      <c r="I25" s="38">
        <f>-3950</f>
        <v>-3950</v>
      </c>
      <c r="J25" s="38">
        <f>-2750</f>
        <v>-2750</v>
      </c>
      <c r="K25" s="10">
        <v>-2500</v>
      </c>
      <c r="L25" s="10">
        <v>-3050</v>
      </c>
      <c r="M25" s="10">
        <v>-3860</v>
      </c>
      <c r="N25" s="10">
        <v>-7420</v>
      </c>
      <c r="O25" s="10">
        <v>-4750</v>
      </c>
      <c r="P25" s="10">
        <v>-1231</v>
      </c>
      <c r="Q25" s="10">
        <v>-13700</v>
      </c>
      <c r="R25" s="10">
        <v>-14628</v>
      </c>
      <c r="S25" s="9">
        <v>-8771</v>
      </c>
      <c r="T25" s="249">
        <v>-20000</v>
      </c>
      <c r="U25" s="190">
        <v>-15000</v>
      </c>
      <c r="V25" s="236" t="s">
        <v>2852</v>
      </c>
      <c r="W25" s="197"/>
    </row>
    <row r="26" spans="1:24" ht="26.4" customHeight="1" x14ac:dyDescent="0.3">
      <c r="A26" s="4" t="s">
        <v>36</v>
      </c>
      <c r="B26" s="38">
        <v>-5000</v>
      </c>
      <c r="C26" s="38">
        <v>-350</v>
      </c>
      <c r="D26" s="38">
        <v>0</v>
      </c>
      <c r="E26" s="38">
        <v>-3550</v>
      </c>
      <c r="F26" s="38">
        <v>-10190</v>
      </c>
      <c r="G26" s="38">
        <v>-27295</v>
      </c>
      <c r="H26" s="38">
        <v>-13550</v>
      </c>
      <c r="I26" s="38">
        <f>-1400-1400-2700-3000-1500-1200-1400-1000-1200-1300-1500-800-1200-1400-1400-1190</f>
        <v>-23590</v>
      </c>
      <c r="J26" s="38">
        <f>-800-1200-1100-3350-1400-1000-2000-1000-1400-300-1200-1400-1800-1500-1500-1600-1400-1400</f>
        <v>-25350</v>
      </c>
      <c r="K26" s="10">
        <v>-23700</v>
      </c>
      <c r="L26" s="10">
        <v>-23490</v>
      </c>
      <c r="M26" s="10">
        <v>-20500</v>
      </c>
      <c r="N26" s="10">
        <v>-6700</v>
      </c>
      <c r="O26" s="10">
        <v>-4050</v>
      </c>
      <c r="P26" s="10">
        <v>-22800</v>
      </c>
      <c r="Q26" s="10">
        <v>-34900</v>
      </c>
      <c r="R26" s="10">
        <v>-31665</v>
      </c>
      <c r="S26" s="9">
        <v>-39900</v>
      </c>
      <c r="T26" s="249">
        <v>-45000</v>
      </c>
      <c r="U26" s="190">
        <v>-30000</v>
      </c>
      <c r="V26" s="217" t="s">
        <v>2868</v>
      </c>
      <c r="W26" s="197"/>
    </row>
    <row r="27" spans="1:24" ht="22.8" customHeight="1" x14ac:dyDescent="0.3">
      <c r="A27" s="4" t="s">
        <v>154</v>
      </c>
      <c r="B27" s="38">
        <v>-19050</v>
      </c>
      <c r="C27" s="38">
        <f>-13250-1750</f>
        <v>-15000</v>
      </c>
      <c r="D27" s="38">
        <v>-19650</v>
      </c>
      <c r="E27" s="38">
        <v>-15750</v>
      </c>
      <c r="F27" s="38">
        <v>-21750</v>
      </c>
      <c r="G27" s="38">
        <v>-30300</v>
      </c>
      <c r="H27" s="38">
        <v>-23520</v>
      </c>
      <c r="I27" s="38">
        <f>950+4008-3900-500-15200+1000-500-1000-2000+1000-250-7000-600-7500</f>
        <v>-31492</v>
      </c>
      <c r="J27" s="38">
        <f>-1000-3000-6600-9700-4500-1900-1200-2000-2400-2000-400-500-2000</f>
        <v>-37200</v>
      </c>
      <c r="K27" s="10">
        <v>-30550</v>
      </c>
      <c r="L27" s="10">
        <v>-32750</v>
      </c>
      <c r="M27" s="10">
        <v>-41400</v>
      </c>
      <c r="N27" s="10">
        <v>-35920</v>
      </c>
      <c r="O27" s="10">
        <v>-14840</v>
      </c>
      <c r="P27" s="10">
        <v>-30440</v>
      </c>
      <c r="Q27" s="10">
        <v>-32200</v>
      </c>
      <c r="R27" s="10">
        <v>-24300</v>
      </c>
      <c r="S27" s="9">
        <v>-30450</v>
      </c>
      <c r="T27" s="249">
        <v>-35000</v>
      </c>
      <c r="U27" s="190">
        <v>-25000</v>
      </c>
      <c r="V27" s="217" t="s">
        <v>2860</v>
      </c>
      <c r="W27" s="197"/>
    </row>
    <row r="28" spans="1:24" x14ac:dyDescent="0.3">
      <c r="A28" s="4" t="s">
        <v>43</v>
      </c>
      <c r="B28" s="38">
        <v>-14470</v>
      </c>
      <c r="C28" s="38">
        <v>-10300</v>
      </c>
      <c r="D28" s="38">
        <v>-4860</v>
      </c>
      <c r="E28" s="38">
        <v>0</v>
      </c>
      <c r="F28" s="38">
        <v>-18405</v>
      </c>
      <c r="G28" s="38">
        <v>-10950</v>
      </c>
      <c r="H28" s="38">
        <v>-9515</v>
      </c>
      <c r="I28" s="38">
        <f>-300-8900+850-1250-3500</f>
        <v>-13100</v>
      </c>
      <c r="J28" s="38">
        <f>-4700-2390-8400</f>
        <v>-15490</v>
      </c>
      <c r="K28" s="10">
        <v>-14710</v>
      </c>
      <c r="L28" s="10">
        <v>-18980</v>
      </c>
      <c r="M28" s="10">
        <v>-15500</v>
      </c>
      <c r="N28" s="10">
        <v>-14350</v>
      </c>
      <c r="O28" s="10">
        <v>-15370</v>
      </c>
      <c r="P28" s="10">
        <v>-5340</v>
      </c>
      <c r="Q28" s="10">
        <v>-4080</v>
      </c>
      <c r="R28" s="10">
        <v>-23540</v>
      </c>
      <c r="S28" s="9">
        <v>-15800</v>
      </c>
      <c r="T28" s="249">
        <v>-18000</v>
      </c>
      <c r="U28" s="190">
        <v>-10000</v>
      </c>
      <c r="V28" s="217" t="s">
        <v>2869</v>
      </c>
      <c r="W28" s="197"/>
    </row>
    <row r="29" spans="1:24" ht="34.799999999999997" customHeight="1" x14ac:dyDescent="0.3">
      <c r="A29" s="4" t="s">
        <v>44</v>
      </c>
      <c r="B29" s="38">
        <v>-25000</v>
      </c>
      <c r="C29" s="38">
        <v>-15000</v>
      </c>
      <c r="D29" s="38">
        <v>-17500</v>
      </c>
      <c r="E29" s="38">
        <v>-30416</v>
      </c>
      <c r="F29" s="38">
        <v>-16000</v>
      </c>
      <c r="G29" s="38">
        <v>-34000</v>
      </c>
      <c r="H29" s="38">
        <v>-27000</v>
      </c>
      <c r="I29" s="38">
        <f>-12500-1000-2000-5000-3000</f>
        <v>-23500</v>
      </c>
      <c r="J29" s="38">
        <f>-1500-10000-500-4000</f>
        <v>-16000</v>
      </c>
      <c r="K29" s="10">
        <v>-39400</v>
      </c>
      <c r="L29" s="10">
        <v>-28600</v>
      </c>
      <c r="M29" s="10">
        <v>-18000</v>
      </c>
      <c r="N29" s="10">
        <v>-25600</v>
      </c>
      <c r="O29" s="10">
        <v>-53500</v>
      </c>
      <c r="P29" s="10">
        <f>-55750</f>
        <v>-55750</v>
      </c>
      <c r="Q29" s="10">
        <v>-66350</v>
      </c>
      <c r="R29" s="10">
        <v>-80025</v>
      </c>
      <c r="S29" s="9">
        <v>-60575</v>
      </c>
      <c r="T29" s="249">
        <v>-80000</v>
      </c>
      <c r="U29" s="190">
        <v>-80000</v>
      </c>
      <c r="V29" s="217" t="s">
        <v>2870</v>
      </c>
      <c r="W29" s="197"/>
    </row>
    <row r="30" spans="1:24" ht="27" customHeight="1" x14ac:dyDescent="0.3">
      <c r="A30" s="4" t="s">
        <v>56</v>
      </c>
      <c r="B30" s="38">
        <v>-4459</v>
      </c>
      <c r="C30" s="38">
        <v>-12173</v>
      </c>
      <c r="D30" s="38">
        <v>0</v>
      </c>
      <c r="E30" s="38">
        <v>-180</v>
      </c>
      <c r="F30" s="38">
        <v>-1887</v>
      </c>
      <c r="G30" s="38">
        <v>0</v>
      </c>
      <c r="H30" s="38">
        <v>0</v>
      </c>
      <c r="I30" s="38">
        <v>0</v>
      </c>
      <c r="J30" s="38">
        <f>-500-2500-500-1000</f>
        <v>-4500</v>
      </c>
      <c r="K30" s="10">
        <v>-10000</v>
      </c>
      <c r="L30" s="10">
        <v>-14500</v>
      </c>
      <c r="M30" s="10">
        <v>-12500</v>
      </c>
      <c r="N30" s="10">
        <v>-14000</v>
      </c>
      <c r="O30" s="10">
        <v>-9500</v>
      </c>
      <c r="P30" s="10">
        <f>-19000-4000</f>
        <v>-23000</v>
      </c>
      <c r="Q30" s="10">
        <v>-19850</v>
      </c>
      <c r="R30" s="10">
        <v>-27630</v>
      </c>
      <c r="S30" s="9">
        <v>-29500</v>
      </c>
      <c r="T30" s="249">
        <v>-36000</v>
      </c>
      <c r="U30" s="190">
        <v>-36000</v>
      </c>
      <c r="V30" s="217" t="s">
        <v>2871</v>
      </c>
    </row>
    <row r="31" spans="1:24" x14ac:dyDescent="0.3">
      <c r="A31" s="4" t="s">
        <v>32</v>
      </c>
      <c r="B31" s="38">
        <f>-2650-3100-1600</f>
        <v>-7350</v>
      </c>
      <c r="C31" s="38">
        <f>-250-2500-1842</f>
        <v>-4592</v>
      </c>
      <c r="D31" s="38">
        <f>-250-4500-1899</f>
        <v>-6649</v>
      </c>
      <c r="E31" s="38">
        <v>-6338</v>
      </c>
      <c r="F31" s="38">
        <v>-6643</v>
      </c>
      <c r="G31" s="38">
        <v>-3530</v>
      </c>
      <c r="H31" s="38">
        <v>-1024</v>
      </c>
      <c r="I31" s="38">
        <f>-774-250</f>
        <v>-1024</v>
      </c>
      <c r="J31" s="38">
        <f>-771-500</f>
        <v>-1271</v>
      </c>
      <c r="K31" s="10">
        <v>-3000</v>
      </c>
      <c r="L31" s="10">
        <v>-500</v>
      </c>
      <c r="M31" s="10">
        <v>-500</v>
      </c>
      <c r="N31" s="10">
        <v>-500</v>
      </c>
      <c r="O31" s="10">
        <v>-500</v>
      </c>
      <c r="P31" s="10">
        <v>-500</v>
      </c>
      <c r="Q31" s="10">
        <v>-500</v>
      </c>
      <c r="R31" s="10">
        <v>-500</v>
      </c>
      <c r="S31" s="9">
        <v>-500</v>
      </c>
      <c r="T31" s="249">
        <v>-500</v>
      </c>
      <c r="U31" s="190">
        <v>-500</v>
      </c>
    </row>
    <row r="32" spans="1:24" x14ac:dyDescent="0.3">
      <c r="A32" s="4" t="s">
        <v>491</v>
      </c>
      <c r="B32" s="38">
        <v>0</v>
      </c>
      <c r="C32" s="38">
        <f>-75994-6425</f>
        <v>-82419</v>
      </c>
      <c r="D32" s="38">
        <f>-29362-12800</f>
        <v>-42162</v>
      </c>
      <c r="E32" s="38">
        <v>0</v>
      </c>
      <c r="F32" s="38">
        <v>0</v>
      </c>
      <c r="G32" s="38">
        <v>-102305</v>
      </c>
      <c r="H32" s="38">
        <v>-94393</v>
      </c>
      <c r="I32" s="38">
        <f>-1824-(23*800)-34400-1130-45448</f>
        <v>-101202</v>
      </c>
      <c r="J32" s="38">
        <f>-268-800-800-800-800-800-800-800-800-800-800-800-800-800-800-800-800-800-264-800-800-28998-800-800-800-36777</f>
        <v>-83907</v>
      </c>
      <c r="K32" s="10">
        <v>-90569</v>
      </c>
      <c r="L32" s="10">
        <v>-87302</v>
      </c>
      <c r="M32" s="10">
        <v>-94382</v>
      </c>
      <c r="N32" s="10">
        <v>-111217</v>
      </c>
      <c r="O32" s="10">
        <v>-128246</v>
      </c>
      <c r="P32" s="10">
        <v>-166907</v>
      </c>
      <c r="Q32" s="10">
        <v>-161843</v>
      </c>
      <c r="R32" s="10">
        <v>-202575</v>
      </c>
      <c r="S32" s="9">
        <v>-64555</v>
      </c>
      <c r="T32" s="249">
        <v>-220000</v>
      </c>
      <c r="U32" s="190">
        <v>-200000</v>
      </c>
      <c r="V32" s="217" t="s">
        <v>2873</v>
      </c>
      <c r="W32" s="197"/>
    </row>
    <row r="33" spans="1:23" x14ac:dyDescent="0.3">
      <c r="A33" s="4" t="s">
        <v>2830</v>
      </c>
      <c r="B33" s="38">
        <v>0</v>
      </c>
      <c r="C33" s="38">
        <f>-75994-6425</f>
        <v>-82419</v>
      </c>
      <c r="D33" s="38">
        <f>-29362-12800</f>
        <v>-42162</v>
      </c>
      <c r="E33" s="38">
        <v>0</v>
      </c>
      <c r="F33" s="38">
        <v>0</v>
      </c>
      <c r="G33" s="38">
        <v>-102305</v>
      </c>
      <c r="H33" s="38">
        <v>-94393</v>
      </c>
      <c r="I33" s="38">
        <f>-1824-(23*800)-34400-1130-45448</f>
        <v>-101202</v>
      </c>
      <c r="J33" s="38">
        <f>-268-800-800-800-800-800-800-800-800-800-800-800-800-800-800-800-800-800-264-800-800-28998-800-800-800-36777</f>
        <v>-83907</v>
      </c>
      <c r="K33" s="10">
        <v>-90569</v>
      </c>
      <c r="L33" s="10">
        <v>-87302</v>
      </c>
      <c r="M33" s="10">
        <v>-94382</v>
      </c>
      <c r="N33" s="10">
        <v>-111217</v>
      </c>
      <c r="O33" s="10"/>
      <c r="P33" s="10"/>
      <c r="Q33" s="10"/>
      <c r="R33" s="10"/>
      <c r="S33" s="9">
        <v>-93453</v>
      </c>
      <c r="T33" s="249">
        <v>-120000</v>
      </c>
      <c r="U33" s="190">
        <v>-120000</v>
      </c>
      <c r="V33" s="217" t="s">
        <v>2872</v>
      </c>
      <c r="W33" s="197"/>
    </row>
    <row r="34" spans="1:23" hidden="1" x14ac:dyDescent="0.3">
      <c r="A34" s="4" t="s">
        <v>33</v>
      </c>
      <c r="B34" s="38">
        <v>0</v>
      </c>
      <c r="C34" s="38">
        <v>0</v>
      </c>
      <c r="D34" s="38">
        <v>0</v>
      </c>
      <c r="E34" s="38">
        <v>-741</v>
      </c>
      <c r="F34" s="38">
        <v>-547</v>
      </c>
      <c r="G34" s="38">
        <v>-154</v>
      </c>
      <c r="H34" s="38">
        <v>-510</v>
      </c>
      <c r="I34" s="38">
        <v>0</v>
      </c>
      <c r="J34" s="38">
        <f>-160</f>
        <v>-160</v>
      </c>
      <c r="K34" s="10">
        <v>0</v>
      </c>
      <c r="L34" s="10">
        <v>0</v>
      </c>
      <c r="M34" s="10">
        <v>0</v>
      </c>
      <c r="N34" s="10">
        <v>0</v>
      </c>
      <c r="O34" s="10"/>
      <c r="P34" s="10"/>
      <c r="Q34" s="10"/>
      <c r="R34" s="10"/>
      <c r="S34" s="9"/>
      <c r="T34" s="249">
        <v>0</v>
      </c>
      <c r="U34" s="190">
        <v>0</v>
      </c>
      <c r="W34" s="197"/>
    </row>
    <row r="35" spans="1:23" ht="31.2" customHeight="1" x14ac:dyDescent="0.3">
      <c r="A35" s="4" t="s">
        <v>493</v>
      </c>
      <c r="B35" s="38">
        <f>-635-7900</f>
        <v>-8535</v>
      </c>
      <c r="C35" s="38">
        <f>-1500-935-3800-2859-81</f>
        <v>-9175</v>
      </c>
      <c r="D35" s="38">
        <f>-755-1100</f>
        <v>-1855</v>
      </c>
      <c r="E35" s="38">
        <f>-2424-5850</f>
        <v>-8274</v>
      </c>
      <c r="F35" s="38">
        <v>-4637.7700000000004</v>
      </c>
      <c r="G35" s="38">
        <f>-2261-14329</f>
        <v>-16590</v>
      </c>
      <c r="H35" s="38">
        <v>-8129</v>
      </c>
      <c r="I35" s="38">
        <f>-469-740+140+140-4815-234</f>
        <v>-5978</v>
      </c>
      <c r="J35" s="38">
        <f>140-1170-608-2080-341</f>
        <v>-4059</v>
      </c>
      <c r="K35" s="10">
        <v>-11110</v>
      </c>
      <c r="L35" s="10">
        <f>-1688+-1553</f>
        <v>-3241</v>
      </c>
      <c r="M35" s="10">
        <f>-6416-763</f>
        <v>-7179</v>
      </c>
      <c r="N35" s="10">
        <f>-2226-250-4352</f>
        <v>-6828</v>
      </c>
      <c r="O35" s="10">
        <f>-2835-250-1000</f>
        <v>-4085</v>
      </c>
      <c r="P35" s="10">
        <v>-5059</v>
      </c>
      <c r="Q35" s="10">
        <f>-750-1134-300-1094-78-365-350-711-1000-295-148</f>
        <v>-6225</v>
      </c>
      <c r="R35" s="244">
        <f>-750-65-1368-1000-308-1600-90-74-1368-187-130-75-500-800-100-132-500</f>
        <v>-9047</v>
      </c>
      <c r="S35" s="9">
        <f>-10081</f>
        <v>-10081</v>
      </c>
      <c r="T35" s="249">
        <v>-10000</v>
      </c>
      <c r="U35" s="190">
        <v>-5000</v>
      </c>
      <c r="V35" s="217" t="s">
        <v>2772</v>
      </c>
      <c r="W35" s="197"/>
    </row>
    <row r="36" spans="1:23" x14ac:dyDescent="0.3">
      <c r="A36" s="7" t="s">
        <v>2555</v>
      </c>
      <c r="B36" s="39">
        <f t="shared" ref="B36:S36" si="3">SUM(B19:B35)</f>
        <v>-218877</v>
      </c>
      <c r="C36" s="39">
        <f t="shared" si="3"/>
        <v>-341353</v>
      </c>
      <c r="D36" s="39">
        <f t="shared" si="3"/>
        <v>-230006</v>
      </c>
      <c r="E36" s="39">
        <f t="shared" si="3"/>
        <v>-247088.42</v>
      </c>
      <c r="F36" s="39">
        <f t="shared" si="3"/>
        <v>-325572.77</v>
      </c>
      <c r="G36" s="39">
        <f t="shared" si="3"/>
        <v>-559750</v>
      </c>
      <c r="H36" s="39">
        <f t="shared" si="3"/>
        <v>-561459</v>
      </c>
      <c r="I36" s="39">
        <f t="shared" si="3"/>
        <v>-719361</v>
      </c>
      <c r="J36" s="39">
        <f t="shared" si="3"/>
        <v>-668640</v>
      </c>
      <c r="K36" s="12">
        <f t="shared" si="3"/>
        <v>-825567</v>
      </c>
      <c r="L36" s="12">
        <f t="shared" si="3"/>
        <v>-681388</v>
      </c>
      <c r="M36" s="12">
        <f t="shared" si="3"/>
        <v>-732678</v>
      </c>
      <c r="N36" s="12">
        <f t="shared" si="3"/>
        <v>-656833</v>
      </c>
      <c r="O36" s="12">
        <f t="shared" ref="O36" si="4">SUM(O19:O35)</f>
        <v>-596955</v>
      </c>
      <c r="P36" s="12">
        <f t="shared" si="3"/>
        <v>-827607</v>
      </c>
      <c r="Q36" s="12">
        <f t="shared" ref="Q36:R36" si="5">SUM(Q19:Q35)</f>
        <v>-1006287</v>
      </c>
      <c r="R36" s="12">
        <f t="shared" si="5"/>
        <v>-910429</v>
      </c>
      <c r="S36" s="11">
        <f t="shared" si="3"/>
        <v>-850736</v>
      </c>
      <c r="T36" s="250">
        <f>SUM(T19:T35)</f>
        <v>-1249500</v>
      </c>
      <c r="U36" s="191">
        <f>SUM(U19:U35)</f>
        <v>-1211500</v>
      </c>
      <c r="V36" s="272"/>
      <c r="W36" s="206"/>
    </row>
    <row r="37" spans="1:23" hidden="1" x14ac:dyDescent="0.3">
      <c r="A37" s="7"/>
      <c r="B37" s="41"/>
      <c r="C37" s="41"/>
      <c r="D37" s="41"/>
      <c r="E37" s="39"/>
      <c r="F37" s="39"/>
      <c r="G37" s="39"/>
      <c r="H37" s="39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113"/>
      <c r="T37" s="250"/>
      <c r="U37" s="191"/>
      <c r="W37" s="207"/>
    </row>
    <row r="38" spans="1:23" s="13" customFormat="1" ht="38.25" hidden="1" customHeight="1" x14ac:dyDescent="0.3">
      <c r="A38" s="7" t="s">
        <v>48</v>
      </c>
      <c r="B38" s="39">
        <f t="shared" ref="B38:S38" si="6">+B36+B16</f>
        <v>-24174</v>
      </c>
      <c r="C38" s="39">
        <f t="shared" si="6"/>
        <v>90222</v>
      </c>
      <c r="D38" s="39">
        <f t="shared" si="6"/>
        <v>52801</v>
      </c>
      <c r="E38" s="39">
        <f t="shared" si="6"/>
        <v>61890.859999999957</v>
      </c>
      <c r="F38" s="39">
        <f t="shared" si="6"/>
        <v>65140.510000000009</v>
      </c>
      <c r="G38" s="39">
        <f t="shared" si="6"/>
        <v>-186130</v>
      </c>
      <c r="H38" s="39">
        <f t="shared" si="6"/>
        <v>13716</v>
      </c>
      <c r="I38" s="12">
        <f t="shared" si="6"/>
        <v>8475</v>
      </c>
      <c r="J38" s="12">
        <f t="shared" si="6"/>
        <v>33650</v>
      </c>
      <c r="K38" s="12">
        <f t="shared" si="6"/>
        <v>-90243</v>
      </c>
      <c r="L38" s="12">
        <f t="shared" si="6"/>
        <v>-9760</v>
      </c>
      <c r="M38" s="12">
        <f t="shared" si="6"/>
        <v>-15024</v>
      </c>
      <c r="N38" s="12">
        <f t="shared" si="6"/>
        <v>106700</v>
      </c>
      <c r="O38" s="12">
        <f t="shared" si="6"/>
        <v>104927</v>
      </c>
      <c r="P38" s="12">
        <f t="shared" si="6"/>
        <v>4017</v>
      </c>
      <c r="Q38" s="12">
        <f t="shared" si="6"/>
        <v>-67622</v>
      </c>
      <c r="R38" s="12">
        <f t="shared" si="6"/>
        <v>2288</v>
      </c>
      <c r="S38" s="11">
        <f t="shared" si="6"/>
        <v>247475</v>
      </c>
      <c r="T38" s="250">
        <f>T16+T36</f>
        <v>26808</v>
      </c>
      <c r="U38" s="191">
        <f>U16+U36</f>
        <v>10500</v>
      </c>
      <c r="V38" s="217"/>
      <c r="W38" s="207"/>
    </row>
    <row r="39" spans="1:23" s="13" customFormat="1" hidden="1" x14ac:dyDescent="0.3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1"/>
      <c r="T39" s="250"/>
      <c r="U39" s="191"/>
      <c r="V39" s="217"/>
      <c r="W39" s="207"/>
    </row>
    <row r="40" spans="1:23" s="13" customFormat="1" hidden="1" x14ac:dyDescent="0.3">
      <c r="A40" s="7" t="s">
        <v>1530</v>
      </c>
      <c r="B40" s="39">
        <v>-10000</v>
      </c>
      <c r="C40" s="39">
        <v>-10000</v>
      </c>
      <c r="D40" s="39">
        <v>-10000</v>
      </c>
      <c r="E40" s="39">
        <v>-10000</v>
      </c>
      <c r="F40" s="39">
        <v>-10000</v>
      </c>
      <c r="G40" s="39">
        <v>-14449</v>
      </c>
      <c r="H40" s="39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1">
        <v>0</v>
      </c>
      <c r="T40" s="250">
        <v>0</v>
      </c>
      <c r="U40" s="191">
        <v>0</v>
      </c>
      <c r="V40" s="217"/>
      <c r="W40" s="206"/>
    </row>
    <row r="41" spans="1:23" s="13" customFormat="1" ht="16.2" thickBot="1" x14ac:dyDescent="0.35">
      <c r="A41" s="7"/>
      <c r="B41" s="41"/>
      <c r="C41" s="41"/>
      <c r="D41" s="41"/>
      <c r="E41" s="39"/>
      <c r="F41" s="39"/>
      <c r="G41" s="39"/>
      <c r="H41" s="39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4"/>
      <c r="T41" s="251"/>
      <c r="U41" s="210"/>
      <c r="V41" s="272"/>
      <c r="W41" s="206"/>
    </row>
    <row r="42" spans="1:23" s="13" customFormat="1" ht="16.2" thickBot="1" x14ac:dyDescent="0.35">
      <c r="A42" s="7" t="s">
        <v>2557</v>
      </c>
      <c r="B42" s="39">
        <f t="shared" ref="B42:T42" si="7">+B40+B38</f>
        <v>-34174</v>
      </c>
      <c r="C42" s="39">
        <f t="shared" si="7"/>
        <v>80222</v>
      </c>
      <c r="D42" s="39">
        <f t="shared" si="7"/>
        <v>42801</v>
      </c>
      <c r="E42" s="39">
        <f t="shared" si="7"/>
        <v>51890.859999999957</v>
      </c>
      <c r="F42" s="39">
        <f t="shared" si="7"/>
        <v>55140.510000000009</v>
      </c>
      <c r="G42" s="39">
        <f t="shared" si="7"/>
        <v>-200579</v>
      </c>
      <c r="H42" s="39">
        <f t="shared" si="7"/>
        <v>13716</v>
      </c>
      <c r="I42" s="12">
        <f t="shared" si="7"/>
        <v>8475</v>
      </c>
      <c r="J42" s="12">
        <f>+J40+J38</f>
        <v>33650</v>
      </c>
      <c r="K42" s="12">
        <f t="shared" si="7"/>
        <v>-90243</v>
      </c>
      <c r="L42" s="12">
        <f t="shared" si="7"/>
        <v>-9760</v>
      </c>
      <c r="M42" s="12">
        <f t="shared" si="7"/>
        <v>-15024</v>
      </c>
      <c r="N42" s="12">
        <f t="shared" si="7"/>
        <v>106700</v>
      </c>
      <c r="O42" s="12">
        <f t="shared" si="7"/>
        <v>104927</v>
      </c>
      <c r="P42" s="12">
        <f t="shared" si="7"/>
        <v>4017</v>
      </c>
      <c r="Q42" s="12">
        <f t="shared" si="7"/>
        <v>-67622</v>
      </c>
      <c r="R42" s="12">
        <f t="shared" si="7"/>
        <v>2288</v>
      </c>
      <c r="S42" s="154">
        <f t="shared" si="7"/>
        <v>247475</v>
      </c>
      <c r="T42" s="252">
        <f t="shared" si="7"/>
        <v>26808</v>
      </c>
      <c r="U42" s="192">
        <f>+U40+U38</f>
        <v>10500</v>
      </c>
      <c r="V42" s="217"/>
      <c r="W42" s="208"/>
    </row>
    <row r="43" spans="1:23" s="13" customFormat="1" x14ac:dyDescent="0.3">
      <c r="A43" s="4"/>
      <c r="B43" s="4"/>
      <c r="C43" s="4"/>
      <c r="D43" s="4"/>
      <c r="E43" s="4"/>
      <c r="F43" s="4"/>
      <c r="G43" s="4"/>
      <c r="H43" s="4"/>
      <c r="T43" s="58"/>
      <c r="U43" s="58"/>
      <c r="V43" s="217"/>
      <c r="W43" s="155"/>
    </row>
    <row r="44" spans="1:23" s="13" customFormat="1" x14ac:dyDescent="0.3">
      <c r="A44" s="4"/>
      <c r="B44" s="4"/>
      <c r="C44" s="4"/>
      <c r="D44" s="4"/>
      <c r="E44" s="4"/>
      <c r="F44" s="4"/>
      <c r="G44" s="4"/>
      <c r="H44" s="4"/>
      <c r="Q44" s="281"/>
      <c r="R44" s="281"/>
      <c r="S44" s="1"/>
      <c r="T44" s="278"/>
      <c r="U44" s="1"/>
      <c r="V44" s="282"/>
      <c r="W44" s="157"/>
    </row>
    <row r="45" spans="1:23" x14ac:dyDescent="0.3">
      <c r="O45" s="13"/>
      <c r="Q45" s="281"/>
      <c r="R45" s="281"/>
      <c r="T45" s="278"/>
      <c r="V45" s="282"/>
    </row>
    <row r="46" spans="1:23" x14ac:dyDescent="0.3">
      <c r="Q46" s="281"/>
      <c r="R46" s="281"/>
      <c r="T46" s="278"/>
      <c r="V46" s="282"/>
    </row>
    <row r="47" spans="1:23" x14ac:dyDescent="0.3">
      <c r="Q47" s="281"/>
      <c r="R47" s="281"/>
      <c r="T47" s="278"/>
      <c r="V47" s="282"/>
    </row>
    <row r="48" spans="1:23" x14ac:dyDescent="0.3">
      <c r="Q48" s="283"/>
      <c r="R48" s="283"/>
      <c r="V48" s="284"/>
    </row>
    <row r="49" spans="16:24" x14ac:dyDescent="0.3">
      <c r="Q49" s="285"/>
      <c r="R49" s="285"/>
      <c r="T49" s="281"/>
      <c r="U49" s="4"/>
    </row>
    <row r="50" spans="16:24" s="4" customFormat="1" x14ac:dyDescent="0.3">
      <c r="P50" s="1"/>
      <c r="S50" s="1"/>
      <c r="T50" s="283"/>
      <c r="V50" s="282"/>
      <c r="W50" s="155"/>
      <c r="X50" s="1"/>
    </row>
    <row r="51" spans="16:24" s="4" customFormat="1" x14ac:dyDescent="0.3">
      <c r="S51" s="1"/>
      <c r="T51" s="283"/>
      <c r="V51" s="282"/>
      <c r="W51" s="155"/>
      <c r="X51" s="1"/>
    </row>
    <row r="52" spans="16:24" s="4" customFormat="1" x14ac:dyDescent="0.3">
      <c r="S52" s="1"/>
      <c r="T52" s="283"/>
      <c r="V52" s="282"/>
      <c r="W52" s="155"/>
      <c r="X52" s="1"/>
    </row>
    <row r="53" spans="16:24" s="4" customFormat="1" x14ac:dyDescent="0.3">
      <c r="Q53" s="1"/>
      <c r="R53" s="1"/>
      <c r="S53" s="1"/>
      <c r="T53" s="283"/>
      <c r="U53" s="1"/>
      <c r="V53" s="282"/>
      <c r="W53" s="155"/>
      <c r="X53" s="1"/>
    </row>
    <row r="54" spans="16:24" x14ac:dyDescent="0.3">
      <c r="T54" s="286"/>
      <c r="V54" s="282"/>
    </row>
    <row r="55" spans="16:24" x14ac:dyDescent="0.3">
      <c r="T55" s="286"/>
      <c r="V55" s="282"/>
    </row>
    <row r="56" spans="16:24" x14ac:dyDescent="0.3">
      <c r="V56" s="282"/>
    </row>
    <row r="57" spans="16:24" x14ac:dyDescent="0.3">
      <c r="V57" s="282"/>
    </row>
    <row r="58" spans="16:24" x14ac:dyDescent="0.3">
      <c r="V58" s="284"/>
    </row>
  </sheetData>
  <mergeCells count="2">
    <mergeCell ref="K1:M1"/>
    <mergeCell ref="O1:P1"/>
  </mergeCells>
  <pageMargins left="0.7" right="0.7" top="0.75" bottom="0.75" header="0.3" footer="0.3"/>
  <pageSetup paperSize="9" scale="58"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D580E-C825-48D9-BB40-678AF96DA40F}">
  <sheetPr>
    <tabColor theme="5" tint="-0.249977111117893"/>
    <pageSetUpPr fitToPage="1"/>
  </sheetPr>
  <dimension ref="A1:R52"/>
  <sheetViews>
    <sheetView zoomScaleNormal="100" workbookViewId="0">
      <pane xSplit="1" ySplit="3" topLeftCell="H6" activePane="bottomRight" state="frozen"/>
      <selection pane="topRight" activeCell="B1" sqref="B1"/>
      <selection pane="bottomLeft" activeCell="A4" sqref="A4"/>
      <selection pane="bottomRight" activeCell="N7" sqref="N7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customWidth="1"/>
    <col min="9" max="13" width="16.44140625" style="1" customWidth="1"/>
    <col min="14" max="15" width="18.5546875" style="1" customWidth="1"/>
    <col min="16" max="16" width="27" style="196" customWidth="1"/>
    <col min="17" max="17" width="12" style="155" customWidth="1"/>
    <col min="18" max="16384" width="9.109375" style="1"/>
  </cols>
  <sheetData>
    <row r="1" spans="1:17" ht="31.8" thickBot="1" x14ac:dyDescent="0.65">
      <c r="A1" s="211" t="s">
        <v>486</v>
      </c>
      <c r="C1" s="224"/>
      <c r="D1" s="224"/>
      <c r="H1" s="295" t="s">
        <v>487</v>
      </c>
      <c r="I1" s="295"/>
      <c r="J1" s="295"/>
    </row>
    <row r="2" spans="1:17" ht="16.2" thickBot="1" x14ac:dyDescent="0.35"/>
    <row r="3" spans="1:17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227">
        <v>2019</v>
      </c>
      <c r="N3" s="253" t="s">
        <v>809</v>
      </c>
      <c r="O3" s="240" t="s">
        <v>2490</v>
      </c>
      <c r="P3" s="156"/>
      <c r="Q3" s="156"/>
    </row>
    <row r="4" spans="1:17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110">
        <v>43806</v>
      </c>
      <c r="N4" s="110">
        <v>43830</v>
      </c>
      <c r="O4" s="209"/>
      <c r="P4" s="156"/>
      <c r="Q4" s="156"/>
    </row>
    <row r="5" spans="1:17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37"/>
      <c r="N5" s="111"/>
      <c r="O5" s="8"/>
      <c r="P5" s="155"/>
    </row>
    <row r="6" spans="1:17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9">
        <v>174547</v>
      </c>
      <c r="N6" s="249">
        <v>174547</v>
      </c>
      <c r="O6" s="190">
        <v>160000</v>
      </c>
      <c r="P6" s="217" t="s">
        <v>2436</v>
      </c>
    </row>
    <row r="7" spans="1:17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9">
        <v>168250</v>
      </c>
      <c r="N7" s="249">
        <v>169000</v>
      </c>
      <c r="O7" s="190">
        <v>150000</v>
      </c>
      <c r="P7" s="258" t="s">
        <v>2503</v>
      </c>
    </row>
    <row r="8" spans="1:17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9">
        <v>94105</v>
      </c>
      <c r="N8" s="249">
        <v>95000</v>
      </c>
      <c r="O8" s="190">
        <v>80000</v>
      </c>
      <c r="P8" s="217"/>
    </row>
    <row r="9" spans="1:17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9">
        <v>12160</v>
      </c>
      <c r="N9" s="249">
        <v>15000</v>
      </c>
      <c r="O9" s="190">
        <v>20000</v>
      </c>
      <c r="P9" s="217" t="s">
        <v>2504</v>
      </c>
    </row>
    <row r="10" spans="1:17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9">
        <v>63900</v>
      </c>
      <c r="N10" s="249">
        <v>63900</v>
      </c>
      <c r="O10" s="190">
        <v>70000</v>
      </c>
      <c r="P10" s="217" t="s">
        <v>2505</v>
      </c>
    </row>
    <row r="11" spans="1:17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9">
        <v>89680</v>
      </c>
      <c r="N11" s="249">
        <v>89680</v>
      </c>
      <c r="O11" s="190">
        <v>90000</v>
      </c>
      <c r="P11" s="155"/>
    </row>
    <row r="12" spans="1:17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9">
        <v>0</v>
      </c>
      <c r="N12" s="249">
        <v>0</v>
      </c>
      <c r="O12" s="190">
        <v>0</v>
      </c>
      <c r="P12" s="155"/>
    </row>
    <row r="13" spans="1:17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9">
        <v>0</v>
      </c>
      <c r="N13" s="249">
        <v>0</v>
      </c>
      <c r="O13" s="190">
        <v>0</v>
      </c>
      <c r="P13" s="155"/>
    </row>
    <row r="14" spans="1:17" ht="21.6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9">
        <v>21304</v>
      </c>
      <c r="N14" s="249">
        <v>25000</v>
      </c>
      <c r="O14" s="190">
        <v>25000</v>
      </c>
      <c r="P14" s="236" t="s">
        <v>2502</v>
      </c>
    </row>
    <row r="15" spans="1:17" x14ac:dyDescent="0.3">
      <c r="A15" s="7" t="s">
        <v>29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1">
        <f>SUM(M6:M14)</f>
        <v>623946</v>
      </c>
      <c r="N15" s="250">
        <f t="shared" ref="N15:O15" si="2">SUM(N6:N14)</f>
        <v>632127</v>
      </c>
      <c r="O15" s="191">
        <f t="shared" si="2"/>
        <v>595000</v>
      </c>
      <c r="P15" s="155"/>
    </row>
    <row r="16" spans="1:17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M16" s="111"/>
      <c r="N16" s="249"/>
      <c r="O16" s="190"/>
      <c r="P16" s="155"/>
    </row>
    <row r="17" spans="1:18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M17" s="112"/>
      <c r="N17" s="249"/>
      <c r="O17" s="190"/>
      <c r="P17" s="159"/>
      <c r="Q17" s="159"/>
    </row>
    <row r="18" spans="1:18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10">
        <v>-150140</v>
      </c>
      <c r="M18" s="9">
        <v>-104717</v>
      </c>
      <c r="N18" s="249">
        <v>-110000</v>
      </c>
      <c r="O18" s="190">
        <v>-150000</v>
      </c>
      <c r="P18" s="157" t="s">
        <v>2494</v>
      </c>
      <c r="Q18" s="197"/>
      <c r="R18" s="55"/>
    </row>
    <row r="19" spans="1:18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10">
        <v>-70226</v>
      </c>
      <c r="M19" s="9">
        <v>-120875</v>
      </c>
      <c r="N19" s="249">
        <v>-122000</v>
      </c>
      <c r="O19" s="190">
        <v>-100000</v>
      </c>
      <c r="P19" s="157" t="s">
        <v>2467</v>
      </c>
      <c r="Q19" s="197"/>
    </row>
    <row r="20" spans="1:18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9">
        <v>0</v>
      </c>
      <c r="N20" s="249">
        <v>0</v>
      </c>
      <c r="O20" s="190">
        <v>-5000</v>
      </c>
      <c r="P20" s="157"/>
      <c r="Q20" s="197"/>
    </row>
    <row r="21" spans="1:18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9">
        <v>-69204</v>
      </c>
      <c r="N21" s="249">
        <v>-70000</v>
      </c>
      <c r="O21" s="190">
        <v>-40000</v>
      </c>
      <c r="P21" s="155"/>
      <c r="Q21" s="197"/>
    </row>
    <row r="22" spans="1:18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9">
        <v>-38200</v>
      </c>
      <c r="N22" s="249">
        <v>-40000</v>
      </c>
      <c r="O22" s="190">
        <v>-25000</v>
      </c>
      <c r="P22" s="157" t="s">
        <v>2495</v>
      </c>
      <c r="Q22" s="197"/>
    </row>
    <row r="23" spans="1:18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9">
        <v>-85749</v>
      </c>
      <c r="N23" s="249">
        <v>-90000</v>
      </c>
      <c r="O23" s="190">
        <v>-80000</v>
      </c>
      <c r="P23" s="157" t="s">
        <v>2465</v>
      </c>
      <c r="Q23" s="197"/>
    </row>
    <row r="24" spans="1:18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9">
        <v>-3860</v>
      </c>
      <c r="N24" s="249">
        <v>-3860</v>
      </c>
      <c r="O24" s="190">
        <v>-3000</v>
      </c>
      <c r="P24" s="155"/>
      <c r="Q24" s="197"/>
    </row>
    <row r="25" spans="1:18" ht="24.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9">
        <v>-19500</v>
      </c>
      <c r="N25" s="249">
        <v>-20000</v>
      </c>
      <c r="O25" s="190">
        <v>-25000</v>
      </c>
      <c r="P25" s="157" t="s">
        <v>2465</v>
      </c>
      <c r="Q25" s="197"/>
    </row>
    <row r="26" spans="1:18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9">
        <v>-41400</v>
      </c>
      <c r="N26" s="249">
        <v>-41400</v>
      </c>
      <c r="O26" s="190">
        <v>-30000</v>
      </c>
      <c r="P26" s="157" t="s">
        <v>2496</v>
      </c>
      <c r="Q26" s="197"/>
    </row>
    <row r="27" spans="1:18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9">
        <v>-15100</v>
      </c>
      <c r="N27" s="249">
        <v>-16000</v>
      </c>
      <c r="O27" s="190">
        <v>-20000</v>
      </c>
      <c r="P27" s="157" t="s">
        <v>2497</v>
      </c>
      <c r="Q27" s="197"/>
    </row>
    <row r="28" spans="1:18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9">
        <v>-18000</v>
      </c>
      <c r="N28" s="249">
        <v>-18000</v>
      </c>
      <c r="O28" s="190">
        <v>-30000</v>
      </c>
      <c r="P28" s="157" t="s">
        <v>2498</v>
      </c>
      <c r="Q28" s="197"/>
    </row>
    <row r="29" spans="1:18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9">
        <v>-12500</v>
      </c>
      <c r="N29" s="249">
        <v>-12500</v>
      </c>
      <c r="O29" s="190">
        <v>-15000</v>
      </c>
      <c r="P29" s="157" t="s">
        <v>2498</v>
      </c>
    </row>
    <row r="30" spans="1:18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9">
        <v>-500</v>
      </c>
      <c r="N30" s="249">
        <v>-1000</v>
      </c>
      <c r="O30" s="190">
        <v>-1000</v>
      </c>
      <c r="P30" s="157"/>
    </row>
    <row r="31" spans="1:18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9">
        <v>-94382</v>
      </c>
      <c r="N31" s="249">
        <v>-94382</v>
      </c>
      <c r="O31" s="190">
        <v>-90000</v>
      </c>
      <c r="P31" s="155"/>
      <c r="Q31" s="197"/>
    </row>
    <row r="32" spans="1:18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9">
        <v>0</v>
      </c>
      <c r="N32" s="249">
        <v>0</v>
      </c>
      <c r="O32" s="190">
        <v>0</v>
      </c>
      <c r="P32" s="155"/>
      <c r="Q32" s="197"/>
    </row>
    <row r="33" spans="1:18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9">
        <f>-6416-763</f>
        <v>-7179</v>
      </c>
      <c r="N33" s="249">
        <v>-10000</v>
      </c>
      <c r="O33" s="190">
        <v>-5000</v>
      </c>
      <c r="P33" s="158" t="s">
        <v>2499</v>
      </c>
      <c r="Q33" s="197"/>
    </row>
    <row r="34" spans="1:18" x14ac:dyDescent="0.3">
      <c r="A34" s="7" t="s">
        <v>47</v>
      </c>
      <c r="B34" s="39">
        <f>SUM(B18:B33)</f>
        <v>-218877</v>
      </c>
      <c r="C34" s="39">
        <f t="shared" ref="C34:N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1">
        <f t="shared" si="3"/>
        <v>-631166</v>
      </c>
      <c r="N34" s="250">
        <f t="shared" si="3"/>
        <v>-649142</v>
      </c>
      <c r="O34" s="191">
        <f>SUM(O18:O33)</f>
        <v>-619000</v>
      </c>
      <c r="P34" s="205"/>
      <c r="Q34" s="206"/>
    </row>
    <row r="35" spans="1:18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113"/>
      <c r="N35" s="250"/>
      <c r="O35" s="191"/>
      <c r="P35" s="158"/>
      <c r="Q35" s="207"/>
    </row>
    <row r="36" spans="1:18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2">
        <f t="shared" si="4"/>
        <v>-84874</v>
      </c>
      <c r="L36" s="12">
        <f>+L34+L15</f>
        <v>8025</v>
      </c>
      <c r="M36" s="11">
        <f>+M34+M15</f>
        <v>-7220</v>
      </c>
      <c r="N36" s="250">
        <f>N15+N34</f>
        <v>-17015</v>
      </c>
      <c r="O36" s="191">
        <f>O15+O34</f>
        <v>-24000</v>
      </c>
      <c r="P36" s="158"/>
      <c r="Q36" s="207"/>
    </row>
    <row r="37" spans="1:18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1"/>
      <c r="N37" s="250"/>
      <c r="O37" s="191"/>
      <c r="P37" s="158"/>
      <c r="Q37" s="207"/>
    </row>
    <row r="38" spans="1:18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1">
        <v>0</v>
      </c>
      <c r="N38" s="250">
        <v>0</v>
      </c>
      <c r="O38" s="191">
        <v>0</v>
      </c>
      <c r="P38" s="155"/>
      <c r="Q38" s="206"/>
    </row>
    <row r="39" spans="1:18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245"/>
      <c r="M39" s="11"/>
      <c r="N39" s="251"/>
      <c r="O39" s="210"/>
      <c r="P39" s="205"/>
      <c r="Q39" s="206"/>
    </row>
    <row r="40" spans="1:18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2">
        <f>+L38+L36</f>
        <v>8025</v>
      </c>
      <c r="M40" s="154">
        <f>+M38+M36</f>
        <v>-7220</v>
      </c>
      <c r="N40" s="252">
        <f>+N38+N36</f>
        <v>-17015</v>
      </c>
      <c r="O40" s="192">
        <f>+O38+O36</f>
        <v>-24000</v>
      </c>
      <c r="P40" s="155"/>
      <c r="Q40" s="208"/>
    </row>
    <row r="41" spans="1:18" s="13" customFormat="1" x14ac:dyDescent="0.3">
      <c r="A41" s="4"/>
      <c r="B41" s="4"/>
      <c r="C41" s="4"/>
      <c r="D41" s="4"/>
      <c r="E41" s="4"/>
      <c r="F41" s="4"/>
      <c r="G41" s="4"/>
      <c r="H41" s="4"/>
      <c r="N41" s="58"/>
      <c r="O41" s="58"/>
      <c r="P41" s="196"/>
      <c r="Q41" s="155"/>
    </row>
    <row r="42" spans="1:18" x14ac:dyDescent="0.3">
      <c r="N42" s="55"/>
      <c r="P42" s="155"/>
    </row>
    <row r="43" spans="1:18" x14ac:dyDescent="0.3">
      <c r="N43" s="99"/>
    </row>
    <row r="44" spans="1:18" x14ac:dyDescent="0.3">
      <c r="N44" s="222"/>
    </row>
    <row r="45" spans="1:18" x14ac:dyDescent="0.3">
      <c r="N45" s="207"/>
    </row>
    <row r="46" spans="1:18" x14ac:dyDescent="0.3">
      <c r="N46" s="222"/>
    </row>
    <row r="47" spans="1:18" s="4" customFormat="1" x14ac:dyDescent="0.3">
      <c r="N47" s="99"/>
      <c r="P47" s="196"/>
      <c r="Q47" s="155"/>
      <c r="R47" s="1"/>
    </row>
    <row r="48" spans="1:18" s="4" customFormat="1" x14ac:dyDescent="0.3">
      <c r="N48" s="99"/>
      <c r="P48" s="196"/>
      <c r="Q48" s="155"/>
      <c r="R48" s="1"/>
    </row>
    <row r="49" spans="14:18" s="4" customFormat="1" x14ac:dyDescent="0.3">
      <c r="N49" s="99"/>
      <c r="P49" s="196"/>
      <c r="Q49" s="155"/>
      <c r="R49" s="1"/>
    </row>
    <row r="50" spans="14:18" s="4" customFormat="1" x14ac:dyDescent="0.3">
      <c r="N50" s="99"/>
      <c r="P50" s="196"/>
      <c r="Q50" s="155"/>
      <c r="R50" s="1"/>
    </row>
    <row r="51" spans="14:18" x14ac:dyDescent="0.3">
      <c r="N51" s="99"/>
    </row>
    <row r="52" spans="14:18" x14ac:dyDescent="0.3">
      <c r="N52" s="223"/>
    </row>
  </sheetData>
  <mergeCells count="1">
    <mergeCell ref="H1:J1"/>
  </mergeCells>
  <pageMargins left="0.7" right="0.7" top="0.75" bottom="0.75" header="0.3" footer="0.3"/>
  <pageSetup paperSize="9" scale="58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48B16-7DFC-4380-A9F1-F4FFAC85D12E}">
  <sheetPr>
    <tabColor theme="5" tint="-0.249977111117893"/>
    <pageSetUpPr fitToPage="1"/>
  </sheetPr>
  <dimension ref="A1:R52"/>
  <sheetViews>
    <sheetView zoomScaleNormal="100" workbookViewId="0">
      <pane xSplit="1" ySplit="3" topLeftCell="H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customWidth="1"/>
    <col min="9" max="13" width="16.44140625" style="1" customWidth="1"/>
    <col min="14" max="15" width="18.5546875" style="1" customWidth="1"/>
    <col min="16" max="16" width="27" style="196" customWidth="1"/>
    <col min="17" max="17" width="12" style="155" customWidth="1"/>
    <col min="18" max="16384" width="9.109375" style="1"/>
  </cols>
  <sheetData>
    <row r="1" spans="1:17" ht="31.8" thickBot="1" x14ac:dyDescent="0.65">
      <c r="A1" s="211" t="s">
        <v>486</v>
      </c>
      <c r="C1" s="224"/>
      <c r="D1" s="224"/>
      <c r="H1" s="295" t="s">
        <v>487</v>
      </c>
      <c r="I1" s="295"/>
      <c r="J1" s="295"/>
    </row>
    <row r="2" spans="1:17" ht="16.2" thickBot="1" x14ac:dyDescent="0.35"/>
    <row r="3" spans="1:17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227">
        <v>2019</v>
      </c>
      <c r="N3" s="253" t="s">
        <v>809</v>
      </c>
      <c r="O3" s="240" t="s">
        <v>2490</v>
      </c>
      <c r="P3" s="156"/>
      <c r="Q3" s="156"/>
    </row>
    <row r="4" spans="1:17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110">
        <v>43754</v>
      </c>
      <c r="N4" s="110">
        <v>43830</v>
      </c>
      <c r="O4" s="209"/>
      <c r="P4" s="156"/>
      <c r="Q4" s="156"/>
    </row>
    <row r="5" spans="1:17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37"/>
      <c r="N5" s="111"/>
      <c r="O5" s="8"/>
      <c r="P5" s="155"/>
    </row>
    <row r="6" spans="1:17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9">
        <v>73711</v>
      </c>
      <c r="N6" s="249">
        <v>170000</v>
      </c>
      <c r="O6" s="190">
        <v>160000</v>
      </c>
      <c r="P6" s="217" t="s">
        <v>2436</v>
      </c>
    </row>
    <row r="7" spans="1:17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9">
        <v>167850</v>
      </c>
      <c r="N7" s="249">
        <v>168000</v>
      </c>
      <c r="O7" s="190">
        <v>150000</v>
      </c>
      <c r="P7" s="258" t="s">
        <v>2503</v>
      </c>
    </row>
    <row r="8" spans="1:17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9">
        <v>94105</v>
      </c>
      <c r="N8" s="249">
        <v>95000</v>
      </c>
      <c r="O8" s="190">
        <v>80000</v>
      </c>
      <c r="P8" s="217"/>
    </row>
    <row r="9" spans="1:17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9">
        <v>6760</v>
      </c>
      <c r="N9" s="249">
        <v>15000</v>
      </c>
      <c r="O9" s="190">
        <v>20000</v>
      </c>
      <c r="P9" s="217" t="s">
        <v>2504</v>
      </c>
    </row>
    <row r="10" spans="1:17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9">
        <v>55650</v>
      </c>
      <c r="N10" s="249">
        <v>65000</v>
      </c>
      <c r="O10" s="190">
        <v>70000</v>
      </c>
      <c r="P10" s="217" t="s">
        <v>2505</v>
      </c>
    </row>
    <row r="11" spans="1:17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9">
        <v>89680</v>
      </c>
      <c r="N11" s="249">
        <v>89680</v>
      </c>
      <c r="O11" s="190">
        <v>90000</v>
      </c>
      <c r="P11" s="155"/>
    </row>
    <row r="12" spans="1:17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9">
        <v>0</v>
      </c>
      <c r="N12" s="249">
        <v>0</v>
      </c>
      <c r="O12" s="190">
        <v>0</v>
      </c>
      <c r="P12" s="155"/>
    </row>
    <row r="13" spans="1:17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9">
        <v>0</v>
      </c>
      <c r="N13" s="249">
        <v>0</v>
      </c>
      <c r="O13" s="190">
        <v>0</v>
      </c>
      <c r="P13" s="155"/>
    </row>
    <row r="14" spans="1:17" ht="21.6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9">
        <v>21304</v>
      </c>
      <c r="N14" s="249">
        <v>25000</v>
      </c>
      <c r="O14" s="190">
        <v>25000</v>
      </c>
      <c r="P14" s="236" t="s">
        <v>2502</v>
      </c>
    </row>
    <row r="15" spans="1:17" x14ac:dyDescent="0.3">
      <c r="A15" s="7" t="s">
        <v>29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1">
        <f>SUM(M6:M14)</f>
        <v>509060</v>
      </c>
      <c r="N15" s="250">
        <f t="shared" ref="N15:O15" si="2">SUM(N6:N14)</f>
        <v>627680</v>
      </c>
      <c r="O15" s="191">
        <f t="shared" si="2"/>
        <v>595000</v>
      </c>
      <c r="P15" s="155"/>
    </row>
    <row r="16" spans="1:17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M16" s="111"/>
      <c r="N16" s="249"/>
      <c r="O16" s="190"/>
      <c r="P16" s="155"/>
    </row>
    <row r="17" spans="1:18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M17" s="112"/>
      <c r="N17" s="249"/>
      <c r="O17" s="190"/>
      <c r="P17" s="159"/>
      <c r="Q17" s="159"/>
    </row>
    <row r="18" spans="1:18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10">
        <v>-150140</v>
      </c>
      <c r="M18" s="9">
        <v>-84341</v>
      </c>
      <c r="N18" s="249">
        <v>-130000</v>
      </c>
      <c r="O18" s="190">
        <v>-150000</v>
      </c>
      <c r="P18" s="157" t="s">
        <v>2494</v>
      </c>
      <c r="Q18" s="197"/>
      <c r="R18" s="55"/>
    </row>
    <row r="19" spans="1:18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10">
        <v>-70226</v>
      </c>
      <c r="M19" s="9">
        <v>-115273</v>
      </c>
      <c r="N19" s="249">
        <v>-120000</v>
      </c>
      <c r="O19" s="190">
        <v>-100000</v>
      </c>
      <c r="P19" s="157" t="s">
        <v>2467</v>
      </c>
      <c r="Q19" s="197"/>
    </row>
    <row r="20" spans="1:18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9">
        <v>0</v>
      </c>
      <c r="N20" s="249">
        <v>0</v>
      </c>
      <c r="O20" s="190">
        <v>-5000</v>
      </c>
      <c r="P20" s="157"/>
      <c r="Q20" s="197"/>
    </row>
    <row r="21" spans="1:18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9">
        <v>-31375</v>
      </c>
      <c r="N21" s="249">
        <v>-50000</v>
      </c>
      <c r="O21" s="190">
        <v>-40000</v>
      </c>
      <c r="P21" s="155"/>
      <c r="Q21" s="197"/>
    </row>
    <row r="22" spans="1:18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9">
        <v>-38200</v>
      </c>
      <c r="N22" s="249">
        <v>-40000</v>
      </c>
      <c r="O22" s="190">
        <v>-25000</v>
      </c>
      <c r="P22" s="157" t="s">
        <v>2495</v>
      </c>
      <c r="Q22" s="197"/>
    </row>
    <row r="23" spans="1:18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9">
        <v>-85403</v>
      </c>
      <c r="N23" s="249">
        <v>-90000</v>
      </c>
      <c r="O23" s="190">
        <v>-80000</v>
      </c>
      <c r="P23" s="157" t="s">
        <v>2465</v>
      </c>
      <c r="Q23" s="197"/>
    </row>
    <row r="24" spans="1:18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9">
        <v>-3860</v>
      </c>
      <c r="N24" s="249">
        <v>-4000</v>
      </c>
      <c r="O24" s="190">
        <v>-3000</v>
      </c>
      <c r="P24" s="155"/>
      <c r="Q24" s="197"/>
    </row>
    <row r="25" spans="1:18" ht="24.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9">
        <v>-9850</v>
      </c>
      <c r="N25" s="249">
        <v>-15000</v>
      </c>
      <c r="O25" s="190">
        <v>-25000</v>
      </c>
      <c r="P25" s="157" t="s">
        <v>2465</v>
      </c>
      <c r="Q25" s="197"/>
    </row>
    <row r="26" spans="1:18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9">
        <v>-32250</v>
      </c>
      <c r="N26" s="249">
        <v>-35000</v>
      </c>
      <c r="O26" s="190">
        <v>-30000</v>
      </c>
      <c r="P26" s="157" t="s">
        <v>2496</v>
      </c>
      <c r="Q26" s="197"/>
    </row>
    <row r="27" spans="1:18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9">
        <v>-12200</v>
      </c>
      <c r="N27" s="249">
        <v>-15000</v>
      </c>
      <c r="O27" s="190">
        <v>-20000</v>
      </c>
      <c r="P27" s="157" t="s">
        <v>2497</v>
      </c>
      <c r="Q27" s="197"/>
    </row>
    <row r="28" spans="1:18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9">
        <v>-18000</v>
      </c>
      <c r="N28" s="249">
        <v>-18000</v>
      </c>
      <c r="O28" s="190">
        <v>-30000</v>
      </c>
      <c r="P28" s="157" t="s">
        <v>2498</v>
      </c>
      <c r="Q28" s="197"/>
    </row>
    <row r="29" spans="1:18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9">
        <v>-12500</v>
      </c>
      <c r="N29" s="249">
        <v>-12500</v>
      </c>
      <c r="O29" s="190">
        <v>-15000</v>
      </c>
      <c r="P29" s="157" t="s">
        <v>2498</v>
      </c>
    </row>
    <row r="30" spans="1:18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9">
        <v>-500</v>
      </c>
      <c r="N30" s="249">
        <v>-1000</v>
      </c>
      <c r="O30" s="190">
        <v>-1000</v>
      </c>
      <c r="P30" s="157"/>
    </row>
    <row r="31" spans="1:18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9">
        <v>-94382</v>
      </c>
      <c r="N31" s="249">
        <v>-95000</v>
      </c>
      <c r="O31" s="190">
        <v>-90000</v>
      </c>
      <c r="P31" s="155"/>
      <c r="Q31" s="197"/>
    </row>
    <row r="32" spans="1:18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9">
        <v>0</v>
      </c>
      <c r="N32" s="249">
        <v>0</v>
      </c>
      <c r="O32" s="190">
        <v>0</v>
      </c>
      <c r="P32" s="155"/>
      <c r="Q32" s="197"/>
    </row>
    <row r="33" spans="1:18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9">
        <f>-6416-763</f>
        <v>-7179</v>
      </c>
      <c r="N33" s="249">
        <v>-10000</v>
      </c>
      <c r="O33" s="190">
        <v>-5000</v>
      </c>
      <c r="P33" s="158" t="s">
        <v>2499</v>
      </c>
      <c r="Q33" s="197"/>
    </row>
    <row r="34" spans="1:18" x14ac:dyDescent="0.3">
      <c r="A34" s="7" t="s">
        <v>47</v>
      </c>
      <c r="B34" s="39">
        <f>SUM(B18:B33)</f>
        <v>-218877</v>
      </c>
      <c r="C34" s="39">
        <f t="shared" ref="C34:N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1">
        <f t="shared" si="3"/>
        <v>-545313</v>
      </c>
      <c r="N34" s="250">
        <f t="shared" si="3"/>
        <v>-635500</v>
      </c>
      <c r="O34" s="191">
        <f>SUM(O18:O33)</f>
        <v>-619000</v>
      </c>
      <c r="P34" s="205"/>
      <c r="Q34" s="206"/>
    </row>
    <row r="35" spans="1:18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113"/>
      <c r="N35" s="250"/>
      <c r="O35" s="191"/>
      <c r="P35" s="158"/>
      <c r="Q35" s="207"/>
    </row>
    <row r="36" spans="1:18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2">
        <f t="shared" si="4"/>
        <v>-84874</v>
      </c>
      <c r="L36" s="12">
        <f>+L34+L15</f>
        <v>8025</v>
      </c>
      <c r="M36" s="11">
        <f>+M34+M15</f>
        <v>-36253</v>
      </c>
      <c r="N36" s="250">
        <f>N15+N34</f>
        <v>-7820</v>
      </c>
      <c r="O36" s="191">
        <f>O15+O34</f>
        <v>-24000</v>
      </c>
      <c r="P36" s="158"/>
      <c r="Q36" s="207"/>
    </row>
    <row r="37" spans="1:18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1"/>
      <c r="N37" s="250"/>
      <c r="O37" s="191"/>
      <c r="P37" s="158"/>
      <c r="Q37" s="207"/>
    </row>
    <row r="38" spans="1:18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1">
        <v>0</v>
      </c>
      <c r="N38" s="250">
        <v>0</v>
      </c>
      <c r="O38" s="191">
        <v>0</v>
      </c>
      <c r="P38" s="155"/>
      <c r="Q38" s="206"/>
    </row>
    <row r="39" spans="1:18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245"/>
      <c r="M39" s="11"/>
      <c r="N39" s="251"/>
      <c r="O39" s="210"/>
      <c r="P39" s="205"/>
      <c r="Q39" s="206"/>
    </row>
    <row r="40" spans="1:18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2">
        <f>+L38+L36</f>
        <v>8025</v>
      </c>
      <c r="M40" s="154">
        <f>+M38+M36</f>
        <v>-36253</v>
      </c>
      <c r="N40" s="252">
        <f>+N38+N36</f>
        <v>-7820</v>
      </c>
      <c r="O40" s="192">
        <f>+O38+O36</f>
        <v>-24000</v>
      </c>
      <c r="P40" s="155"/>
      <c r="Q40" s="208"/>
    </row>
    <row r="41" spans="1:18" s="13" customFormat="1" x14ac:dyDescent="0.3">
      <c r="A41" s="4"/>
      <c r="B41" s="4"/>
      <c r="C41" s="4"/>
      <c r="D41" s="4"/>
      <c r="E41" s="4"/>
      <c r="F41" s="4"/>
      <c r="G41" s="4"/>
      <c r="H41" s="4"/>
      <c r="N41" s="58"/>
      <c r="O41" s="58"/>
      <c r="P41" s="196"/>
      <c r="Q41" s="155"/>
    </row>
    <row r="42" spans="1:18" x14ac:dyDescent="0.3">
      <c r="N42" s="55"/>
      <c r="P42" s="155"/>
    </row>
    <row r="43" spans="1:18" x14ac:dyDescent="0.3">
      <c r="N43" s="99"/>
    </row>
    <row r="44" spans="1:18" x14ac:dyDescent="0.3">
      <c r="N44" s="222"/>
    </row>
    <row r="45" spans="1:18" x14ac:dyDescent="0.3">
      <c r="N45" s="207"/>
    </row>
    <row r="46" spans="1:18" x14ac:dyDescent="0.3">
      <c r="N46" s="222"/>
    </row>
    <row r="47" spans="1:18" s="4" customFormat="1" x14ac:dyDescent="0.3">
      <c r="N47" s="99"/>
      <c r="P47" s="196"/>
      <c r="Q47" s="155"/>
      <c r="R47" s="1"/>
    </row>
    <row r="48" spans="1:18" s="4" customFormat="1" x14ac:dyDescent="0.3">
      <c r="N48" s="99"/>
      <c r="P48" s="196"/>
      <c r="Q48" s="155"/>
      <c r="R48" s="1"/>
    </row>
    <row r="49" spans="14:18" s="4" customFormat="1" x14ac:dyDescent="0.3">
      <c r="N49" s="99"/>
      <c r="P49" s="196"/>
      <c r="Q49" s="155"/>
      <c r="R49" s="1"/>
    </row>
    <row r="50" spans="14:18" s="4" customFormat="1" x14ac:dyDescent="0.3">
      <c r="N50" s="99"/>
      <c r="P50" s="196"/>
      <c r="Q50" s="155"/>
      <c r="R50" s="1"/>
    </row>
    <row r="51" spans="14:18" x14ac:dyDescent="0.3">
      <c r="N51" s="99"/>
    </row>
    <row r="52" spans="14:18" x14ac:dyDescent="0.3">
      <c r="N52" s="223"/>
    </row>
  </sheetData>
  <mergeCells count="1">
    <mergeCell ref="H1:J1"/>
  </mergeCells>
  <pageMargins left="0.7" right="0.7" top="0.75" bottom="0.75" header="0.3" footer="0.3"/>
  <pageSetup paperSize="9" scale="58" orientation="landscape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E243B-FD3C-41F5-9F8C-D1A643E7E517}">
  <sheetPr>
    <tabColor theme="5" tint="-0.249977111117893"/>
    <pageSetUpPr fitToPage="1"/>
  </sheetPr>
  <dimension ref="A1:R52"/>
  <sheetViews>
    <sheetView zoomScaleNormal="100" workbookViewId="0">
      <pane xSplit="1" ySplit="3" topLeftCell="H18" activePane="bottomRight" state="frozen"/>
      <selection pane="topRight" activeCell="B1" sqref="B1"/>
      <selection pane="bottomLeft" activeCell="A4" sqref="A4"/>
      <selection pane="bottomRight" activeCell="N32" sqref="N32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customWidth="1"/>
    <col min="9" max="13" width="16.44140625" style="1" customWidth="1"/>
    <col min="14" max="15" width="18.5546875" style="1" customWidth="1"/>
    <col min="16" max="16" width="27" style="196" customWidth="1"/>
    <col min="17" max="17" width="12" style="155" customWidth="1"/>
    <col min="18" max="16384" width="9.109375" style="1"/>
  </cols>
  <sheetData>
    <row r="1" spans="1:17" ht="31.8" thickBot="1" x14ac:dyDescent="0.65">
      <c r="A1" s="211" t="s">
        <v>486</v>
      </c>
      <c r="C1" s="224"/>
      <c r="D1" s="224"/>
      <c r="H1" s="295" t="s">
        <v>487</v>
      </c>
      <c r="I1" s="295"/>
      <c r="J1" s="295"/>
    </row>
    <row r="2" spans="1:17" ht="16.2" thickBot="1" x14ac:dyDescent="0.35"/>
    <row r="3" spans="1:17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227">
        <v>2019</v>
      </c>
      <c r="N3" s="253" t="s">
        <v>809</v>
      </c>
      <c r="O3" s="240" t="s">
        <v>2490</v>
      </c>
      <c r="P3" s="156"/>
      <c r="Q3" s="156"/>
    </row>
    <row r="4" spans="1:17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110">
        <v>43725</v>
      </c>
      <c r="N4" s="110">
        <v>43830</v>
      </c>
      <c r="O4" s="209"/>
      <c r="P4" s="156"/>
      <c r="Q4" s="156"/>
    </row>
    <row r="5" spans="1:17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37"/>
      <c r="N5" s="111"/>
      <c r="O5" s="8"/>
      <c r="P5" s="155"/>
    </row>
    <row r="6" spans="1:17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9">
        <v>73711</v>
      </c>
      <c r="N6" s="249">
        <v>160000</v>
      </c>
      <c r="O6" s="190">
        <v>160000</v>
      </c>
      <c r="P6" s="217" t="s">
        <v>2436</v>
      </c>
    </row>
    <row r="7" spans="1:17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9">
        <v>167850</v>
      </c>
      <c r="N7" s="249">
        <v>168000</v>
      </c>
      <c r="O7" s="190">
        <v>150000</v>
      </c>
      <c r="P7" s="258" t="s">
        <v>2503</v>
      </c>
    </row>
    <row r="8" spans="1:17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9">
        <v>69583</v>
      </c>
      <c r="N8" s="249">
        <v>80000</v>
      </c>
      <c r="O8" s="190">
        <v>80000</v>
      </c>
      <c r="P8" s="217"/>
    </row>
    <row r="9" spans="1:17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9">
        <v>6760</v>
      </c>
      <c r="N9" s="249">
        <v>20000</v>
      </c>
      <c r="O9" s="190">
        <v>20000</v>
      </c>
      <c r="P9" s="217" t="s">
        <v>2504</v>
      </c>
    </row>
    <row r="10" spans="1:17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9">
        <v>55650</v>
      </c>
      <c r="N10" s="249">
        <v>65000</v>
      </c>
      <c r="O10" s="190">
        <v>70000</v>
      </c>
      <c r="P10" s="217" t="s">
        <v>2505</v>
      </c>
    </row>
    <row r="11" spans="1:17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9">
        <v>89680</v>
      </c>
      <c r="N11" s="249">
        <v>89680</v>
      </c>
      <c r="O11" s="190">
        <v>90000</v>
      </c>
      <c r="P11" s="155"/>
    </row>
    <row r="12" spans="1:17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9">
        <v>0</v>
      </c>
      <c r="N12" s="249">
        <v>0</v>
      </c>
      <c r="O12" s="190">
        <v>0</v>
      </c>
      <c r="P12" s="155"/>
    </row>
    <row r="13" spans="1:17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9">
        <v>0</v>
      </c>
      <c r="N13" s="249">
        <v>0</v>
      </c>
      <c r="O13" s="190">
        <v>0</v>
      </c>
      <c r="P13" s="155"/>
    </row>
    <row r="14" spans="1:17" ht="21.6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9">
        <v>21304</v>
      </c>
      <c r="N14" s="249">
        <v>25000</v>
      </c>
      <c r="O14" s="190">
        <v>25000</v>
      </c>
      <c r="P14" s="236" t="s">
        <v>2502</v>
      </c>
    </row>
    <row r="15" spans="1:17" x14ac:dyDescent="0.3">
      <c r="A15" s="7" t="s">
        <v>29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1">
        <f>SUM(M6:M14)</f>
        <v>484538</v>
      </c>
      <c r="N15" s="250">
        <f t="shared" ref="N15:O15" si="2">SUM(N6:N14)</f>
        <v>607680</v>
      </c>
      <c r="O15" s="191">
        <f t="shared" si="2"/>
        <v>595000</v>
      </c>
      <c r="P15" s="155"/>
    </row>
    <row r="16" spans="1:17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M16" s="111"/>
      <c r="N16" s="249"/>
      <c r="O16" s="190"/>
      <c r="P16" s="155"/>
    </row>
    <row r="17" spans="1:18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M17" s="112"/>
      <c r="N17" s="249"/>
      <c r="O17" s="190"/>
      <c r="P17" s="159"/>
      <c r="Q17" s="159"/>
    </row>
    <row r="18" spans="1:18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10">
        <v>-150140</v>
      </c>
      <c r="M18" s="9">
        <v>-84341</v>
      </c>
      <c r="N18" s="249">
        <v>-130000</v>
      </c>
      <c r="O18" s="190">
        <v>-150000</v>
      </c>
      <c r="P18" s="157" t="s">
        <v>2494</v>
      </c>
      <c r="Q18" s="197"/>
      <c r="R18" s="55"/>
    </row>
    <row r="19" spans="1:18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10">
        <v>-70226</v>
      </c>
      <c r="M19" s="9">
        <v>-115312</v>
      </c>
      <c r="N19" s="249">
        <v>-120000</v>
      </c>
      <c r="O19" s="190">
        <v>-100000</v>
      </c>
      <c r="P19" s="157" t="s">
        <v>2467</v>
      </c>
      <c r="Q19" s="197"/>
    </row>
    <row r="20" spans="1:18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9">
        <v>0</v>
      </c>
      <c r="N20" s="249">
        <v>0</v>
      </c>
      <c r="O20" s="190">
        <v>-5000</v>
      </c>
      <c r="P20" s="157"/>
      <c r="Q20" s="197"/>
    </row>
    <row r="21" spans="1:18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9">
        <v>-31375</v>
      </c>
      <c r="N21" s="249">
        <v>-50000</v>
      </c>
      <c r="O21" s="190">
        <v>-40000</v>
      </c>
      <c r="P21" s="155"/>
      <c r="Q21" s="197"/>
    </row>
    <row r="22" spans="1:18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9">
        <v>-38200</v>
      </c>
      <c r="N22" s="249">
        <v>-40000</v>
      </c>
      <c r="O22" s="190">
        <v>-25000</v>
      </c>
      <c r="P22" s="157" t="s">
        <v>2495</v>
      </c>
      <c r="Q22" s="197"/>
    </row>
    <row r="23" spans="1:18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9">
        <v>-78294</v>
      </c>
      <c r="N23" s="249">
        <v>-90000</v>
      </c>
      <c r="O23" s="190">
        <v>-80000</v>
      </c>
      <c r="P23" s="157" t="s">
        <v>2465</v>
      </c>
      <c r="Q23" s="197"/>
    </row>
    <row r="24" spans="1:18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9">
        <v>-3860</v>
      </c>
      <c r="N24" s="249">
        <v>-3000</v>
      </c>
      <c r="O24" s="190">
        <v>-3000</v>
      </c>
      <c r="P24" s="155"/>
      <c r="Q24" s="197"/>
    </row>
    <row r="25" spans="1:18" ht="24.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9">
        <v>-7700</v>
      </c>
      <c r="N25" s="249">
        <v>-15000</v>
      </c>
      <c r="O25" s="190">
        <v>-25000</v>
      </c>
      <c r="P25" s="157" t="s">
        <v>2465</v>
      </c>
      <c r="Q25" s="197"/>
    </row>
    <row r="26" spans="1:18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9">
        <v>-27350</v>
      </c>
      <c r="N26" s="249">
        <v>-30000</v>
      </c>
      <c r="O26" s="190">
        <v>-30000</v>
      </c>
      <c r="P26" s="157" t="s">
        <v>2496</v>
      </c>
      <c r="Q26" s="197"/>
    </row>
    <row r="27" spans="1:18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9">
        <v>-12200</v>
      </c>
      <c r="N27" s="249">
        <v>-15000</v>
      </c>
      <c r="O27" s="190">
        <v>-20000</v>
      </c>
      <c r="P27" s="157" t="s">
        <v>2497</v>
      </c>
      <c r="Q27" s="197"/>
    </row>
    <row r="28" spans="1:18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9">
        <v>-18000</v>
      </c>
      <c r="N28" s="249">
        <v>-18000</v>
      </c>
      <c r="O28" s="190">
        <v>-30000</v>
      </c>
      <c r="P28" s="157" t="s">
        <v>2498</v>
      </c>
      <c r="Q28" s="197"/>
    </row>
    <row r="29" spans="1:18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9">
        <v>-12500</v>
      </c>
      <c r="N29" s="249">
        <v>-12500</v>
      </c>
      <c r="O29" s="190">
        <v>-15000</v>
      </c>
      <c r="P29" s="157" t="s">
        <v>2498</v>
      </c>
    </row>
    <row r="30" spans="1:18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9">
        <v>-500</v>
      </c>
      <c r="N30" s="249">
        <v>-1000</v>
      </c>
      <c r="O30" s="190">
        <v>-1000</v>
      </c>
      <c r="P30" s="157"/>
    </row>
    <row r="31" spans="1:18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9">
        <v>-53200</v>
      </c>
      <c r="N31" s="249">
        <v>-90000</v>
      </c>
      <c r="O31" s="190">
        <v>-90000</v>
      </c>
      <c r="P31" s="155"/>
      <c r="Q31" s="197"/>
    </row>
    <row r="32" spans="1:18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9">
        <v>0</v>
      </c>
      <c r="N32" s="249">
        <v>0</v>
      </c>
      <c r="O32" s="190">
        <v>0</v>
      </c>
      <c r="P32" s="155"/>
      <c r="Q32" s="197"/>
    </row>
    <row r="33" spans="1:18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9">
        <f>-6416-763</f>
        <v>-7179</v>
      </c>
      <c r="N33" s="249">
        <v>-10000</v>
      </c>
      <c r="O33" s="190">
        <v>-5000</v>
      </c>
      <c r="P33" s="158" t="s">
        <v>2499</v>
      </c>
      <c r="Q33" s="197"/>
    </row>
    <row r="34" spans="1:18" x14ac:dyDescent="0.3">
      <c r="A34" s="7" t="s">
        <v>47</v>
      </c>
      <c r="B34" s="39">
        <f>SUM(B18:B33)</f>
        <v>-218877</v>
      </c>
      <c r="C34" s="39">
        <f t="shared" ref="C34:N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1">
        <f t="shared" si="3"/>
        <v>-490011</v>
      </c>
      <c r="N34" s="250">
        <f t="shared" si="3"/>
        <v>-624500</v>
      </c>
      <c r="O34" s="191">
        <f>SUM(O18:O33)</f>
        <v>-619000</v>
      </c>
      <c r="P34" s="205"/>
      <c r="Q34" s="206"/>
    </row>
    <row r="35" spans="1:18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113"/>
      <c r="N35" s="250"/>
      <c r="O35" s="191"/>
      <c r="P35" s="158"/>
      <c r="Q35" s="207"/>
    </row>
    <row r="36" spans="1:18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2">
        <f t="shared" si="4"/>
        <v>-84874</v>
      </c>
      <c r="L36" s="12">
        <f>+L34+L15</f>
        <v>8025</v>
      </c>
      <c r="M36" s="11">
        <f>+M34+M15</f>
        <v>-5473</v>
      </c>
      <c r="N36" s="250">
        <f>N15+N34</f>
        <v>-16820</v>
      </c>
      <c r="O36" s="191">
        <f>O15+O34</f>
        <v>-24000</v>
      </c>
      <c r="P36" s="158"/>
      <c r="Q36" s="207"/>
    </row>
    <row r="37" spans="1:18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1"/>
      <c r="N37" s="250"/>
      <c r="O37" s="191"/>
      <c r="P37" s="158"/>
      <c r="Q37" s="207"/>
    </row>
    <row r="38" spans="1:18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1">
        <v>0</v>
      </c>
      <c r="N38" s="250">
        <v>0</v>
      </c>
      <c r="O38" s="191">
        <v>0</v>
      </c>
      <c r="P38" s="155"/>
      <c r="Q38" s="206"/>
    </row>
    <row r="39" spans="1:18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245"/>
      <c r="M39" s="11"/>
      <c r="N39" s="251"/>
      <c r="O39" s="210"/>
      <c r="P39" s="205"/>
      <c r="Q39" s="206"/>
    </row>
    <row r="40" spans="1:18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2">
        <f>+L38+L36</f>
        <v>8025</v>
      </c>
      <c r="M40" s="154">
        <f>+M38+M36</f>
        <v>-5473</v>
      </c>
      <c r="N40" s="252">
        <f>+N38+N36</f>
        <v>-16820</v>
      </c>
      <c r="O40" s="192">
        <f>+O38+O36</f>
        <v>-24000</v>
      </c>
      <c r="P40" s="155"/>
      <c r="Q40" s="208"/>
    </row>
    <row r="41" spans="1:18" s="13" customFormat="1" x14ac:dyDescent="0.3">
      <c r="A41" s="4"/>
      <c r="B41" s="4"/>
      <c r="C41" s="4"/>
      <c r="D41" s="4"/>
      <c r="E41" s="4"/>
      <c r="F41" s="4"/>
      <c r="G41" s="4"/>
      <c r="H41" s="4"/>
      <c r="N41" s="58"/>
      <c r="O41" s="58"/>
      <c r="P41" s="196"/>
      <c r="Q41" s="155"/>
    </row>
    <row r="42" spans="1:18" x14ac:dyDescent="0.3">
      <c r="N42" s="55"/>
      <c r="P42" s="155"/>
    </row>
    <row r="43" spans="1:18" x14ac:dyDescent="0.3">
      <c r="N43" s="99"/>
    </row>
    <row r="44" spans="1:18" x14ac:dyDescent="0.3">
      <c r="N44" s="222"/>
    </row>
    <row r="45" spans="1:18" x14ac:dyDescent="0.3">
      <c r="N45" s="207"/>
    </row>
    <row r="46" spans="1:18" x14ac:dyDescent="0.3">
      <c r="N46" s="222"/>
    </row>
    <row r="47" spans="1:18" s="4" customFormat="1" x14ac:dyDescent="0.3">
      <c r="N47" s="99"/>
      <c r="P47" s="196"/>
      <c r="Q47" s="155"/>
      <c r="R47" s="1"/>
    </row>
    <row r="48" spans="1:18" s="4" customFormat="1" x14ac:dyDescent="0.3">
      <c r="N48" s="99"/>
      <c r="P48" s="196"/>
      <c r="Q48" s="155"/>
      <c r="R48" s="1"/>
    </row>
    <row r="49" spans="14:18" s="4" customFormat="1" x14ac:dyDescent="0.3">
      <c r="N49" s="99"/>
      <c r="P49" s="196"/>
      <c r="Q49" s="155"/>
      <c r="R49" s="1"/>
    </row>
    <row r="50" spans="14:18" s="4" customFormat="1" x14ac:dyDescent="0.3">
      <c r="N50" s="99"/>
      <c r="P50" s="196"/>
      <c r="Q50" s="155"/>
      <c r="R50" s="1"/>
    </row>
    <row r="51" spans="14:18" x14ac:dyDescent="0.3">
      <c r="N51" s="99"/>
    </row>
    <row r="52" spans="14:18" x14ac:dyDescent="0.3">
      <c r="N52" s="223"/>
    </row>
  </sheetData>
  <mergeCells count="1">
    <mergeCell ref="H1:J1"/>
  </mergeCells>
  <pageMargins left="0.7" right="0.7" top="0.75" bottom="0.75" header="0.3" footer="0.3"/>
  <pageSetup paperSize="9" scale="58" orientation="landscape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6B208-3BED-41C8-B1BA-12634426C217}">
  <sheetPr>
    <tabColor theme="5" tint="-0.249977111117893"/>
    <pageSetUpPr fitToPage="1"/>
  </sheetPr>
  <dimension ref="A1:R52"/>
  <sheetViews>
    <sheetView zoomScaleNormal="100" workbookViewId="0">
      <pane xSplit="1" ySplit="3" topLeftCell="H19" activePane="bottomRight" state="frozen"/>
      <selection pane="topRight" activeCell="B1" sqref="B1"/>
      <selection pane="bottomLeft" activeCell="A4" sqref="A4"/>
      <selection pane="bottomRight" activeCell="N21" sqref="N21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customWidth="1"/>
    <col min="9" max="13" width="16.44140625" style="1" customWidth="1"/>
    <col min="14" max="15" width="18.5546875" style="1" customWidth="1"/>
    <col min="16" max="16" width="27" style="196" customWidth="1"/>
    <col min="17" max="17" width="12" style="155" customWidth="1"/>
    <col min="18" max="16384" width="9.109375" style="1"/>
  </cols>
  <sheetData>
    <row r="1" spans="1:17" ht="31.8" thickBot="1" x14ac:dyDescent="0.65">
      <c r="A1" s="211" t="s">
        <v>486</v>
      </c>
      <c r="C1" s="224"/>
      <c r="D1" s="224"/>
      <c r="H1" s="295" t="s">
        <v>487</v>
      </c>
      <c r="I1" s="295"/>
      <c r="J1" s="295"/>
    </row>
    <row r="2" spans="1:17" ht="16.2" thickBot="1" x14ac:dyDescent="0.35"/>
    <row r="3" spans="1:17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227">
        <v>2019</v>
      </c>
      <c r="N3" s="253" t="s">
        <v>809</v>
      </c>
      <c r="O3" s="240" t="s">
        <v>2490</v>
      </c>
      <c r="P3" s="156"/>
      <c r="Q3" s="156"/>
    </row>
    <row r="4" spans="1:17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110">
        <v>43689</v>
      </c>
      <c r="N4" s="110">
        <v>43830</v>
      </c>
      <c r="O4" s="209"/>
      <c r="P4" s="156"/>
      <c r="Q4" s="156"/>
    </row>
    <row r="5" spans="1:17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37"/>
      <c r="N5" s="111"/>
      <c r="O5" s="8"/>
      <c r="P5" s="155"/>
    </row>
    <row r="6" spans="1:17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9">
        <v>49303</v>
      </c>
      <c r="N6" s="249">
        <v>160000</v>
      </c>
      <c r="O6" s="190">
        <v>160000</v>
      </c>
      <c r="P6" s="217" t="s">
        <v>2436</v>
      </c>
    </row>
    <row r="7" spans="1:17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9">
        <v>163150</v>
      </c>
      <c r="N7" s="249">
        <v>165000</v>
      </c>
      <c r="O7" s="190">
        <v>150000</v>
      </c>
      <c r="P7" s="258" t="s">
        <v>2503</v>
      </c>
    </row>
    <row r="8" spans="1:17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9">
        <v>59476</v>
      </c>
      <c r="N8" s="249">
        <v>80000</v>
      </c>
      <c r="O8" s="190">
        <v>80000</v>
      </c>
      <c r="P8" s="217"/>
    </row>
    <row r="9" spans="1:17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9">
        <v>6680</v>
      </c>
      <c r="N9" s="249">
        <v>20000</v>
      </c>
      <c r="O9" s="190">
        <v>20000</v>
      </c>
      <c r="P9" s="217" t="s">
        <v>2504</v>
      </c>
    </row>
    <row r="10" spans="1:17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9">
        <v>55650</v>
      </c>
      <c r="N10" s="249">
        <v>65000</v>
      </c>
      <c r="O10" s="190">
        <v>70000</v>
      </c>
      <c r="P10" s="217" t="s">
        <v>2505</v>
      </c>
    </row>
    <row r="11" spans="1:17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9">
        <v>89680</v>
      </c>
      <c r="N11" s="249">
        <v>89680</v>
      </c>
      <c r="O11" s="190">
        <v>90000</v>
      </c>
      <c r="P11" s="155"/>
    </row>
    <row r="12" spans="1:17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9">
        <v>0</v>
      </c>
      <c r="N12" s="249">
        <v>0</v>
      </c>
      <c r="O12" s="190">
        <v>0</v>
      </c>
      <c r="P12" s="155"/>
    </row>
    <row r="13" spans="1:17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9">
        <v>0</v>
      </c>
      <c r="N13" s="249">
        <v>0</v>
      </c>
      <c r="O13" s="190">
        <v>0</v>
      </c>
      <c r="P13" s="155"/>
    </row>
    <row r="14" spans="1:17" ht="21.6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9">
        <v>21109</v>
      </c>
      <c r="N14" s="249">
        <v>25000</v>
      </c>
      <c r="O14" s="190">
        <v>25000</v>
      </c>
      <c r="P14" s="236" t="s">
        <v>2502</v>
      </c>
    </row>
    <row r="15" spans="1:17" x14ac:dyDescent="0.3">
      <c r="A15" s="7" t="s">
        <v>29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1">
        <f>SUM(M6:M14)</f>
        <v>445048</v>
      </c>
      <c r="N15" s="250">
        <f t="shared" ref="N15:O15" si="2">SUM(N6:N14)</f>
        <v>604680</v>
      </c>
      <c r="O15" s="191">
        <f t="shared" si="2"/>
        <v>595000</v>
      </c>
      <c r="P15" s="155"/>
    </row>
    <row r="16" spans="1:17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M16" s="111"/>
      <c r="N16" s="249"/>
      <c r="O16" s="190"/>
      <c r="P16" s="155"/>
    </row>
    <row r="17" spans="1:18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M17" s="112"/>
      <c r="N17" s="249"/>
      <c r="O17" s="190"/>
      <c r="P17" s="159"/>
      <c r="Q17" s="159"/>
    </row>
    <row r="18" spans="1:18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10">
        <v>-150140</v>
      </c>
      <c r="M18" s="9">
        <v>-70388</v>
      </c>
      <c r="N18" s="249">
        <v>-150000</v>
      </c>
      <c r="O18" s="190">
        <v>-150000</v>
      </c>
      <c r="P18" s="157" t="s">
        <v>2494</v>
      </c>
      <c r="Q18" s="197"/>
      <c r="R18" s="55"/>
    </row>
    <row r="19" spans="1:18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10">
        <v>-70226</v>
      </c>
      <c r="M19" s="9">
        <v>-96222</v>
      </c>
      <c r="N19" s="249">
        <v>-110000</v>
      </c>
      <c r="O19" s="190">
        <v>-100000</v>
      </c>
      <c r="P19" s="157" t="s">
        <v>2467</v>
      </c>
      <c r="Q19" s="197"/>
    </row>
    <row r="20" spans="1:18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9">
        <v>0</v>
      </c>
      <c r="N20" s="249">
        <v>-5000</v>
      </c>
      <c r="O20" s="190">
        <v>-5000</v>
      </c>
      <c r="P20" s="157"/>
      <c r="Q20" s="197"/>
    </row>
    <row r="21" spans="1:18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9">
        <v>-31375</v>
      </c>
      <c r="N21" s="249">
        <v>-45000</v>
      </c>
      <c r="O21" s="190">
        <v>-40000</v>
      </c>
      <c r="P21" s="155"/>
      <c r="Q21" s="197"/>
    </row>
    <row r="22" spans="1:18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9">
        <v>-34200</v>
      </c>
      <c r="N22" s="249">
        <v>-35000</v>
      </c>
      <c r="O22" s="190">
        <v>-25000</v>
      </c>
      <c r="P22" s="157" t="s">
        <v>2495</v>
      </c>
      <c r="Q22" s="197"/>
    </row>
    <row r="23" spans="1:18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9">
        <v>-60028</v>
      </c>
      <c r="N23" s="249">
        <v>-90000</v>
      </c>
      <c r="O23" s="190">
        <v>-80000</v>
      </c>
      <c r="P23" s="157" t="s">
        <v>2465</v>
      </c>
      <c r="Q23" s="197"/>
    </row>
    <row r="24" spans="1:18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9">
        <v>-560</v>
      </c>
      <c r="N24" s="249">
        <v>-3000</v>
      </c>
      <c r="O24" s="190">
        <v>-3000</v>
      </c>
      <c r="P24" s="155"/>
      <c r="Q24" s="197"/>
    </row>
    <row r="25" spans="1:18" ht="24.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9">
        <v>-7700</v>
      </c>
      <c r="N25" s="249">
        <v>-15000</v>
      </c>
      <c r="O25" s="190">
        <v>-25000</v>
      </c>
      <c r="P25" s="157" t="s">
        <v>2465</v>
      </c>
      <c r="Q25" s="197"/>
    </row>
    <row r="26" spans="1:18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9">
        <v>-27350</v>
      </c>
      <c r="N26" s="249">
        <v>-30000</v>
      </c>
      <c r="O26" s="190">
        <v>-30000</v>
      </c>
      <c r="P26" s="157" t="s">
        <v>2496</v>
      </c>
      <c r="Q26" s="197"/>
    </row>
    <row r="27" spans="1:18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9">
        <v>-10200</v>
      </c>
      <c r="N27" s="249">
        <v>-15000</v>
      </c>
      <c r="O27" s="190">
        <v>-20000</v>
      </c>
      <c r="P27" s="157" t="s">
        <v>2497</v>
      </c>
      <c r="Q27" s="197"/>
    </row>
    <row r="28" spans="1:18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9">
        <v>-18000</v>
      </c>
      <c r="N28" s="249">
        <v>-20000</v>
      </c>
      <c r="O28" s="190">
        <v>-30000</v>
      </c>
      <c r="P28" s="157" t="s">
        <v>2498</v>
      </c>
      <c r="Q28" s="197"/>
    </row>
    <row r="29" spans="1:18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9">
        <v>-11500</v>
      </c>
      <c r="N29" s="249">
        <v>-11500</v>
      </c>
      <c r="O29" s="190">
        <v>-15000</v>
      </c>
      <c r="P29" s="157" t="s">
        <v>2498</v>
      </c>
    </row>
    <row r="30" spans="1:18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9">
        <v>-500</v>
      </c>
      <c r="N30" s="249">
        <v>-1000</v>
      </c>
      <c r="O30" s="190">
        <v>-1000</v>
      </c>
      <c r="P30" s="157"/>
    </row>
    <row r="31" spans="1:18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9">
        <v>-11200</v>
      </c>
      <c r="N31" s="249">
        <v>-90000</v>
      </c>
      <c r="O31" s="190">
        <v>-90000</v>
      </c>
      <c r="P31" s="155"/>
      <c r="Q31" s="197"/>
    </row>
    <row r="32" spans="1:18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9">
        <v>0</v>
      </c>
      <c r="N32" s="249">
        <v>0</v>
      </c>
      <c r="O32" s="190">
        <v>0</v>
      </c>
      <c r="P32" s="155"/>
      <c r="Q32" s="197"/>
    </row>
    <row r="33" spans="1:18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9">
        <f>-6416-763</f>
        <v>-7179</v>
      </c>
      <c r="N33" s="249">
        <v>-10000</v>
      </c>
      <c r="O33" s="190">
        <v>-5000</v>
      </c>
      <c r="P33" s="158" t="s">
        <v>2499</v>
      </c>
      <c r="Q33" s="197"/>
    </row>
    <row r="34" spans="1:18" x14ac:dyDescent="0.3">
      <c r="A34" s="7" t="s">
        <v>47</v>
      </c>
      <c r="B34" s="39">
        <f>SUM(B18:B33)</f>
        <v>-218877</v>
      </c>
      <c r="C34" s="39">
        <f t="shared" ref="C34:N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1">
        <f t="shared" si="3"/>
        <v>-386402</v>
      </c>
      <c r="N34" s="250">
        <f t="shared" si="3"/>
        <v>-630500</v>
      </c>
      <c r="O34" s="191">
        <f>SUM(O18:O33)</f>
        <v>-619000</v>
      </c>
      <c r="P34" s="205"/>
      <c r="Q34" s="206"/>
    </row>
    <row r="35" spans="1:18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113"/>
      <c r="N35" s="250"/>
      <c r="O35" s="191"/>
      <c r="P35" s="158"/>
      <c r="Q35" s="207"/>
    </row>
    <row r="36" spans="1:18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2">
        <f t="shared" si="4"/>
        <v>-84874</v>
      </c>
      <c r="L36" s="12">
        <f>+L34+L15</f>
        <v>8025</v>
      </c>
      <c r="M36" s="11">
        <f>+M34+M15</f>
        <v>58646</v>
      </c>
      <c r="N36" s="250">
        <f>N15+N34</f>
        <v>-25820</v>
      </c>
      <c r="O36" s="191">
        <f>O15+O34</f>
        <v>-24000</v>
      </c>
      <c r="P36" s="158"/>
      <c r="Q36" s="207"/>
    </row>
    <row r="37" spans="1:18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1"/>
      <c r="N37" s="250"/>
      <c r="O37" s="191"/>
      <c r="P37" s="158"/>
      <c r="Q37" s="207"/>
    </row>
    <row r="38" spans="1:18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1">
        <v>0</v>
      </c>
      <c r="N38" s="250">
        <v>0</v>
      </c>
      <c r="O38" s="191">
        <v>0</v>
      </c>
      <c r="P38" s="155"/>
      <c r="Q38" s="206"/>
    </row>
    <row r="39" spans="1:18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245"/>
      <c r="M39" s="11"/>
      <c r="N39" s="251"/>
      <c r="O39" s="210"/>
      <c r="P39" s="205"/>
      <c r="Q39" s="206"/>
    </row>
    <row r="40" spans="1:18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2">
        <f>+L38+L36</f>
        <v>8025</v>
      </c>
      <c r="M40" s="154">
        <f>+M38+M36</f>
        <v>58646</v>
      </c>
      <c r="N40" s="252">
        <f>+N38+N36</f>
        <v>-25820</v>
      </c>
      <c r="O40" s="192">
        <f>+O38+O36</f>
        <v>-24000</v>
      </c>
      <c r="P40" s="155"/>
      <c r="Q40" s="208"/>
    </row>
    <row r="41" spans="1:18" s="13" customFormat="1" x14ac:dyDescent="0.3">
      <c r="A41" s="4"/>
      <c r="B41" s="4"/>
      <c r="C41" s="4"/>
      <c r="D41" s="4"/>
      <c r="E41" s="4"/>
      <c r="F41" s="4"/>
      <c r="G41" s="4"/>
      <c r="H41" s="4"/>
      <c r="N41" s="58"/>
      <c r="O41" s="58"/>
      <c r="P41" s="196"/>
      <c r="Q41" s="155"/>
    </row>
    <row r="42" spans="1:18" x14ac:dyDescent="0.3">
      <c r="N42" s="55"/>
      <c r="P42" s="155"/>
    </row>
    <row r="43" spans="1:18" x14ac:dyDescent="0.3">
      <c r="N43" s="99"/>
    </row>
    <row r="44" spans="1:18" x14ac:dyDescent="0.3">
      <c r="N44" s="222"/>
    </row>
    <row r="45" spans="1:18" x14ac:dyDescent="0.3">
      <c r="N45" s="207"/>
    </row>
    <row r="46" spans="1:18" x14ac:dyDescent="0.3">
      <c r="N46" s="222"/>
    </row>
    <row r="47" spans="1:18" s="4" customFormat="1" x14ac:dyDescent="0.3">
      <c r="N47" s="99"/>
      <c r="P47" s="196"/>
      <c r="Q47" s="155"/>
      <c r="R47" s="1"/>
    </row>
    <row r="48" spans="1:18" s="4" customFormat="1" x14ac:dyDescent="0.3">
      <c r="N48" s="99"/>
      <c r="P48" s="196"/>
      <c r="Q48" s="155"/>
      <c r="R48" s="1"/>
    </row>
    <row r="49" spans="14:18" s="4" customFormat="1" x14ac:dyDescent="0.3">
      <c r="N49" s="99"/>
      <c r="P49" s="196"/>
      <c r="Q49" s="155"/>
      <c r="R49" s="1"/>
    </row>
    <row r="50" spans="14:18" s="4" customFormat="1" x14ac:dyDescent="0.3">
      <c r="N50" s="99"/>
      <c r="P50" s="196"/>
      <c r="Q50" s="155"/>
      <c r="R50" s="1"/>
    </row>
    <row r="51" spans="14:18" x14ac:dyDescent="0.3">
      <c r="N51" s="99"/>
    </row>
    <row r="52" spans="14:18" x14ac:dyDescent="0.3">
      <c r="N52" s="223"/>
    </row>
  </sheetData>
  <mergeCells count="1">
    <mergeCell ref="H1:J1"/>
  </mergeCells>
  <pageMargins left="0.7" right="0.7" top="0.75" bottom="0.75" header="0.3" footer="0.3"/>
  <pageSetup paperSize="9" scale="58"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43D47-1199-43FC-A51B-AAB5A9A8DFD8}">
  <sheetPr>
    <tabColor theme="5" tint="-0.249977111117893"/>
    <pageSetUpPr fitToPage="1"/>
  </sheetPr>
  <dimension ref="A1:R52"/>
  <sheetViews>
    <sheetView zoomScaleNormal="100" workbookViewId="0">
      <pane xSplit="1" ySplit="3" topLeftCell="H4" activePane="bottomRight" state="frozen"/>
      <selection pane="topRight" activeCell="B1" sqref="B1"/>
      <selection pane="bottomLeft" activeCell="A4" sqref="A4"/>
      <selection pane="bottomRight" activeCell="N23" sqref="N23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customWidth="1"/>
    <col min="9" max="13" width="16.44140625" style="1" customWidth="1"/>
    <col min="14" max="15" width="18.5546875" style="1" customWidth="1"/>
    <col min="16" max="16" width="27" style="196" customWidth="1"/>
    <col min="17" max="17" width="12" style="155" customWidth="1"/>
    <col min="18" max="16384" width="9.109375" style="1"/>
  </cols>
  <sheetData>
    <row r="1" spans="1:17" ht="31.8" thickBot="1" x14ac:dyDescent="0.65">
      <c r="A1" s="211" t="s">
        <v>486</v>
      </c>
      <c r="C1" s="224"/>
      <c r="D1" s="224"/>
      <c r="H1" s="295" t="s">
        <v>487</v>
      </c>
      <c r="I1" s="295"/>
      <c r="J1" s="295"/>
    </row>
    <row r="2" spans="1:17" ht="16.2" thickBot="1" x14ac:dyDescent="0.35"/>
    <row r="3" spans="1:17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227">
        <v>2019</v>
      </c>
      <c r="N3" s="253" t="s">
        <v>809</v>
      </c>
      <c r="O3" s="240" t="s">
        <v>2490</v>
      </c>
      <c r="P3" s="156"/>
      <c r="Q3" s="156"/>
    </row>
    <row r="4" spans="1:17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110">
        <v>43619</v>
      </c>
      <c r="N4" s="110">
        <v>43830</v>
      </c>
      <c r="O4" s="209"/>
      <c r="P4" s="156"/>
      <c r="Q4" s="156"/>
    </row>
    <row r="5" spans="1:17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37"/>
      <c r="N5" s="111"/>
      <c r="O5" s="8"/>
      <c r="P5" s="155"/>
    </row>
    <row r="6" spans="1:17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9">
        <v>49303</v>
      </c>
      <c r="N6" s="249">
        <v>160000</v>
      </c>
      <c r="O6" s="190">
        <v>160000</v>
      </c>
      <c r="P6" s="217" t="s">
        <v>2436</v>
      </c>
    </row>
    <row r="7" spans="1:17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9">
        <v>147900</v>
      </c>
      <c r="N7" s="249">
        <v>165000</v>
      </c>
      <c r="O7" s="190">
        <v>150000</v>
      </c>
      <c r="P7" s="236" t="s">
        <v>2500</v>
      </c>
    </row>
    <row r="8" spans="1:17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9">
        <v>31681</v>
      </c>
      <c r="N8" s="249">
        <v>80000</v>
      </c>
      <c r="O8" s="190">
        <v>80000</v>
      </c>
      <c r="P8" s="217"/>
    </row>
    <row r="9" spans="1:17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9">
        <v>5080</v>
      </c>
      <c r="N9" s="249">
        <v>20000</v>
      </c>
      <c r="O9" s="190">
        <v>20000</v>
      </c>
      <c r="P9" s="217" t="s">
        <v>2476</v>
      </c>
    </row>
    <row r="10" spans="1:17" ht="31.8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9">
        <v>36650</v>
      </c>
      <c r="N10" s="249">
        <v>70000</v>
      </c>
      <c r="O10" s="190">
        <v>70000</v>
      </c>
      <c r="P10" s="217" t="s">
        <v>2501</v>
      </c>
    </row>
    <row r="11" spans="1:17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9">
        <v>0</v>
      </c>
      <c r="N11" s="249">
        <v>75000</v>
      </c>
      <c r="O11" s="190">
        <v>90000</v>
      </c>
      <c r="P11" s="155"/>
    </row>
    <row r="12" spans="1:17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9">
        <v>0</v>
      </c>
      <c r="N12" s="249">
        <v>0</v>
      </c>
      <c r="O12" s="190">
        <v>0</v>
      </c>
      <c r="P12" s="155"/>
    </row>
    <row r="13" spans="1:17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9">
        <v>0</v>
      </c>
      <c r="N13" s="249">
        <v>0</v>
      </c>
      <c r="O13" s="190">
        <v>0</v>
      </c>
      <c r="P13" s="155"/>
    </row>
    <row r="14" spans="1:17" ht="21.6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9">
        <v>11609</v>
      </c>
      <c r="N14" s="249">
        <v>25000</v>
      </c>
      <c r="O14" s="190">
        <v>25000</v>
      </c>
      <c r="P14" s="236" t="s">
        <v>2502</v>
      </c>
    </row>
    <row r="15" spans="1:17" x14ac:dyDescent="0.3">
      <c r="A15" s="7" t="s">
        <v>29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1">
        <f>SUM(M6:M14)</f>
        <v>282223</v>
      </c>
      <c r="N15" s="250">
        <f t="shared" ref="N15:O15" si="2">SUM(N6:N14)</f>
        <v>595000</v>
      </c>
      <c r="O15" s="191">
        <f t="shared" si="2"/>
        <v>595000</v>
      </c>
      <c r="P15" s="155"/>
    </row>
    <row r="16" spans="1:17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M16" s="111"/>
      <c r="N16" s="249"/>
      <c r="O16" s="190"/>
      <c r="P16" s="155"/>
    </row>
    <row r="17" spans="1:18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M17" s="112"/>
      <c r="N17" s="249"/>
      <c r="O17" s="190"/>
      <c r="P17" s="159"/>
      <c r="Q17" s="159"/>
    </row>
    <row r="18" spans="1:18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10">
        <v>-150140</v>
      </c>
      <c r="M18" s="9">
        <v>-29894</v>
      </c>
      <c r="N18" s="249">
        <v>-150000</v>
      </c>
      <c r="O18" s="190">
        <v>-150000</v>
      </c>
      <c r="P18" s="157" t="s">
        <v>2494</v>
      </c>
      <c r="Q18" s="197"/>
      <c r="R18" s="55"/>
    </row>
    <row r="19" spans="1:18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10">
        <v>-70226</v>
      </c>
      <c r="M19" s="9">
        <v>-79159</v>
      </c>
      <c r="N19" s="249">
        <v>-100000</v>
      </c>
      <c r="O19" s="190">
        <v>-100000</v>
      </c>
      <c r="P19" s="157" t="s">
        <v>2467</v>
      </c>
      <c r="Q19" s="197"/>
    </row>
    <row r="20" spans="1:18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9">
        <v>0</v>
      </c>
      <c r="N20" s="249">
        <v>-5000</v>
      </c>
      <c r="O20" s="190">
        <v>-5000</v>
      </c>
      <c r="P20" s="157"/>
      <c r="Q20" s="197"/>
    </row>
    <row r="21" spans="1:18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9">
        <v>-20875</v>
      </c>
      <c r="N21" s="249">
        <v>-40000</v>
      </c>
      <c r="O21" s="190">
        <v>-40000</v>
      </c>
      <c r="P21" s="155"/>
      <c r="Q21" s="197"/>
    </row>
    <row r="22" spans="1:18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9">
        <v>-5200</v>
      </c>
      <c r="N22" s="249">
        <v>-20000</v>
      </c>
      <c r="O22" s="190">
        <v>-25000</v>
      </c>
      <c r="P22" s="157" t="s">
        <v>2495</v>
      </c>
      <c r="Q22" s="197"/>
    </row>
    <row r="23" spans="1:18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9">
        <v>-40994</v>
      </c>
      <c r="N23" s="249">
        <v>-90000</v>
      </c>
      <c r="O23" s="190">
        <v>-80000</v>
      </c>
      <c r="P23" s="157" t="s">
        <v>2465</v>
      </c>
      <c r="Q23" s="197"/>
    </row>
    <row r="24" spans="1:18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9">
        <v>-560</v>
      </c>
      <c r="N24" s="249">
        <v>-3000</v>
      </c>
      <c r="O24" s="190">
        <v>-3000</v>
      </c>
      <c r="P24" s="155"/>
      <c r="Q24" s="197"/>
    </row>
    <row r="25" spans="1:18" ht="24.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9">
        <v>-6200</v>
      </c>
      <c r="N25" s="249">
        <v>-25000</v>
      </c>
      <c r="O25" s="190">
        <v>-25000</v>
      </c>
      <c r="P25" s="157" t="s">
        <v>2465</v>
      </c>
      <c r="Q25" s="197"/>
    </row>
    <row r="26" spans="1:18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9">
        <v>-27350</v>
      </c>
      <c r="N26" s="249">
        <v>-30000</v>
      </c>
      <c r="O26" s="190">
        <v>-30000</v>
      </c>
      <c r="P26" s="157" t="s">
        <v>2496</v>
      </c>
      <c r="Q26" s="197"/>
    </row>
    <row r="27" spans="1:18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9">
        <v>-10200</v>
      </c>
      <c r="N27" s="249">
        <v>-15000</v>
      </c>
      <c r="O27" s="190">
        <v>-20000</v>
      </c>
      <c r="P27" s="157" t="s">
        <v>2497</v>
      </c>
      <c r="Q27" s="197"/>
    </row>
    <row r="28" spans="1:18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9">
        <v>0</v>
      </c>
      <c r="N28" s="249">
        <v>-20000</v>
      </c>
      <c r="O28" s="190">
        <v>-30000</v>
      </c>
      <c r="P28" s="157" t="s">
        <v>2498</v>
      </c>
      <c r="Q28" s="197"/>
    </row>
    <row r="29" spans="1:18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9">
        <v>0</v>
      </c>
      <c r="N29" s="249">
        <v>-10000</v>
      </c>
      <c r="O29" s="190">
        <v>-15000</v>
      </c>
      <c r="P29" s="157" t="s">
        <v>2498</v>
      </c>
    </row>
    <row r="30" spans="1:18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9">
        <v>-500</v>
      </c>
      <c r="N30" s="249">
        <v>-1000</v>
      </c>
      <c r="O30" s="190">
        <v>-1000</v>
      </c>
      <c r="P30" s="157"/>
    </row>
    <row r="31" spans="1:18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9">
        <v>0</v>
      </c>
      <c r="N31" s="249">
        <v>-85000</v>
      </c>
      <c r="O31" s="190">
        <v>-90000</v>
      </c>
      <c r="P31" s="155"/>
      <c r="Q31" s="197"/>
    </row>
    <row r="32" spans="1:18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9">
        <v>0</v>
      </c>
      <c r="N32" s="249">
        <v>0</v>
      </c>
      <c r="O32" s="190">
        <v>0</v>
      </c>
      <c r="P32" s="155"/>
      <c r="Q32" s="197"/>
    </row>
    <row r="33" spans="1:18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9">
        <f>-6416-763</f>
        <v>-7179</v>
      </c>
      <c r="N33" s="249">
        <v>-10000</v>
      </c>
      <c r="O33" s="190">
        <v>-5000</v>
      </c>
      <c r="P33" s="158" t="s">
        <v>2499</v>
      </c>
      <c r="Q33" s="197"/>
    </row>
    <row r="34" spans="1:18" x14ac:dyDescent="0.3">
      <c r="A34" s="7" t="s">
        <v>47</v>
      </c>
      <c r="B34" s="39">
        <f>SUM(B18:B33)</f>
        <v>-218877</v>
      </c>
      <c r="C34" s="39">
        <f t="shared" ref="C34:N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1">
        <f t="shared" si="3"/>
        <v>-228111</v>
      </c>
      <c r="N34" s="250">
        <f t="shared" si="3"/>
        <v>-604000</v>
      </c>
      <c r="O34" s="191">
        <f>SUM(O18:O33)</f>
        <v>-619000</v>
      </c>
      <c r="P34" s="205"/>
      <c r="Q34" s="206"/>
    </row>
    <row r="35" spans="1:18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113"/>
      <c r="N35" s="250"/>
      <c r="O35" s="191"/>
      <c r="P35" s="158"/>
      <c r="Q35" s="207"/>
    </row>
    <row r="36" spans="1:18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2">
        <f t="shared" si="4"/>
        <v>-84874</v>
      </c>
      <c r="L36" s="12">
        <f>+L34+L15</f>
        <v>8025</v>
      </c>
      <c r="M36" s="11">
        <f>+M34+M15</f>
        <v>54112</v>
      </c>
      <c r="N36" s="250">
        <f>N15+N34</f>
        <v>-9000</v>
      </c>
      <c r="O36" s="191">
        <f>O15+O34</f>
        <v>-24000</v>
      </c>
      <c r="P36" s="158"/>
      <c r="Q36" s="207"/>
    </row>
    <row r="37" spans="1:18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1"/>
      <c r="N37" s="250"/>
      <c r="O37" s="191"/>
      <c r="P37" s="158"/>
      <c r="Q37" s="207"/>
    </row>
    <row r="38" spans="1:18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1">
        <v>0</v>
      </c>
      <c r="N38" s="250">
        <v>0</v>
      </c>
      <c r="O38" s="191">
        <v>0</v>
      </c>
      <c r="P38" s="155"/>
      <c r="Q38" s="206"/>
    </row>
    <row r="39" spans="1:18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245"/>
      <c r="M39" s="11"/>
      <c r="N39" s="251"/>
      <c r="O39" s="210"/>
      <c r="P39" s="205"/>
      <c r="Q39" s="206"/>
    </row>
    <row r="40" spans="1:18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2">
        <f>+L38+L36</f>
        <v>8025</v>
      </c>
      <c r="M40" s="154">
        <f>+M38+M36</f>
        <v>54112</v>
      </c>
      <c r="N40" s="252">
        <f>+N38+N36</f>
        <v>-9000</v>
      </c>
      <c r="O40" s="192">
        <f>+O38+O36</f>
        <v>-24000</v>
      </c>
      <c r="P40" s="155"/>
      <c r="Q40" s="208"/>
    </row>
    <row r="41" spans="1:18" s="13" customFormat="1" x14ac:dyDescent="0.3">
      <c r="A41" s="4"/>
      <c r="B41" s="4"/>
      <c r="C41" s="4"/>
      <c r="D41" s="4"/>
      <c r="E41" s="4"/>
      <c r="F41" s="4"/>
      <c r="G41" s="4"/>
      <c r="H41" s="4"/>
      <c r="N41" s="58"/>
      <c r="O41" s="58"/>
      <c r="P41" s="196"/>
      <c r="Q41" s="155"/>
    </row>
    <row r="42" spans="1:18" x14ac:dyDescent="0.3">
      <c r="N42" s="55"/>
      <c r="P42" s="155"/>
    </row>
    <row r="43" spans="1:18" x14ac:dyDescent="0.3">
      <c r="N43" s="99"/>
    </row>
    <row r="44" spans="1:18" x14ac:dyDescent="0.3">
      <c r="N44" s="222"/>
    </row>
    <row r="45" spans="1:18" x14ac:dyDescent="0.3">
      <c r="N45" s="207"/>
    </row>
    <row r="46" spans="1:18" x14ac:dyDescent="0.3">
      <c r="N46" s="222"/>
    </row>
    <row r="47" spans="1:18" s="4" customFormat="1" x14ac:dyDescent="0.3">
      <c r="N47" s="99"/>
      <c r="P47" s="196"/>
      <c r="Q47" s="155"/>
      <c r="R47" s="1"/>
    </row>
    <row r="48" spans="1:18" s="4" customFormat="1" x14ac:dyDescent="0.3">
      <c r="N48" s="99"/>
      <c r="P48" s="196"/>
      <c r="Q48" s="155"/>
      <c r="R48" s="1"/>
    </row>
    <row r="49" spans="14:18" s="4" customFormat="1" x14ac:dyDescent="0.3">
      <c r="N49" s="99"/>
      <c r="P49" s="196"/>
      <c r="Q49" s="155"/>
      <c r="R49" s="1"/>
    </row>
    <row r="50" spans="14:18" s="4" customFormat="1" x14ac:dyDescent="0.3">
      <c r="N50" s="99"/>
      <c r="P50" s="196"/>
      <c r="Q50" s="155"/>
      <c r="R50" s="1"/>
    </row>
    <row r="51" spans="14:18" x14ac:dyDescent="0.3">
      <c r="N51" s="99"/>
    </row>
    <row r="52" spans="14:18" x14ac:dyDescent="0.3">
      <c r="N52" s="223"/>
    </row>
  </sheetData>
  <mergeCells count="1">
    <mergeCell ref="H1:J1"/>
  </mergeCells>
  <pageMargins left="0.7" right="0.7" top="0.75" bottom="0.75" header="0.3" footer="0.3"/>
  <pageSetup paperSize="9" scale="59" orientation="landscape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20FDF-9AAA-4576-A6F1-04B42E769452}">
  <sheetPr>
    <tabColor theme="5" tint="-0.249977111117893"/>
    <pageSetUpPr fitToPage="1"/>
  </sheetPr>
  <dimension ref="A1:R52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customWidth="1"/>
    <col min="9" max="13" width="16.44140625" style="1" customWidth="1"/>
    <col min="14" max="15" width="18.5546875" style="1" customWidth="1"/>
    <col min="16" max="16" width="27" style="196" customWidth="1"/>
    <col min="17" max="17" width="12" style="155" customWidth="1"/>
    <col min="18" max="16384" width="9.109375" style="1"/>
  </cols>
  <sheetData>
    <row r="1" spans="1:17" ht="31.8" thickBot="1" x14ac:dyDescent="0.65">
      <c r="A1" s="211" t="s">
        <v>486</v>
      </c>
      <c r="C1" s="224"/>
      <c r="D1" s="224"/>
      <c r="H1" s="295" t="s">
        <v>487</v>
      </c>
      <c r="I1" s="295"/>
      <c r="J1" s="295"/>
    </row>
    <row r="2" spans="1:17" ht="16.2" thickBot="1" x14ac:dyDescent="0.35"/>
    <row r="3" spans="1:17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227">
        <v>2019</v>
      </c>
      <c r="N3" s="253" t="s">
        <v>809</v>
      </c>
      <c r="O3" s="240" t="s">
        <v>2490</v>
      </c>
      <c r="P3" s="156"/>
      <c r="Q3" s="156"/>
    </row>
    <row r="4" spans="1:17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110">
        <v>43543</v>
      </c>
      <c r="N4" s="110">
        <v>43830</v>
      </c>
      <c r="O4" s="209"/>
      <c r="P4" s="156"/>
      <c r="Q4" s="156"/>
    </row>
    <row r="5" spans="1:17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37"/>
      <c r="N5" s="111"/>
      <c r="O5" s="8"/>
      <c r="P5" s="155"/>
    </row>
    <row r="6" spans="1:17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9">
        <v>0</v>
      </c>
      <c r="N6" s="249">
        <v>160000</v>
      </c>
      <c r="O6" s="190">
        <v>160000</v>
      </c>
      <c r="P6" s="217" t="s">
        <v>2436</v>
      </c>
    </row>
    <row r="7" spans="1:17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9">
        <v>0</v>
      </c>
      <c r="N7" s="249">
        <v>150000</v>
      </c>
      <c r="O7" s="190">
        <v>150000</v>
      </c>
      <c r="P7" s="236" t="s">
        <v>2491</v>
      </c>
    </row>
    <row r="8" spans="1:17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9">
        <v>0</v>
      </c>
      <c r="N8" s="249">
        <v>80000</v>
      </c>
      <c r="O8" s="190">
        <v>80000</v>
      </c>
      <c r="P8" s="217" t="s">
        <v>2477</v>
      </c>
    </row>
    <row r="9" spans="1:17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9">
        <v>5080</v>
      </c>
      <c r="N9" s="249">
        <v>20000</v>
      </c>
      <c r="O9" s="190">
        <v>20000</v>
      </c>
      <c r="P9" s="217" t="s">
        <v>2476</v>
      </c>
    </row>
    <row r="10" spans="1:17" ht="31.8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9">
        <v>0</v>
      </c>
      <c r="N10" s="249">
        <v>70000</v>
      </c>
      <c r="O10" s="190">
        <v>70000</v>
      </c>
      <c r="P10" s="217" t="s">
        <v>2492</v>
      </c>
    </row>
    <row r="11" spans="1:17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9">
        <v>0</v>
      </c>
      <c r="N11" s="249">
        <v>90000</v>
      </c>
      <c r="O11" s="190">
        <v>90000</v>
      </c>
      <c r="P11" s="155"/>
    </row>
    <row r="12" spans="1:17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9">
        <v>0</v>
      </c>
      <c r="N12" s="249">
        <v>0</v>
      </c>
      <c r="O12" s="190">
        <v>0</v>
      </c>
      <c r="P12" s="155"/>
    </row>
    <row r="13" spans="1:17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9">
        <v>0</v>
      </c>
      <c r="N13" s="249">
        <v>0</v>
      </c>
      <c r="O13" s="190">
        <v>0</v>
      </c>
      <c r="P13" s="155"/>
    </row>
    <row r="14" spans="1:17" ht="21.6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9">
        <v>0</v>
      </c>
      <c r="N14" s="249">
        <v>25000</v>
      </c>
      <c r="O14" s="190">
        <v>25000</v>
      </c>
      <c r="P14" s="217" t="s">
        <v>2493</v>
      </c>
    </row>
    <row r="15" spans="1:17" x14ac:dyDescent="0.3">
      <c r="A15" s="7" t="s">
        <v>29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1">
        <f>SUM(M6:M14)</f>
        <v>5080</v>
      </c>
      <c r="N15" s="250">
        <f t="shared" ref="N15" si="2">SUM(N6:N14)</f>
        <v>595000</v>
      </c>
      <c r="O15" s="191">
        <f t="shared" ref="O15" si="3">SUM(O6:O14)</f>
        <v>595000</v>
      </c>
      <c r="P15" s="155"/>
    </row>
    <row r="16" spans="1:17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M16" s="111"/>
      <c r="N16" s="249"/>
      <c r="O16" s="190"/>
      <c r="P16" s="155"/>
    </row>
    <row r="17" spans="1:18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M17" s="112"/>
      <c r="N17" s="249"/>
      <c r="O17" s="190"/>
      <c r="P17" s="159"/>
      <c r="Q17" s="159"/>
    </row>
    <row r="18" spans="1:18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10">
        <v>-150140</v>
      </c>
      <c r="M18" s="9">
        <v>-4452</v>
      </c>
      <c r="N18" s="249">
        <v>-150000</v>
      </c>
      <c r="O18" s="190">
        <v>-150000</v>
      </c>
      <c r="P18" s="157" t="s">
        <v>2494</v>
      </c>
      <c r="Q18" s="197"/>
      <c r="R18" s="55"/>
    </row>
    <row r="19" spans="1:18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10">
        <v>-70226</v>
      </c>
      <c r="M19" s="9">
        <v>-15632</v>
      </c>
      <c r="N19" s="249">
        <v>-100000</v>
      </c>
      <c r="O19" s="190">
        <v>-100000</v>
      </c>
      <c r="P19" s="157" t="s">
        <v>2467</v>
      </c>
      <c r="Q19" s="197"/>
    </row>
    <row r="20" spans="1:18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9">
        <v>0</v>
      </c>
      <c r="N20" s="249">
        <v>-5000</v>
      </c>
      <c r="O20" s="190">
        <v>-5000</v>
      </c>
      <c r="P20" s="157"/>
      <c r="Q20" s="197"/>
    </row>
    <row r="21" spans="1:18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9">
        <v>0</v>
      </c>
      <c r="N21" s="249">
        <v>-40000</v>
      </c>
      <c r="O21" s="190">
        <v>-40000</v>
      </c>
      <c r="P21" s="155"/>
      <c r="Q21" s="197"/>
    </row>
    <row r="22" spans="1:18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9">
        <v>0</v>
      </c>
      <c r="N22" s="249">
        <v>-25000</v>
      </c>
      <c r="O22" s="190">
        <v>-25000</v>
      </c>
      <c r="P22" s="157" t="s">
        <v>2495</v>
      </c>
      <c r="Q22" s="197"/>
    </row>
    <row r="23" spans="1:18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9">
        <v>-375</v>
      </c>
      <c r="N23" s="249">
        <v>-80000</v>
      </c>
      <c r="O23" s="190">
        <v>-80000</v>
      </c>
      <c r="P23" s="157" t="s">
        <v>2465</v>
      </c>
      <c r="Q23" s="197"/>
    </row>
    <row r="24" spans="1:18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9">
        <v>0</v>
      </c>
      <c r="N24" s="249">
        <v>-3000</v>
      </c>
      <c r="O24" s="190">
        <v>-3000</v>
      </c>
      <c r="P24" s="155"/>
      <c r="Q24" s="197"/>
    </row>
    <row r="25" spans="1:18" ht="24.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9">
        <v>-1800</v>
      </c>
      <c r="N25" s="249">
        <v>-25000</v>
      </c>
      <c r="O25" s="190">
        <v>-25000</v>
      </c>
      <c r="P25" s="157" t="s">
        <v>2465</v>
      </c>
      <c r="Q25" s="197"/>
    </row>
    <row r="26" spans="1:18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9">
        <v>-1300</v>
      </c>
      <c r="N26" s="249">
        <v>-30000</v>
      </c>
      <c r="O26" s="190">
        <v>-30000</v>
      </c>
      <c r="P26" s="157" t="s">
        <v>2496</v>
      </c>
      <c r="Q26" s="197"/>
    </row>
    <row r="27" spans="1:18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9">
        <v>-400</v>
      </c>
      <c r="N27" s="249">
        <v>-20000</v>
      </c>
      <c r="O27" s="190">
        <v>-20000</v>
      </c>
      <c r="P27" s="157" t="s">
        <v>2497</v>
      </c>
      <c r="Q27" s="197"/>
    </row>
    <row r="28" spans="1:18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9">
        <v>0</v>
      </c>
      <c r="N28" s="249">
        <v>-30000</v>
      </c>
      <c r="O28" s="190">
        <v>-30000</v>
      </c>
      <c r="P28" s="157" t="s">
        <v>2498</v>
      </c>
      <c r="Q28" s="197"/>
    </row>
    <row r="29" spans="1:18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9">
        <v>0</v>
      </c>
      <c r="N29" s="249">
        <v>-15000</v>
      </c>
      <c r="O29" s="190">
        <v>-15000</v>
      </c>
      <c r="P29" s="157" t="s">
        <v>2498</v>
      </c>
    </row>
    <row r="30" spans="1:18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9">
        <v>-500</v>
      </c>
      <c r="N30" s="249">
        <v>-1000</v>
      </c>
      <c r="O30" s="190">
        <v>-1000</v>
      </c>
      <c r="P30" s="157"/>
    </row>
    <row r="31" spans="1:18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9">
        <v>0</v>
      </c>
      <c r="N31" s="249">
        <v>-90000</v>
      </c>
      <c r="O31" s="190">
        <v>-90000</v>
      </c>
      <c r="P31" s="155"/>
      <c r="Q31" s="197"/>
    </row>
    <row r="32" spans="1:18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9">
        <v>0</v>
      </c>
      <c r="N32" s="249">
        <v>0</v>
      </c>
      <c r="O32" s="190">
        <v>0</v>
      </c>
      <c r="P32" s="155"/>
      <c r="Q32" s="197"/>
    </row>
    <row r="33" spans="1:18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9">
        <f>-6416-763</f>
        <v>-7179</v>
      </c>
      <c r="N33" s="249">
        <v>-10000</v>
      </c>
      <c r="O33" s="190">
        <v>-5000</v>
      </c>
      <c r="P33" s="158" t="s">
        <v>2499</v>
      </c>
      <c r="Q33" s="197"/>
    </row>
    <row r="34" spans="1:18" x14ac:dyDescent="0.3">
      <c r="A34" s="7" t="s">
        <v>47</v>
      </c>
      <c r="B34" s="39">
        <f>SUM(B18:B33)</f>
        <v>-218877</v>
      </c>
      <c r="C34" s="39">
        <f t="shared" ref="C34:N34" si="4">SUM(C18:C33)</f>
        <v>-258934</v>
      </c>
      <c r="D34" s="39">
        <f t="shared" si="4"/>
        <v>-187844</v>
      </c>
      <c r="E34" s="39">
        <f t="shared" si="4"/>
        <v>-247088.42</v>
      </c>
      <c r="F34" s="39">
        <f t="shared" si="4"/>
        <v>-325572.77</v>
      </c>
      <c r="G34" s="39">
        <f t="shared" si="4"/>
        <v>-457445</v>
      </c>
      <c r="H34" s="39">
        <f t="shared" si="4"/>
        <v>-467066</v>
      </c>
      <c r="I34" s="39">
        <f t="shared" si="4"/>
        <v>-618159</v>
      </c>
      <c r="J34" s="39">
        <f t="shared" si="4"/>
        <v>-584733</v>
      </c>
      <c r="K34" s="12">
        <f t="shared" si="4"/>
        <v>-734998</v>
      </c>
      <c r="L34" s="12">
        <f t="shared" ref="L34" si="5">SUM(L18:L33)</f>
        <v>-594086</v>
      </c>
      <c r="M34" s="11">
        <f t="shared" si="4"/>
        <v>-31638</v>
      </c>
      <c r="N34" s="250">
        <f t="shared" si="4"/>
        <v>-624000</v>
      </c>
      <c r="O34" s="191">
        <f>SUM(O18:O33)</f>
        <v>-619000</v>
      </c>
      <c r="P34" s="205"/>
      <c r="Q34" s="206"/>
    </row>
    <row r="35" spans="1:18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113"/>
      <c r="N35" s="250"/>
      <c r="O35" s="191"/>
      <c r="P35" s="158"/>
      <c r="Q35" s="207"/>
    </row>
    <row r="36" spans="1:18" s="13" customFormat="1" ht="38.25" customHeight="1" x14ac:dyDescent="0.3">
      <c r="A36" s="7" t="s">
        <v>48</v>
      </c>
      <c r="B36" s="39">
        <f t="shared" ref="B36:K36" si="6">+B34+B15</f>
        <v>-24674</v>
      </c>
      <c r="C36" s="39">
        <f t="shared" si="6"/>
        <v>86791</v>
      </c>
      <c r="D36" s="39">
        <f t="shared" si="6"/>
        <v>32713</v>
      </c>
      <c r="E36" s="39">
        <f t="shared" si="6"/>
        <v>-5009.1400000000431</v>
      </c>
      <c r="F36" s="39">
        <f t="shared" si="6"/>
        <v>-25959.489999999991</v>
      </c>
      <c r="G36" s="39">
        <f t="shared" si="6"/>
        <v>-167525</v>
      </c>
      <c r="H36" s="39">
        <f t="shared" si="6"/>
        <v>13685</v>
      </c>
      <c r="I36" s="12">
        <f t="shared" si="6"/>
        <v>10177</v>
      </c>
      <c r="J36" s="12">
        <f>+J34+J15</f>
        <v>36557</v>
      </c>
      <c r="K36" s="12">
        <f t="shared" si="6"/>
        <v>-84874</v>
      </c>
      <c r="L36" s="12">
        <f>+L34+L15</f>
        <v>8025</v>
      </c>
      <c r="M36" s="11">
        <f>+M34+M15</f>
        <v>-26558</v>
      </c>
      <c r="N36" s="250">
        <f>N15+N34</f>
        <v>-29000</v>
      </c>
      <c r="O36" s="191">
        <f>O15+O34</f>
        <v>-24000</v>
      </c>
      <c r="P36" s="158"/>
      <c r="Q36" s="207"/>
    </row>
    <row r="37" spans="1:18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1"/>
      <c r="N37" s="250"/>
      <c r="O37" s="191"/>
      <c r="P37" s="158"/>
      <c r="Q37" s="207"/>
    </row>
    <row r="38" spans="1:18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1">
        <v>0</v>
      </c>
      <c r="N38" s="250">
        <v>0</v>
      </c>
      <c r="O38" s="191">
        <v>0</v>
      </c>
      <c r="P38" s="155"/>
      <c r="Q38" s="206"/>
    </row>
    <row r="39" spans="1:18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245"/>
      <c r="M39" s="11"/>
      <c r="N39" s="251"/>
      <c r="O39" s="210"/>
      <c r="P39" s="205"/>
      <c r="Q39" s="206"/>
    </row>
    <row r="40" spans="1:18" s="13" customFormat="1" ht="16.2" thickBot="1" x14ac:dyDescent="0.35">
      <c r="A40" s="7" t="s">
        <v>88</v>
      </c>
      <c r="B40" s="39">
        <f t="shared" ref="B40:K40" si="7">+B38+B36</f>
        <v>-34674</v>
      </c>
      <c r="C40" s="39">
        <f t="shared" si="7"/>
        <v>76791</v>
      </c>
      <c r="D40" s="39">
        <f t="shared" si="7"/>
        <v>22713</v>
      </c>
      <c r="E40" s="39">
        <f t="shared" si="7"/>
        <v>-15009.140000000043</v>
      </c>
      <c r="F40" s="39">
        <f t="shared" si="7"/>
        <v>-35959.489999999991</v>
      </c>
      <c r="G40" s="39">
        <f t="shared" si="7"/>
        <v>-181974</v>
      </c>
      <c r="H40" s="39">
        <f t="shared" si="7"/>
        <v>13685</v>
      </c>
      <c r="I40" s="12">
        <f t="shared" si="7"/>
        <v>10177</v>
      </c>
      <c r="J40" s="12">
        <f>+J38+J36</f>
        <v>36557</v>
      </c>
      <c r="K40" s="12">
        <f t="shared" si="7"/>
        <v>-84874</v>
      </c>
      <c r="L40" s="12">
        <f>+L38+L36</f>
        <v>8025</v>
      </c>
      <c r="M40" s="154">
        <f>+M38+M36</f>
        <v>-26558</v>
      </c>
      <c r="N40" s="252">
        <f>+N38+N36</f>
        <v>-29000</v>
      </c>
      <c r="O40" s="192">
        <f>+O38+O36</f>
        <v>-24000</v>
      </c>
      <c r="P40" s="155"/>
      <c r="Q40" s="208"/>
    </row>
    <row r="41" spans="1:18" s="13" customFormat="1" x14ac:dyDescent="0.3">
      <c r="A41" s="4"/>
      <c r="B41" s="4"/>
      <c r="C41" s="4"/>
      <c r="D41" s="4"/>
      <c r="E41" s="4"/>
      <c r="F41" s="4"/>
      <c r="G41" s="4"/>
      <c r="H41" s="4"/>
      <c r="N41" s="58"/>
      <c r="O41" s="58"/>
      <c r="P41" s="196"/>
      <c r="Q41" s="155"/>
    </row>
    <row r="42" spans="1:18" x14ac:dyDescent="0.3">
      <c r="N42" s="55"/>
      <c r="P42" s="155"/>
    </row>
    <row r="43" spans="1:18" x14ac:dyDescent="0.3">
      <c r="N43" s="99"/>
    </row>
    <row r="44" spans="1:18" x14ac:dyDescent="0.3">
      <c r="N44" s="222"/>
    </row>
    <row r="45" spans="1:18" x14ac:dyDescent="0.3">
      <c r="N45" s="207"/>
    </row>
    <row r="46" spans="1:18" x14ac:dyDescent="0.3">
      <c r="N46" s="222"/>
    </row>
    <row r="47" spans="1:18" s="4" customFormat="1" x14ac:dyDescent="0.3">
      <c r="N47" s="99"/>
      <c r="P47" s="196"/>
      <c r="Q47" s="155"/>
      <c r="R47" s="1"/>
    </row>
    <row r="48" spans="1:18" s="4" customFormat="1" x14ac:dyDescent="0.3">
      <c r="N48" s="99"/>
      <c r="P48" s="196"/>
      <c r="Q48" s="155"/>
      <c r="R48" s="1"/>
    </row>
    <row r="49" spans="14:18" s="4" customFormat="1" x14ac:dyDescent="0.3">
      <c r="N49" s="99"/>
      <c r="P49" s="196"/>
      <c r="Q49" s="155"/>
      <c r="R49" s="1"/>
    </row>
    <row r="50" spans="14:18" s="4" customFormat="1" x14ac:dyDescent="0.3">
      <c r="N50" s="99"/>
      <c r="P50" s="196"/>
      <c r="Q50" s="155"/>
      <c r="R50" s="1"/>
    </row>
    <row r="51" spans="14:18" x14ac:dyDescent="0.3">
      <c r="N51" s="99"/>
    </row>
    <row r="52" spans="14:18" x14ac:dyDescent="0.3">
      <c r="N52" s="223"/>
    </row>
  </sheetData>
  <mergeCells count="1">
    <mergeCell ref="H1:J1"/>
  </mergeCells>
  <pageMargins left="0.7" right="0.7" top="0.75" bottom="0.75" header="0.3" footer="0.3"/>
  <pageSetup paperSize="9" scale="59" orientation="landscape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90B9A-6850-4F20-9648-F39F3A60FCD2}">
  <sheetPr>
    <tabColor theme="5" tint="-0.249977111117893"/>
    <pageSetUpPr fitToPage="1"/>
  </sheetPr>
  <dimension ref="A1:P50"/>
  <sheetViews>
    <sheetView zoomScale="90" zoomScaleNormal="90" workbookViewId="0">
      <pane xSplit="1" ySplit="3" topLeftCell="G9" activePane="bottomRight" state="frozen"/>
      <selection pane="topRight" activeCell="B1" sqref="B1"/>
      <selection pane="bottomLeft" activeCell="A4" sqref="A4"/>
      <selection pane="bottomRight" activeCell="M1" sqref="M1:M1048576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customWidth="1"/>
    <col min="8" max="8" width="14.33203125" style="4" customWidth="1"/>
    <col min="9" max="12" width="16.44140625" style="1" customWidth="1"/>
    <col min="13" max="13" width="18.5546875" style="1" customWidth="1"/>
    <col min="14" max="14" width="27" style="196" customWidth="1"/>
    <col min="15" max="15" width="12" style="155" customWidth="1"/>
    <col min="16" max="16384" width="9.109375" style="1"/>
  </cols>
  <sheetData>
    <row r="1" spans="1:15" ht="31.8" thickBot="1" x14ac:dyDescent="0.65">
      <c r="A1" s="211" t="s">
        <v>486</v>
      </c>
      <c r="B1" s="254"/>
      <c r="C1" s="255"/>
      <c r="D1" s="255"/>
      <c r="E1" s="291" t="s">
        <v>487</v>
      </c>
      <c r="F1" s="291"/>
      <c r="G1" s="291"/>
      <c r="H1" s="291"/>
      <c r="I1" s="292"/>
    </row>
    <row r="2" spans="1:15" ht="16.2" thickBot="1" x14ac:dyDescent="0.35"/>
    <row r="3" spans="1:15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241">
        <v>2017</v>
      </c>
      <c r="L3" s="241">
        <v>2018</v>
      </c>
      <c r="M3" s="240" t="s">
        <v>2490</v>
      </c>
      <c r="N3" s="156"/>
      <c r="O3" s="156"/>
    </row>
    <row r="4" spans="1:15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242"/>
      <c r="L4" s="110"/>
      <c r="M4" s="209"/>
      <c r="N4" s="156"/>
      <c r="O4" s="156"/>
    </row>
    <row r="5" spans="1:15" ht="16.2" thickBot="1" x14ac:dyDescent="0.35">
      <c r="A5" s="32" t="s">
        <v>19</v>
      </c>
      <c r="B5" s="10"/>
      <c r="C5" s="7"/>
      <c r="D5" s="7"/>
      <c r="I5" s="4"/>
      <c r="J5" s="4"/>
      <c r="K5" s="243"/>
      <c r="L5" s="237"/>
      <c r="M5" s="8"/>
      <c r="N5" s="155"/>
    </row>
    <row r="6" spans="1:15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38">
        <v>183801</v>
      </c>
      <c r="L6" s="9">
        <v>157419</v>
      </c>
      <c r="M6" s="190">
        <v>160000</v>
      </c>
      <c r="N6" s="217"/>
    </row>
    <row r="7" spans="1:15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38">
        <v>131700</v>
      </c>
      <c r="L7" s="9">
        <v>136075</v>
      </c>
      <c r="M7" s="190">
        <v>150000</v>
      </c>
      <c r="N7" s="236"/>
    </row>
    <row r="8" spans="1:15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38">
        <v>96525</v>
      </c>
      <c r="L8" s="9">
        <v>71440</v>
      </c>
      <c r="M8" s="190">
        <v>80000</v>
      </c>
      <c r="N8" s="155"/>
    </row>
    <row r="9" spans="1:15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38">
        <v>13700</v>
      </c>
      <c r="L9" s="9">
        <v>18200</v>
      </c>
      <c r="M9" s="190">
        <v>20000</v>
      </c>
      <c r="N9" s="217"/>
    </row>
    <row r="10" spans="1:15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38">
        <v>104297</v>
      </c>
      <c r="L10" s="9">
        <v>93420</v>
      </c>
      <c r="M10" s="190">
        <v>70000</v>
      </c>
      <c r="N10" s="217"/>
    </row>
    <row r="11" spans="1:15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38">
        <v>85200</v>
      </c>
      <c r="L11" s="9">
        <v>69517</v>
      </c>
      <c r="M11" s="190">
        <v>90000</v>
      </c>
      <c r="N11" s="155"/>
    </row>
    <row r="12" spans="1:15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38">
        <v>5455</v>
      </c>
      <c r="L12" s="9">
        <v>0</v>
      </c>
      <c r="M12" s="190">
        <v>0</v>
      </c>
      <c r="N12" s="155"/>
    </row>
    <row r="13" spans="1:15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38">
        <v>0</v>
      </c>
      <c r="L13" s="9">
        <v>0</v>
      </c>
      <c r="M13" s="190">
        <v>0</v>
      </c>
      <c r="N13" s="155"/>
    </row>
    <row r="14" spans="1:15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38">
        <v>29446</v>
      </c>
      <c r="L14" s="9">
        <v>56040</v>
      </c>
      <c r="M14" s="190">
        <v>25000</v>
      </c>
      <c r="N14" s="217"/>
    </row>
    <row r="15" spans="1:15" x14ac:dyDescent="0.3">
      <c r="A15" s="7" t="s">
        <v>29</v>
      </c>
      <c r="B15" s="39">
        <f t="shared" ref="B15:M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si="0"/>
        <v>621290</v>
      </c>
      <c r="K15" s="39">
        <f t="shared" si="0"/>
        <v>650124</v>
      </c>
      <c r="L15" s="11">
        <f>SUM(L6:L14)</f>
        <v>602111</v>
      </c>
      <c r="M15" s="191">
        <f t="shared" si="0"/>
        <v>595000</v>
      </c>
      <c r="N15" s="155"/>
    </row>
    <row r="16" spans="1:15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K16" s="40"/>
      <c r="L16" s="111"/>
      <c r="M16" s="190"/>
      <c r="N16" s="155"/>
    </row>
    <row r="17" spans="1:16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K17" s="41"/>
      <c r="L17" s="112"/>
      <c r="M17" s="190"/>
      <c r="N17" s="159"/>
      <c r="O17" s="159"/>
    </row>
    <row r="18" spans="1:16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38">
        <v>-134562</v>
      </c>
      <c r="L18" s="9">
        <v>-150140</v>
      </c>
      <c r="M18" s="190">
        <v>-150000</v>
      </c>
      <c r="N18" s="155"/>
      <c r="O18" s="197"/>
      <c r="P18" s="55"/>
    </row>
    <row r="19" spans="1:1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38">
        <v>-201761</v>
      </c>
      <c r="L19" s="9">
        <v>-70226</v>
      </c>
      <c r="M19" s="190">
        <v>-100000</v>
      </c>
      <c r="N19" s="157"/>
      <c r="O19" s="197"/>
    </row>
    <row r="20" spans="1:16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38">
        <v>-17887</v>
      </c>
      <c r="L20" s="9">
        <v>-4522</v>
      </c>
      <c r="M20" s="190">
        <v>-5000</v>
      </c>
      <c r="N20" s="157"/>
      <c r="O20" s="197"/>
    </row>
    <row r="21" spans="1:16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38">
        <v>-38345</v>
      </c>
      <c r="L21" s="9">
        <v>-52120</v>
      </c>
      <c r="M21" s="190">
        <v>-40000</v>
      </c>
      <c r="N21" s="155"/>
      <c r="O21" s="197"/>
    </row>
    <row r="22" spans="1:16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38">
        <v>-40515</v>
      </c>
      <c r="L22" s="9">
        <v>-23150</v>
      </c>
      <c r="M22" s="190">
        <v>-25000</v>
      </c>
      <c r="N22" s="155"/>
      <c r="O22" s="197"/>
    </row>
    <row r="23" spans="1:1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38">
        <v>-76389</v>
      </c>
      <c r="L23" s="9">
        <v>-81515</v>
      </c>
      <c r="M23" s="190">
        <v>-80000</v>
      </c>
      <c r="N23" s="157"/>
      <c r="O23" s="197"/>
    </row>
    <row r="24" spans="1:16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38">
        <v>-2500</v>
      </c>
      <c r="L24" s="9">
        <v>-3050</v>
      </c>
      <c r="M24" s="190">
        <v>-3000</v>
      </c>
      <c r="N24" s="155"/>
      <c r="O24" s="197"/>
    </row>
    <row r="25" spans="1:1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38">
        <v>-23700</v>
      </c>
      <c r="L25" s="9">
        <v>-23490</v>
      </c>
      <c r="M25" s="190">
        <v>-25000</v>
      </c>
      <c r="N25" s="157"/>
      <c r="O25" s="197"/>
    </row>
    <row r="26" spans="1:1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38">
        <v>-30550</v>
      </c>
      <c r="L26" s="9">
        <v>-32750</v>
      </c>
      <c r="M26" s="190">
        <v>-30000</v>
      </c>
      <c r="N26" s="157"/>
      <c r="O26" s="197"/>
    </row>
    <row r="27" spans="1:16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38">
        <v>-14710</v>
      </c>
      <c r="L27" s="9">
        <v>-18980</v>
      </c>
      <c r="M27" s="190">
        <v>-20000</v>
      </c>
      <c r="N27" s="155"/>
      <c r="O27" s="197"/>
    </row>
    <row r="28" spans="1:16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38">
        <v>-39400</v>
      </c>
      <c r="L28" s="9">
        <v>-28600</v>
      </c>
      <c r="M28" s="190">
        <v>-30000</v>
      </c>
      <c r="N28" s="157"/>
      <c r="O28" s="197"/>
    </row>
    <row r="29" spans="1:16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38">
        <v>-10000</v>
      </c>
      <c r="L29" s="9">
        <v>-14500</v>
      </c>
      <c r="M29" s="190">
        <v>-15000</v>
      </c>
      <c r="N29" s="157"/>
    </row>
    <row r="30" spans="1:16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38">
        <v>-3000</v>
      </c>
      <c r="L30" s="9">
        <v>-500</v>
      </c>
      <c r="M30" s="190">
        <v>-1000</v>
      </c>
      <c r="N30" s="157"/>
    </row>
    <row r="31" spans="1:16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38">
        <v>-90569</v>
      </c>
      <c r="L31" s="9">
        <v>-87302</v>
      </c>
      <c r="M31" s="190">
        <v>-90000</v>
      </c>
      <c r="N31" s="155"/>
      <c r="O31" s="197"/>
    </row>
    <row r="32" spans="1:16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38">
        <v>0</v>
      </c>
      <c r="L32" s="9">
        <v>0</v>
      </c>
      <c r="M32" s="190">
        <v>0</v>
      </c>
      <c r="N32" s="155"/>
      <c r="O32" s="197"/>
    </row>
    <row r="33" spans="1:16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38">
        <v>-11110</v>
      </c>
      <c r="L33" s="9">
        <f>-1688+-1553</f>
        <v>-3241</v>
      </c>
      <c r="M33" s="190">
        <v>-5000</v>
      </c>
      <c r="N33" s="155"/>
      <c r="O33" s="197"/>
    </row>
    <row r="34" spans="1:16" x14ac:dyDescent="0.3">
      <c r="A34" s="7" t="s">
        <v>47</v>
      </c>
      <c r="B34" s="39">
        <f>SUM(B18:B33)</f>
        <v>-218877</v>
      </c>
      <c r="C34" s="39">
        <f t="shared" ref="C34:H34" si="1">SUM(C18:C33)</f>
        <v>-258934</v>
      </c>
      <c r="D34" s="39">
        <f t="shared" si="1"/>
        <v>-187844</v>
      </c>
      <c r="E34" s="39">
        <f t="shared" si="1"/>
        <v>-247088.42</v>
      </c>
      <c r="F34" s="39">
        <f t="shared" si="1"/>
        <v>-325572.77</v>
      </c>
      <c r="G34" s="39">
        <f t="shared" si="1"/>
        <v>-457445</v>
      </c>
      <c r="H34" s="39">
        <f t="shared" si="1"/>
        <v>-467066</v>
      </c>
      <c r="I34" s="39">
        <f>SUM(I18:I33)</f>
        <v>-618159</v>
      </c>
      <c r="J34" s="39">
        <f>SUM(J18:J33)</f>
        <v>-584733</v>
      </c>
      <c r="K34" s="39">
        <f>SUM(K18:K33)</f>
        <v>-734998</v>
      </c>
      <c r="L34" s="11">
        <f t="shared" ref="L34" si="2">SUM(L18:L33)</f>
        <v>-594086</v>
      </c>
      <c r="M34" s="191">
        <f>SUM(M18:M33)</f>
        <v>-619000</v>
      </c>
      <c r="N34" s="205"/>
      <c r="O34" s="206"/>
    </row>
    <row r="35" spans="1:16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113"/>
      <c r="M35" s="191"/>
      <c r="N35" s="158"/>
      <c r="O35" s="207"/>
    </row>
    <row r="36" spans="1:16" s="13" customFormat="1" x14ac:dyDescent="0.3">
      <c r="A36" s="7" t="s">
        <v>48</v>
      </c>
      <c r="B36" s="39">
        <f t="shared" ref="B36:K36" si="3">+B34+B15</f>
        <v>-24674</v>
      </c>
      <c r="C36" s="39">
        <f t="shared" si="3"/>
        <v>86791</v>
      </c>
      <c r="D36" s="39">
        <f t="shared" si="3"/>
        <v>32713</v>
      </c>
      <c r="E36" s="39">
        <f t="shared" si="3"/>
        <v>-5009.1400000000431</v>
      </c>
      <c r="F36" s="39">
        <f t="shared" si="3"/>
        <v>-25959.489999999991</v>
      </c>
      <c r="G36" s="39">
        <f t="shared" si="3"/>
        <v>-167525</v>
      </c>
      <c r="H36" s="39">
        <f t="shared" si="3"/>
        <v>13685</v>
      </c>
      <c r="I36" s="12">
        <f t="shared" si="3"/>
        <v>10177</v>
      </c>
      <c r="J36" s="12">
        <f t="shared" si="3"/>
        <v>36557</v>
      </c>
      <c r="K36" s="12">
        <f t="shared" si="3"/>
        <v>-84874</v>
      </c>
      <c r="L36" s="11">
        <f>+L34+L15</f>
        <v>8025</v>
      </c>
      <c r="M36" s="191">
        <f>M15+M34</f>
        <v>-24000</v>
      </c>
      <c r="N36" s="158"/>
      <c r="O36" s="207"/>
    </row>
    <row r="37" spans="1:16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1"/>
      <c r="M37" s="191"/>
      <c r="N37" s="158"/>
      <c r="O37" s="207"/>
    </row>
    <row r="38" spans="1:16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1">
        <v>0</v>
      </c>
      <c r="M38" s="191">
        <v>0</v>
      </c>
      <c r="N38" s="155"/>
      <c r="O38" s="206"/>
    </row>
    <row r="39" spans="1:16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1"/>
      <c r="M39" s="210"/>
      <c r="N39" s="205"/>
      <c r="O39" s="206"/>
    </row>
    <row r="40" spans="1:16" s="13" customFormat="1" ht="16.2" thickBot="1" x14ac:dyDescent="0.35">
      <c r="A40" s="7" t="s">
        <v>88</v>
      </c>
      <c r="B40" s="39">
        <f t="shared" ref="B40:K40" si="4">+B38+B36</f>
        <v>-34674</v>
      </c>
      <c r="C40" s="39">
        <f t="shared" si="4"/>
        <v>76791</v>
      </c>
      <c r="D40" s="39">
        <f t="shared" si="4"/>
        <v>22713</v>
      </c>
      <c r="E40" s="39">
        <f t="shared" si="4"/>
        <v>-15009.140000000043</v>
      </c>
      <c r="F40" s="248">
        <f t="shared" si="4"/>
        <v>-35959.489999999991</v>
      </c>
      <c r="G40" s="248">
        <f t="shared" si="4"/>
        <v>-181974</v>
      </c>
      <c r="H40" s="248">
        <f t="shared" si="4"/>
        <v>13685</v>
      </c>
      <c r="I40" s="154">
        <f t="shared" si="4"/>
        <v>10177</v>
      </c>
      <c r="J40" s="154">
        <f t="shared" si="4"/>
        <v>36557</v>
      </c>
      <c r="K40" s="154">
        <f t="shared" si="4"/>
        <v>-84874</v>
      </c>
      <c r="L40" s="154">
        <f>+L38+L36</f>
        <v>8025</v>
      </c>
      <c r="M40" s="192">
        <f>+M38+M36</f>
        <v>-24000</v>
      </c>
      <c r="N40" s="155"/>
      <c r="O40" s="208"/>
    </row>
    <row r="41" spans="1:16" s="13" customFormat="1" x14ac:dyDescent="0.3">
      <c r="A41" s="4"/>
      <c r="B41" s="4"/>
      <c r="C41" s="4"/>
      <c r="D41" s="4"/>
      <c r="E41" s="4"/>
      <c r="F41" s="4"/>
      <c r="G41" s="4"/>
      <c r="H41" s="4"/>
      <c r="M41" s="58"/>
      <c r="N41" s="196"/>
      <c r="O41" s="155"/>
    </row>
    <row r="47" spans="1:16" s="4" customFormat="1" x14ac:dyDescent="0.3">
      <c r="N47" s="196"/>
      <c r="O47" s="155"/>
      <c r="P47" s="1"/>
    </row>
    <row r="48" spans="1:16" s="4" customFormat="1" x14ac:dyDescent="0.3">
      <c r="N48" s="196"/>
      <c r="O48" s="155"/>
      <c r="P48" s="1"/>
    </row>
    <row r="49" spans="14:16" s="4" customFormat="1" x14ac:dyDescent="0.3">
      <c r="N49" s="196"/>
      <c r="O49" s="155"/>
      <c r="P49" s="1"/>
    </row>
    <row r="50" spans="14:16" s="4" customFormat="1" x14ac:dyDescent="0.3">
      <c r="N50" s="196"/>
      <c r="O50" s="155"/>
      <c r="P50" s="1"/>
    </row>
  </sheetData>
  <mergeCells count="1">
    <mergeCell ref="E1:I1"/>
  </mergeCells>
  <pageMargins left="0.7" right="0.7" top="0.75" bottom="0.75" header="0.3" footer="0.3"/>
  <pageSetup paperSize="9" scale="72" orientation="landscape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1D438-F8CE-44C0-A6B9-FB1269700FF4}">
  <sheetPr>
    <tabColor theme="9" tint="-0.499984740745262"/>
    <pageSetUpPr fitToPage="1"/>
  </sheetPr>
  <dimension ref="A1:G35"/>
  <sheetViews>
    <sheetView workbookViewId="0"/>
  </sheetViews>
  <sheetFormatPr defaultColWidth="9.109375" defaultRowHeight="14.4" x14ac:dyDescent="0.3"/>
  <cols>
    <col min="1" max="1" width="9.109375" style="1"/>
    <col min="2" max="2" width="39.6640625" style="1" customWidth="1"/>
    <col min="3" max="5" width="13.6640625" style="1" customWidth="1"/>
    <col min="6" max="16384" width="9.109375" style="1"/>
  </cols>
  <sheetData>
    <row r="1" spans="1:7" ht="34.200000000000003" thickBot="1" x14ac:dyDescent="0.7">
      <c r="A1" s="193" t="s">
        <v>2489</v>
      </c>
      <c r="B1" s="194"/>
      <c r="C1" s="195"/>
      <c r="D1" s="195"/>
      <c r="E1" s="194"/>
    </row>
    <row r="2" spans="1:7" ht="18.75" customHeight="1" thickBot="1" x14ac:dyDescent="0.7">
      <c r="A2" s="135"/>
      <c r="B2" s="130"/>
      <c r="E2" s="136"/>
    </row>
    <row r="3" spans="1:7" ht="15" thickBot="1" x14ac:dyDescent="0.35">
      <c r="A3" s="124"/>
      <c r="C3" s="102" t="s">
        <v>0</v>
      </c>
      <c r="D3" s="102" t="s">
        <v>904</v>
      </c>
      <c r="E3" s="102" t="s">
        <v>2</v>
      </c>
    </row>
    <row r="4" spans="1:7" ht="15" thickBot="1" x14ac:dyDescent="0.35">
      <c r="A4" s="147" t="s">
        <v>905</v>
      </c>
      <c r="C4" s="103">
        <v>43101</v>
      </c>
      <c r="D4" s="104"/>
      <c r="E4" s="103">
        <v>43465</v>
      </c>
    </row>
    <row r="5" spans="1:7" x14ac:dyDescent="0.3">
      <c r="A5" s="124"/>
      <c r="E5" s="136"/>
    </row>
    <row r="6" spans="1:7" ht="15.6" x14ac:dyDescent="0.3">
      <c r="A6" s="146" t="s">
        <v>906</v>
      </c>
      <c r="E6" s="136"/>
    </row>
    <row r="7" spans="1:7" ht="15" thickBot="1" x14ac:dyDescent="0.35">
      <c r="A7" s="124"/>
      <c r="B7" s="1" t="s">
        <v>5</v>
      </c>
      <c r="C7" s="105">
        <v>0</v>
      </c>
      <c r="D7" s="105">
        <v>0</v>
      </c>
      <c r="E7" s="140">
        <v>0</v>
      </c>
    </row>
    <row r="8" spans="1:7" x14ac:dyDescent="0.3">
      <c r="A8" s="137" t="s">
        <v>907</v>
      </c>
      <c r="C8" s="106">
        <f>SUM(C7:C7)</f>
        <v>0</v>
      </c>
      <c r="D8" s="106">
        <f>SUM(D7:D7)</f>
        <v>0</v>
      </c>
      <c r="E8" s="141">
        <f>SUM(E7:E7)</f>
        <v>0</v>
      </c>
    </row>
    <row r="9" spans="1:7" x14ac:dyDescent="0.3">
      <c r="A9" s="124"/>
      <c r="C9" s="138"/>
      <c r="D9" s="138"/>
      <c r="E9" s="139"/>
    </row>
    <row r="10" spans="1:7" ht="15.6" x14ac:dyDescent="0.3">
      <c r="A10" s="146" t="s">
        <v>9</v>
      </c>
      <c r="C10" s="138"/>
      <c r="D10" s="138"/>
      <c r="E10" s="139"/>
    </row>
    <row r="11" spans="1:7" x14ac:dyDescent="0.3">
      <c r="A11" s="124"/>
      <c r="B11" s="55" t="s">
        <v>10</v>
      </c>
      <c r="C11" s="138">
        <v>0</v>
      </c>
      <c r="D11" s="138">
        <f>+E11-C11</f>
        <v>0</v>
      </c>
      <c r="E11" s="139">
        <v>0</v>
      </c>
    </row>
    <row r="12" spans="1:7" x14ac:dyDescent="0.3">
      <c r="A12" s="124"/>
      <c r="B12" s="55" t="s">
        <v>908</v>
      </c>
      <c r="C12" s="138">
        <v>968.24</v>
      </c>
      <c r="D12" s="138">
        <f>+E12-C12</f>
        <v>-174.5</v>
      </c>
      <c r="E12" s="139">
        <v>793.74</v>
      </c>
    </row>
    <row r="13" spans="1:7" x14ac:dyDescent="0.3">
      <c r="A13" s="124"/>
      <c r="B13" s="55" t="s">
        <v>2432</v>
      </c>
      <c r="C13" s="138">
        <v>83858.039999999994</v>
      </c>
      <c r="D13" s="138">
        <f>+E13-C13</f>
        <v>27688.25</v>
      </c>
      <c r="E13" s="184">
        <v>111546.29</v>
      </c>
    </row>
    <row r="14" spans="1:7" ht="15" thickBot="1" x14ac:dyDescent="0.35">
      <c r="A14" s="124"/>
      <c r="B14" s="55" t="s">
        <v>2433</v>
      </c>
      <c r="C14" s="107">
        <v>0</v>
      </c>
      <c r="D14" s="105">
        <f>+E14-C14</f>
        <v>0</v>
      </c>
      <c r="E14" s="142">
        <v>0</v>
      </c>
      <c r="G14" s="2"/>
    </row>
    <row r="15" spans="1:7" x14ac:dyDescent="0.3">
      <c r="A15" s="137" t="s">
        <v>14</v>
      </c>
      <c r="C15" s="106">
        <f>SUM(C11:C14)</f>
        <v>84826.28</v>
      </c>
      <c r="D15" s="106">
        <f>SUM(D11:D14)</f>
        <v>27513.75</v>
      </c>
      <c r="E15" s="141">
        <f>SUM(E11:E14)</f>
        <v>112340.03</v>
      </c>
    </row>
    <row r="16" spans="1:7" x14ac:dyDescent="0.3">
      <c r="A16" s="124"/>
      <c r="C16" s="138"/>
      <c r="D16" s="138"/>
      <c r="E16" s="139"/>
    </row>
    <row r="17" spans="1:5" ht="15.6" x14ac:dyDescent="0.3">
      <c r="A17" s="146" t="s">
        <v>911</v>
      </c>
      <c r="C17" s="138"/>
      <c r="D17" s="138"/>
      <c r="E17" s="139"/>
    </row>
    <row r="18" spans="1:5" ht="15" thickBot="1" x14ac:dyDescent="0.35">
      <c r="A18" s="122"/>
      <c r="B18" s="55"/>
      <c r="C18" s="107">
        <v>0</v>
      </c>
      <c r="D18" s="105">
        <f>+E18-C18</f>
        <v>0</v>
      </c>
      <c r="E18" s="142">
        <v>0</v>
      </c>
    </row>
    <row r="19" spans="1:5" x14ac:dyDescent="0.3">
      <c r="A19" s="137" t="s">
        <v>913</v>
      </c>
      <c r="C19" s="106">
        <f>SUM(C18:C18)</f>
        <v>0</v>
      </c>
      <c r="D19" s="106">
        <f>SUM(D18:D18)</f>
        <v>0</v>
      </c>
      <c r="E19" s="141">
        <f>SUM(E18:E18)</f>
        <v>0</v>
      </c>
    </row>
    <row r="20" spans="1:5" x14ac:dyDescent="0.3">
      <c r="A20" s="124"/>
      <c r="C20" s="138"/>
      <c r="D20" s="138"/>
      <c r="E20" s="139"/>
    </row>
    <row r="21" spans="1:5" s="58" customFormat="1" ht="15" thickBot="1" x14ac:dyDescent="0.35">
      <c r="A21" s="143" t="s">
        <v>15</v>
      </c>
      <c r="C21" s="108">
        <f>+C8+C15+C19</f>
        <v>84826.28</v>
      </c>
      <c r="D21" s="108">
        <f>+E21-C21</f>
        <v>27513.75</v>
      </c>
      <c r="E21" s="144">
        <f>+E8+E15+E18</f>
        <v>112340.03</v>
      </c>
    </row>
    <row r="22" spans="1:5" ht="15" thickTop="1" x14ac:dyDescent="0.3">
      <c r="A22" s="124"/>
      <c r="C22" s="138"/>
      <c r="D22" s="138"/>
      <c r="E22" s="139"/>
    </row>
    <row r="23" spans="1:5" x14ac:dyDescent="0.3">
      <c r="A23" s="124"/>
      <c r="C23" s="138"/>
      <c r="D23" s="138"/>
      <c r="E23" s="139"/>
    </row>
    <row r="24" spans="1:5" x14ac:dyDescent="0.3">
      <c r="A24" s="147" t="s">
        <v>923</v>
      </c>
      <c r="C24" s="138"/>
      <c r="D24" s="138"/>
      <c r="E24" s="139"/>
    </row>
    <row r="25" spans="1:5" x14ac:dyDescent="0.3">
      <c r="A25" s="124"/>
      <c r="C25" s="138"/>
      <c r="D25" s="138"/>
      <c r="E25" s="139"/>
    </row>
    <row r="26" spans="1:5" ht="15.6" x14ac:dyDescent="0.3">
      <c r="A26" s="146" t="s">
        <v>2461</v>
      </c>
      <c r="C26" s="138"/>
      <c r="D26" s="138"/>
      <c r="E26" s="139"/>
    </row>
    <row r="27" spans="1:5" ht="15" thickBot="1" x14ac:dyDescent="0.35">
      <c r="A27" s="122"/>
      <c r="B27" s="55" t="s">
        <v>2463</v>
      </c>
      <c r="C27" s="107">
        <v>-5655</v>
      </c>
      <c r="D27" s="105">
        <f>+E27-C27</f>
        <v>19489</v>
      </c>
      <c r="E27" s="142">
        <v>13834</v>
      </c>
    </row>
    <row r="28" spans="1:5" x14ac:dyDescent="0.3">
      <c r="A28" s="137" t="s">
        <v>2462</v>
      </c>
      <c r="C28" s="106">
        <f>SUM(C27:C27)</f>
        <v>-5655</v>
      </c>
      <c r="D28" s="106">
        <f>SUM(D27:D27)</f>
        <v>19489</v>
      </c>
      <c r="E28" s="141">
        <f>SUM(E27:E27)</f>
        <v>13834</v>
      </c>
    </row>
    <row r="29" spans="1:5" x14ac:dyDescent="0.3">
      <c r="A29" s="137"/>
      <c r="C29" s="106"/>
      <c r="D29" s="106"/>
      <c r="E29" s="141"/>
    </row>
    <row r="30" spans="1:5" ht="15.6" x14ac:dyDescent="0.3">
      <c r="A30" s="146" t="s">
        <v>8</v>
      </c>
      <c r="C30" s="138"/>
      <c r="D30" s="138"/>
      <c r="E30" s="139"/>
    </row>
    <row r="31" spans="1:5" ht="15" thickBot="1" x14ac:dyDescent="0.35">
      <c r="A31" s="124"/>
      <c r="B31" s="55" t="s">
        <v>8</v>
      </c>
      <c r="C31" s="105">
        <v>90481.279999999999</v>
      </c>
      <c r="D31" s="105">
        <f>+E31-C31</f>
        <v>8024.75</v>
      </c>
      <c r="E31" s="140">
        <v>98506.03</v>
      </c>
    </row>
    <row r="32" spans="1:5" x14ac:dyDescent="0.3">
      <c r="A32" s="137" t="s">
        <v>914</v>
      </c>
      <c r="C32" s="106">
        <f>SUM(C31:C31)</f>
        <v>90481.279999999999</v>
      </c>
      <c r="D32" s="106">
        <f>SUM(D31:D31)</f>
        <v>8024.75</v>
      </c>
      <c r="E32" s="141">
        <f>SUM(E31:E31)</f>
        <v>98506.03</v>
      </c>
    </row>
    <row r="33" spans="1:5" x14ac:dyDescent="0.3">
      <c r="A33" s="124"/>
      <c r="E33" s="136"/>
    </row>
    <row r="34" spans="1:5" s="58" customFormat="1" ht="15" thickBot="1" x14ac:dyDescent="0.35">
      <c r="A34" s="143" t="s">
        <v>915</v>
      </c>
      <c r="C34" s="108">
        <f>+C32+C28</f>
        <v>84826.28</v>
      </c>
      <c r="D34" s="108">
        <f>+D32+D28</f>
        <v>27513.75</v>
      </c>
      <c r="E34" s="144">
        <f>+E32+E28</f>
        <v>112340.03</v>
      </c>
    </row>
    <row r="35" spans="1:5" ht="15.6" thickTop="1" thickBot="1" x14ac:dyDescent="0.35">
      <c r="A35" s="125"/>
      <c r="B35" s="126"/>
      <c r="C35" s="126"/>
      <c r="D35" s="126"/>
      <c r="E35" s="145"/>
    </row>
  </sheetData>
  <pageMargins left="1.18" right="0.7" top="0.75" bottom="0.75" header="0.3" footer="0.3"/>
  <pageSetup paperSize="9" scale="90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3E6BF-6572-464C-8112-B27340204C0B}">
  <sheetPr>
    <tabColor theme="5" tint="-0.249977111117893"/>
    <pageSetUpPr fitToPage="1"/>
  </sheetPr>
  <dimension ref="A1:O50"/>
  <sheetViews>
    <sheetView zoomScale="90" zoomScaleNormal="90" workbookViewId="0">
      <pane xSplit="1" ySplit="3" topLeftCell="G4" activePane="bottomRight" state="frozen"/>
      <selection pane="topRight" activeCell="B1" sqref="B1"/>
      <selection pane="bottomLeft" activeCell="A4" sqref="A4"/>
      <selection pane="bottomRight" activeCell="N16" sqref="N16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2" width="16.44140625" style="1" customWidth="1"/>
    <col min="13" max="13" width="18.5546875" style="1" customWidth="1"/>
    <col min="14" max="14" width="12" style="155" customWidth="1"/>
    <col min="15" max="16384" width="9.109375" style="1"/>
  </cols>
  <sheetData>
    <row r="1" spans="1:14" ht="31.8" thickBot="1" x14ac:dyDescent="0.65">
      <c r="A1" s="211" t="s">
        <v>486</v>
      </c>
      <c r="C1" s="224"/>
      <c r="D1" s="224"/>
      <c r="E1" s="295" t="s">
        <v>487</v>
      </c>
      <c r="F1" s="295"/>
      <c r="G1" s="295"/>
    </row>
    <row r="2" spans="1:14" ht="16.2" thickBot="1" x14ac:dyDescent="0.35"/>
    <row r="3" spans="1:14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227">
        <v>2018</v>
      </c>
      <c r="M3" s="240" t="s">
        <v>2464</v>
      </c>
      <c r="N3" s="156"/>
    </row>
    <row r="4" spans="1:14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110"/>
      <c r="M4" s="209"/>
      <c r="N4" s="156"/>
    </row>
    <row r="5" spans="1:14" ht="16.2" thickBot="1" x14ac:dyDescent="0.35">
      <c r="A5" s="32" t="s">
        <v>19</v>
      </c>
      <c r="B5" s="10"/>
      <c r="C5" s="7"/>
      <c r="D5" s="7"/>
      <c r="I5" s="4"/>
      <c r="J5" s="4"/>
      <c r="K5" s="256"/>
      <c r="L5" s="237"/>
      <c r="M5" s="8"/>
    </row>
    <row r="6" spans="1:14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9">
        <v>157419</v>
      </c>
      <c r="M6" s="190">
        <v>190000</v>
      </c>
    </row>
    <row r="7" spans="1:14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9">
        <v>136075</v>
      </c>
      <c r="M7" s="190">
        <v>150000</v>
      </c>
    </row>
    <row r="8" spans="1:14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9">
        <v>71440</v>
      </c>
      <c r="M8" s="190">
        <v>100000</v>
      </c>
    </row>
    <row r="9" spans="1:14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9">
        <v>18200</v>
      </c>
      <c r="M9" s="190">
        <v>20000</v>
      </c>
    </row>
    <row r="10" spans="1:14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9">
        <v>93420</v>
      </c>
      <c r="M10" s="190">
        <v>70000</v>
      </c>
    </row>
    <row r="11" spans="1:14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9">
        <v>69517</v>
      </c>
      <c r="M11" s="190">
        <v>90000</v>
      </c>
    </row>
    <row r="12" spans="1:14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9">
        <v>0</v>
      </c>
      <c r="M12" s="190">
        <v>0</v>
      </c>
    </row>
    <row r="13" spans="1:14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9">
        <v>0</v>
      </c>
      <c r="M13" s="190">
        <v>0</v>
      </c>
    </row>
    <row r="14" spans="1:14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9">
        <v>56040</v>
      </c>
      <c r="M14" s="190">
        <v>25000</v>
      </c>
    </row>
    <row r="15" spans="1:14" x14ac:dyDescent="0.3">
      <c r="A15" s="7" t="s">
        <v>29</v>
      </c>
      <c r="B15" s="39">
        <f t="shared" ref="B15:M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1">
        <f>SUM(L6:L14)</f>
        <v>602111</v>
      </c>
      <c r="M15" s="191">
        <f t="shared" si="0"/>
        <v>645000</v>
      </c>
    </row>
    <row r="16" spans="1:14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L16" s="111"/>
      <c r="M16" s="190"/>
    </row>
    <row r="17" spans="1:15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L17" s="112"/>
      <c r="M17" s="190"/>
      <c r="N17" s="159"/>
    </row>
    <row r="18" spans="1:15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9">
        <v>-150140</v>
      </c>
      <c r="M18" s="190">
        <v>-140000</v>
      </c>
      <c r="N18" s="197"/>
      <c r="O18" s="55"/>
    </row>
    <row r="19" spans="1:15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9">
        <v>-70226</v>
      </c>
      <c r="M19" s="190">
        <v>-150000</v>
      </c>
      <c r="N19" s="197"/>
    </row>
    <row r="20" spans="1:15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9">
        <v>-4522</v>
      </c>
      <c r="M20" s="190">
        <v>-10000</v>
      </c>
      <c r="N20" s="197"/>
    </row>
    <row r="21" spans="1:15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9">
        <v>-52120</v>
      </c>
      <c r="M21" s="190">
        <v>-35000</v>
      </c>
      <c r="N21" s="197"/>
    </row>
    <row r="22" spans="1:15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9">
        <v>-23150</v>
      </c>
      <c r="M22" s="190">
        <v>-35000</v>
      </c>
      <c r="N22" s="197"/>
    </row>
    <row r="23" spans="1:15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9">
        <v>-81515</v>
      </c>
      <c r="M23" s="190">
        <v>-75000</v>
      </c>
      <c r="N23" s="197"/>
    </row>
    <row r="24" spans="1:15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9">
        <v>-3050</v>
      </c>
      <c r="M24" s="190">
        <v>-3000</v>
      </c>
      <c r="N24" s="197"/>
    </row>
    <row r="25" spans="1:15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9">
        <v>-23490</v>
      </c>
      <c r="M25" s="190">
        <v>-25000</v>
      </c>
      <c r="N25" s="197"/>
    </row>
    <row r="26" spans="1:15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9">
        <v>-32750</v>
      </c>
      <c r="M26" s="190">
        <v>-30000</v>
      </c>
      <c r="N26" s="197"/>
    </row>
    <row r="27" spans="1:15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9">
        <v>-18980</v>
      </c>
      <c r="M27" s="190">
        <v>-15000</v>
      </c>
      <c r="N27" s="197"/>
    </row>
    <row r="28" spans="1:15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9">
        <v>-28600</v>
      </c>
      <c r="M28" s="190">
        <v>-25000</v>
      </c>
      <c r="N28" s="197"/>
    </row>
    <row r="29" spans="1:15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9">
        <v>-14500</v>
      </c>
      <c r="M29" s="190">
        <v>-5000</v>
      </c>
    </row>
    <row r="30" spans="1:15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9">
        <v>-500</v>
      </c>
      <c r="M30" s="190">
        <v>-2000</v>
      </c>
    </row>
    <row r="31" spans="1:15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9">
        <v>-87302</v>
      </c>
      <c r="M31" s="190">
        <v>-90000</v>
      </c>
      <c r="N31" s="197"/>
    </row>
    <row r="32" spans="1:15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9">
        <v>0</v>
      </c>
      <c r="M32" s="190">
        <v>0</v>
      </c>
      <c r="N32" s="197"/>
    </row>
    <row r="33" spans="1:15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9">
        <f>-1688+-1553</f>
        <v>-3241</v>
      </c>
      <c r="M33" s="190">
        <v>-5000</v>
      </c>
      <c r="N33" s="197"/>
    </row>
    <row r="34" spans="1:15" x14ac:dyDescent="0.3">
      <c r="A34" s="7" t="s">
        <v>47</v>
      </c>
      <c r="B34" s="39">
        <f>SUM(B18:B33)</f>
        <v>-218877</v>
      </c>
      <c r="C34" s="39">
        <f t="shared" ref="C34:M34" si="2">SUM(C18:C33)</f>
        <v>-258934</v>
      </c>
      <c r="D34" s="39">
        <f t="shared" si="2"/>
        <v>-187844</v>
      </c>
      <c r="E34" s="39">
        <f t="shared" si="2"/>
        <v>-247088.42</v>
      </c>
      <c r="F34" s="39">
        <f t="shared" si="2"/>
        <v>-325572.77</v>
      </c>
      <c r="G34" s="39">
        <f t="shared" si="2"/>
        <v>-457445</v>
      </c>
      <c r="H34" s="39">
        <f t="shared" si="2"/>
        <v>-467066</v>
      </c>
      <c r="I34" s="39">
        <f t="shared" si="2"/>
        <v>-618159</v>
      </c>
      <c r="J34" s="39">
        <f t="shared" si="2"/>
        <v>-584733</v>
      </c>
      <c r="K34" s="12">
        <f t="shared" si="2"/>
        <v>-734998</v>
      </c>
      <c r="L34" s="11">
        <f t="shared" si="2"/>
        <v>-594086</v>
      </c>
      <c r="M34" s="191">
        <f t="shared" si="2"/>
        <v>-645000</v>
      </c>
      <c r="N34" s="206"/>
    </row>
    <row r="35" spans="1:15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113"/>
      <c r="M35" s="191"/>
      <c r="N35" s="207"/>
    </row>
    <row r="36" spans="1:15" s="13" customFormat="1" ht="38.25" customHeight="1" x14ac:dyDescent="0.3">
      <c r="A36" s="7" t="s">
        <v>48</v>
      </c>
      <c r="B36" s="39">
        <f t="shared" ref="B36:K36" si="3">+B34+B15</f>
        <v>-24674</v>
      </c>
      <c r="C36" s="39">
        <f t="shared" si="3"/>
        <v>86791</v>
      </c>
      <c r="D36" s="39">
        <f t="shared" si="3"/>
        <v>32713</v>
      </c>
      <c r="E36" s="39">
        <f t="shared" si="3"/>
        <v>-5009.1400000000431</v>
      </c>
      <c r="F36" s="39">
        <f t="shared" si="3"/>
        <v>-25959.489999999991</v>
      </c>
      <c r="G36" s="39">
        <f t="shared" si="3"/>
        <v>-167525</v>
      </c>
      <c r="H36" s="39">
        <f t="shared" si="3"/>
        <v>13685</v>
      </c>
      <c r="I36" s="12">
        <f t="shared" si="3"/>
        <v>10177</v>
      </c>
      <c r="J36" s="12">
        <f>+J34+J15</f>
        <v>36557</v>
      </c>
      <c r="K36" s="12">
        <f t="shared" si="3"/>
        <v>-84874</v>
      </c>
      <c r="L36" s="11">
        <f>+L34+L15</f>
        <v>8025</v>
      </c>
      <c r="M36" s="191">
        <f>M15+M34</f>
        <v>0</v>
      </c>
      <c r="N36" s="207"/>
    </row>
    <row r="37" spans="1:15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1"/>
      <c r="M37" s="191"/>
      <c r="N37" s="207"/>
    </row>
    <row r="38" spans="1:15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1">
        <v>0</v>
      </c>
      <c r="M38" s="191">
        <v>0</v>
      </c>
      <c r="N38" s="206"/>
    </row>
    <row r="39" spans="1:15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245"/>
      <c r="L39" s="11"/>
      <c r="M39" s="210"/>
      <c r="N39" s="206"/>
    </row>
    <row r="40" spans="1:15" s="13" customFormat="1" ht="16.2" thickBot="1" x14ac:dyDescent="0.35">
      <c r="A40" s="7" t="s">
        <v>88</v>
      </c>
      <c r="B40" s="39">
        <f t="shared" ref="B40:K40" si="4">+B38+B36</f>
        <v>-34674</v>
      </c>
      <c r="C40" s="39">
        <f t="shared" si="4"/>
        <v>76791</v>
      </c>
      <c r="D40" s="39">
        <f t="shared" si="4"/>
        <v>22713</v>
      </c>
      <c r="E40" s="39">
        <f t="shared" si="4"/>
        <v>-15009.140000000043</v>
      </c>
      <c r="F40" s="39">
        <f t="shared" si="4"/>
        <v>-35959.489999999991</v>
      </c>
      <c r="G40" s="39">
        <f t="shared" si="4"/>
        <v>-181974</v>
      </c>
      <c r="H40" s="39">
        <f t="shared" si="4"/>
        <v>13685</v>
      </c>
      <c r="I40" s="12">
        <f t="shared" si="4"/>
        <v>10177</v>
      </c>
      <c r="J40" s="12">
        <f>+J38+J36</f>
        <v>36557</v>
      </c>
      <c r="K40" s="12">
        <f t="shared" si="4"/>
        <v>-84874</v>
      </c>
      <c r="L40" s="154">
        <f>+L38+L36</f>
        <v>8025</v>
      </c>
      <c r="M40" s="192">
        <f>+M38+M36</f>
        <v>0</v>
      </c>
      <c r="N40" s="208"/>
    </row>
    <row r="41" spans="1:15" s="13" customFormat="1" x14ac:dyDescent="0.3">
      <c r="A41" s="4"/>
      <c r="B41" s="4"/>
      <c r="C41" s="4"/>
      <c r="D41" s="4"/>
      <c r="E41" s="4"/>
      <c r="F41" s="4"/>
      <c r="G41" s="4"/>
      <c r="H41" s="4"/>
      <c r="M41" s="58"/>
      <c r="N41" s="155"/>
    </row>
    <row r="42" spans="1:15" x14ac:dyDescent="0.3">
      <c r="M42" s="257"/>
    </row>
    <row r="47" spans="1:15" s="4" customFormat="1" x14ac:dyDescent="0.3">
      <c r="N47" s="155"/>
      <c r="O47" s="1"/>
    </row>
    <row r="48" spans="1:15" s="4" customFormat="1" x14ac:dyDescent="0.3">
      <c r="N48" s="155"/>
      <c r="O48" s="1"/>
    </row>
    <row r="49" spans="14:15" s="4" customFormat="1" x14ac:dyDescent="0.3">
      <c r="N49" s="155"/>
      <c r="O49" s="1"/>
    </row>
    <row r="50" spans="14:15" s="4" customFormat="1" x14ac:dyDescent="0.3">
      <c r="N50" s="155"/>
      <c r="O50" s="1"/>
    </row>
  </sheetData>
  <mergeCells count="1">
    <mergeCell ref="E1:G1"/>
  </mergeCells>
  <pageMargins left="0.7" right="0.7" top="0.75" bottom="0.75" header="0.3" footer="0.3"/>
  <pageSetup paperSize="9" scale="66" orientation="landscape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98829-6197-4A49-BABE-9B4C0261E846}">
  <sheetPr>
    <tabColor theme="5" tint="-0.249977111117893"/>
    <pageSetUpPr fitToPage="1"/>
  </sheetPr>
  <dimension ref="A1:Q52"/>
  <sheetViews>
    <sheetView zoomScaleNormal="100" workbookViewId="0">
      <pane xSplit="1" ySplit="3" topLeftCell="G28" activePane="bottomRight" state="frozen"/>
      <selection pane="topRight" activeCell="B1" sqref="B1"/>
      <selection pane="bottomLeft" activeCell="A4" sqref="A4"/>
      <selection pane="bottomRight" activeCell="N42" sqref="N42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2" width="16.44140625" style="1" customWidth="1"/>
    <col min="13" max="14" width="18.5546875" style="1" customWidth="1"/>
    <col min="15" max="15" width="27" style="196" customWidth="1"/>
    <col min="16" max="16" width="12" style="155" customWidth="1"/>
    <col min="17" max="16384" width="9.109375" style="1"/>
  </cols>
  <sheetData>
    <row r="1" spans="1:16" ht="31.8" thickBot="1" x14ac:dyDescent="0.65">
      <c r="A1" s="211" t="s">
        <v>486</v>
      </c>
      <c r="C1" s="224"/>
      <c r="D1" s="224"/>
      <c r="E1" s="295" t="s">
        <v>487</v>
      </c>
      <c r="F1" s="295"/>
      <c r="G1" s="295"/>
    </row>
    <row r="2" spans="1:16" ht="16.2" thickBot="1" x14ac:dyDescent="0.35"/>
    <row r="3" spans="1:16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227">
        <v>2018</v>
      </c>
      <c r="M3" s="253" t="s">
        <v>809</v>
      </c>
      <c r="N3" s="240" t="s">
        <v>2464</v>
      </c>
      <c r="O3" s="156"/>
      <c r="P3" s="156"/>
    </row>
    <row r="4" spans="1:16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110">
        <v>43465</v>
      </c>
      <c r="M4" s="110">
        <v>43465</v>
      </c>
      <c r="N4" s="209"/>
      <c r="O4" s="156"/>
      <c r="P4" s="156"/>
    </row>
    <row r="5" spans="1:16" ht="16.2" thickBot="1" x14ac:dyDescent="0.35">
      <c r="A5" s="32" t="s">
        <v>19</v>
      </c>
      <c r="B5" s="10"/>
      <c r="C5" s="7"/>
      <c r="D5" s="7"/>
      <c r="I5" s="4"/>
      <c r="J5" s="4"/>
      <c r="K5" s="256"/>
      <c r="L5" s="237"/>
      <c r="M5" s="111"/>
      <c r="N5" s="8"/>
      <c r="O5" s="155"/>
    </row>
    <row r="6" spans="1:16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9">
        <v>157419</v>
      </c>
      <c r="M6" s="249">
        <v>157419</v>
      </c>
      <c r="N6" s="190">
        <v>190000</v>
      </c>
      <c r="O6" s="217" t="s">
        <v>2478</v>
      </c>
    </row>
    <row r="7" spans="1:16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9">
        <v>136075</v>
      </c>
      <c r="M7" s="249">
        <v>136075</v>
      </c>
      <c r="N7" s="190">
        <v>150000</v>
      </c>
      <c r="O7" s="236" t="s">
        <v>2479</v>
      </c>
    </row>
    <row r="8" spans="1:16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9">
        <v>71440</v>
      </c>
      <c r="M8" s="249">
        <v>71440</v>
      </c>
      <c r="N8" s="190">
        <v>100000</v>
      </c>
      <c r="O8" s="217" t="s">
        <v>2477</v>
      </c>
    </row>
    <row r="9" spans="1:16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9">
        <v>18200</v>
      </c>
      <c r="M9" s="249">
        <v>18200</v>
      </c>
      <c r="N9" s="190">
        <v>20000</v>
      </c>
      <c r="O9" s="217" t="s">
        <v>2476</v>
      </c>
    </row>
    <row r="10" spans="1:16" ht="31.8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9">
        <v>93420</v>
      </c>
      <c r="M10" s="249">
        <v>93420</v>
      </c>
      <c r="N10" s="190">
        <v>70000</v>
      </c>
      <c r="O10" s="217" t="s">
        <v>2475</v>
      </c>
    </row>
    <row r="11" spans="1:16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9">
        <v>69517</v>
      </c>
      <c r="M11" s="249">
        <v>69517</v>
      </c>
      <c r="N11" s="190">
        <v>90000</v>
      </c>
      <c r="O11" s="155"/>
    </row>
    <row r="12" spans="1:16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9">
        <v>0</v>
      </c>
      <c r="M12" s="249">
        <v>0</v>
      </c>
      <c r="N12" s="190">
        <v>0</v>
      </c>
      <c r="O12" s="155"/>
    </row>
    <row r="13" spans="1:16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9">
        <v>0</v>
      </c>
      <c r="M13" s="249">
        <v>0</v>
      </c>
      <c r="N13" s="190">
        <v>0</v>
      </c>
      <c r="O13" s="155"/>
    </row>
    <row r="14" spans="1:16" ht="21.6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9">
        <v>56040</v>
      </c>
      <c r="M14" s="249">
        <v>56040</v>
      </c>
      <c r="N14" s="190">
        <v>25000</v>
      </c>
      <c r="O14" s="217" t="s">
        <v>2474</v>
      </c>
    </row>
    <row r="15" spans="1:16" x14ac:dyDescent="0.3">
      <c r="A15" s="7" t="s">
        <v>29</v>
      </c>
      <c r="B15" s="39">
        <f t="shared" ref="B15:N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1">
        <f>SUM(L6:L14)</f>
        <v>602111</v>
      </c>
      <c r="M15" s="250">
        <f t="shared" ref="M15" si="2">SUM(M6:M14)</f>
        <v>602111</v>
      </c>
      <c r="N15" s="191">
        <f t="shared" si="0"/>
        <v>645000</v>
      </c>
      <c r="O15" s="155"/>
    </row>
    <row r="16" spans="1:16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L16" s="111"/>
      <c r="M16" s="249"/>
      <c r="N16" s="190"/>
      <c r="O16" s="155"/>
    </row>
    <row r="17" spans="1:17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L17" s="112"/>
      <c r="M17" s="249"/>
      <c r="N17" s="190"/>
      <c r="O17" s="159"/>
      <c r="P17" s="159"/>
    </row>
    <row r="18" spans="1:17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9">
        <v>-150140</v>
      </c>
      <c r="M18" s="249">
        <v>-150140</v>
      </c>
      <c r="N18" s="190">
        <v>-140000</v>
      </c>
      <c r="O18" s="157" t="s">
        <v>2486</v>
      </c>
      <c r="P18" s="197"/>
      <c r="Q18" s="55"/>
    </row>
    <row r="19" spans="1:17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9">
        <v>-70226</v>
      </c>
      <c r="M19" s="249">
        <v>-70226</v>
      </c>
      <c r="N19" s="190">
        <v>-150000</v>
      </c>
      <c r="O19" s="157" t="s">
        <v>2480</v>
      </c>
      <c r="P19" s="197"/>
    </row>
    <row r="20" spans="1:17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9">
        <v>-4522</v>
      </c>
      <c r="M20" s="249">
        <v>-4522</v>
      </c>
      <c r="N20" s="190">
        <v>-10000</v>
      </c>
      <c r="O20" s="157"/>
      <c r="P20" s="197"/>
    </row>
    <row r="21" spans="1:17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9">
        <v>-52120</v>
      </c>
      <c r="M21" s="249">
        <v>-52120</v>
      </c>
      <c r="N21" s="190">
        <v>-35000</v>
      </c>
      <c r="O21" s="155"/>
      <c r="P21" s="197"/>
    </row>
    <row r="22" spans="1:17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9">
        <v>-23150</v>
      </c>
      <c r="M22" s="249">
        <v>-23150</v>
      </c>
      <c r="N22" s="190">
        <v>-35000</v>
      </c>
      <c r="O22" s="157" t="s">
        <v>2473</v>
      </c>
      <c r="P22" s="197"/>
    </row>
    <row r="23" spans="1:17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9">
        <v>-81515</v>
      </c>
      <c r="M23" s="249">
        <v>-81515</v>
      </c>
      <c r="N23" s="190">
        <v>-75000</v>
      </c>
      <c r="O23" s="157" t="s">
        <v>2483</v>
      </c>
      <c r="P23" s="197"/>
    </row>
    <row r="24" spans="1:17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9">
        <v>-3050</v>
      </c>
      <c r="M24" s="249">
        <v>-3050</v>
      </c>
      <c r="N24" s="190">
        <v>-3000</v>
      </c>
      <c r="O24" s="155"/>
      <c r="P24" s="197"/>
    </row>
    <row r="25" spans="1:17" ht="24.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9">
        <v>-23490</v>
      </c>
      <c r="M25" s="249">
        <v>-23490</v>
      </c>
      <c r="N25" s="190">
        <v>-25000</v>
      </c>
      <c r="O25" s="157" t="s">
        <v>2481</v>
      </c>
      <c r="P25" s="197"/>
    </row>
    <row r="26" spans="1:17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9">
        <v>-32750</v>
      </c>
      <c r="M26" s="249">
        <v>-32750</v>
      </c>
      <c r="N26" s="190">
        <v>-30000</v>
      </c>
      <c r="O26" s="157" t="s">
        <v>2488</v>
      </c>
      <c r="P26" s="197"/>
    </row>
    <row r="27" spans="1:17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9">
        <v>-18980</v>
      </c>
      <c r="M27" s="249">
        <v>-18980</v>
      </c>
      <c r="N27" s="190">
        <v>-15000</v>
      </c>
      <c r="O27" s="157" t="s">
        <v>2482</v>
      </c>
      <c r="P27" s="197"/>
    </row>
    <row r="28" spans="1:17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9">
        <v>-28600</v>
      </c>
      <c r="M28" s="249">
        <v>-28600</v>
      </c>
      <c r="N28" s="190">
        <v>-25000</v>
      </c>
      <c r="O28" s="157" t="s">
        <v>2484</v>
      </c>
      <c r="P28" s="197"/>
    </row>
    <row r="29" spans="1:17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9">
        <v>-14500</v>
      </c>
      <c r="M29" s="249">
        <v>-14500</v>
      </c>
      <c r="N29" s="190">
        <v>-5000</v>
      </c>
      <c r="O29" s="157" t="s">
        <v>2485</v>
      </c>
    </row>
    <row r="30" spans="1:17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9">
        <v>-500</v>
      </c>
      <c r="M30" s="249">
        <v>-500</v>
      </c>
      <c r="N30" s="190">
        <v>-2000</v>
      </c>
      <c r="O30" s="157"/>
    </row>
    <row r="31" spans="1:17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9">
        <v>-87302</v>
      </c>
      <c r="M31" s="249">
        <v>-87302</v>
      </c>
      <c r="N31" s="190">
        <v>-90000</v>
      </c>
      <c r="O31" s="155"/>
      <c r="P31" s="197"/>
    </row>
    <row r="32" spans="1:17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9">
        <v>0</v>
      </c>
      <c r="M32" s="249">
        <v>0</v>
      </c>
      <c r="N32" s="190">
        <v>0</v>
      </c>
      <c r="O32" s="155"/>
      <c r="P32" s="197"/>
    </row>
    <row r="33" spans="1:17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9">
        <f>-1688+-1553</f>
        <v>-3241</v>
      </c>
      <c r="M33" s="249">
        <v>-3241</v>
      </c>
      <c r="N33" s="190">
        <v>-5000</v>
      </c>
      <c r="O33" s="155"/>
      <c r="P33" s="197"/>
    </row>
    <row r="34" spans="1:17" x14ac:dyDescent="0.3">
      <c r="A34" s="7" t="s">
        <v>47</v>
      </c>
      <c r="B34" s="39">
        <f>SUM(B18:B33)</f>
        <v>-218877</v>
      </c>
      <c r="C34" s="39">
        <f t="shared" ref="C34:N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1">
        <f t="shared" si="3"/>
        <v>-594086</v>
      </c>
      <c r="M34" s="250">
        <f t="shared" si="3"/>
        <v>-594086</v>
      </c>
      <c r="N34" s="191">
        <f t="shared" si="3"/>
        <v>-645000</v>
      </c>
      <c r="O34" s="205"/>
      <c r="P34" s="206"/>
    </row>
    <row r="35" spans="1:17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113"/>
      <c r="M35" s="250"/>
      <c r="N35" s="191"/>
      <c r="O35" s="158"/>
      <c r="P35" s="207"/>
    </row>
    <row r="36" spans="1:17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2">
        <f t="shared" si="4"/>
        <v>-84874</v>
      </c>
      <c r="L36" s="11">
        <f>+L34+L15</f>
        <v>8025</v>
      </c>
      <c r="M36" s="250">
        <f>M15+M34</f>
        <v>8025</v>
      </c>
      <c r="N36" s="191">
        <f>N15+N34</f>
        <v>0</v>
      </c>
      <c r="O36" s="158"/>
      <c r="P36" s="207"/>
    </row>
    <row r="37" spans="1:17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1"/>
      <c r="M37" s="250"/>
      <c r="N37" s="191"/>
      <c r="O37" s="158"/>
      <c r="P37" s="207"/>
    </row>
    <row r="38" spans="1:17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1">
        <v>0</v>
      </c>
      <c r="M38" s="250">
        <v>0</v>
      </c>
      <c r="N38" s="191">
        <v>0</v>
      </c>
      <c r="O38" s="155"/>
      <c r="P38" s="206"/>
    </row>
    <row r="39" spans="1:17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245"/>
      <c r="L39" s="11"/>
      <c r="M39" s="251"/>
      <c r="N39" s="210"/>
      <c r="O39" s="205"/>
      <c r="P39" s="206"/>
    </row>
    <row r="40" spans="1:17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54">
        <f>+L38+L36</f>
        <v>8025</v>
      </c>
      <c r="M40" s="252">
        <f>+M38+M36</f>
        <v>8025</v>
      </c>
      <c r="N40" s="192">
        <f>+N38+N36</f>
        <v>0</v>
      </c>
      <c r="O40" s="155"/>
      <c r="P40" s="208"/>
    </row>
    <row r="41" spans="1:17" s="13" customFormat="1" x14ac:dyDescent="0.3">
      <c r="A41" s="4"/>
      <c r="B41" s="4"/>
      <c r="C41" s="4"/>
      <c r="D41" s="4"/>
      <c r="E41" s="4"/>
      <c r="F41" s="4"/>
      <c r="G41" s="4"/>
      <c r="H41" s="4"/>
      <c r="M41" s="58"/>
      <c r="N41" s="58"/>
      <c r="O41" s="196"/>
      <c r="P41" s="155"/>
    </row>
    <row r="42" spans="1:17" x14ac:dyDescent="0.3">
      <c r="M42" s="55" t="s">
        <v>586</v>
      </c>
      <c r="N42" s="257" t="s">
        <v>2487</v>
      </c>
      <c r="O42" s="155"/>
    </row>
    <row r="43" spans="1:17" x14ac:dyDescent="0.3">
      <c r="M43" s="99"/>
    </row>
    <row r="44" spans="1:17" x14ac:dyDescent="0.3">
      <c r="M44" s="222"/>
    </row>
    <row r="45" spans="1:17" x14ac:dyDescent="0.3">
      <c r="M45" s="207"/>
    </row>
    <row r="46" spans="1:17" x14ac:dyDescent="0.3">
      <c r="M46" s="222"/>
    </row>
    <row r="47" spans="1:17" s="4" customFormat="1" x14ac:dyDescent="0.3">
      <c r="M47" s="99"/>
      <c r="O47" s="196"/>
      <c r="P47" s="155"/>
      <c r="Q47" s="1"/>
    </row>
    <row r="48" spans="1:17" s="4" customFormat="1" x14ac:dyDescent="0.3">
      <c r="M48" s="99"/>
      <c r="O48" s="196"/>
      <c r="P48" s="155"/>
      <c r="Q48" s="1"/>
    </row>
    <row r="49" spans="13:17" s="4" customFormat="1" x14ac:dyDescent="0.3">
      <c r="M49" s="99"/>
      <c r="O49" s="196"/>
      <c r="P49" s="155"/>
      <c r="Q49" s="1"/>
    </row>
    <row r="50" spans="13:17" s="4" customFormat="1" x14ac:dyDescent="0.3">
      <c r="M50" s="99"/>
      <c r="O50" s="196"/>
      <c r="P50" s="155"/>
      <c r="Q50" s="1"/>
    </row>
    <row r="51" spans="13:17" x14ac:dyDescent="0.3">
      <c r="M51" s="99"/>
    </row>
    <row r="52" spans="13:17" x14ac:dyDescent="0.3">
      <c r="M52" s="223"/>
    </row>
  </sheetData>
  <mergeCells count="1">
    <mergeCell ref="E1:G1"/>
  </mergeCells>
  <pageMargins left="0.7" right="0.7" top="0.75" bottom="0.75" header="0.3" footer="0.3"/>
  <pageSetup paperSize="9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DC38E-E26B-4D6B-B927-0B8749C26E93}">
  <sheetPr>
    <tabColor theme="5" tint="-0.249977111117893"/>
    <pageSetUpPr fitToPage="1"/>
  </sheetPr>
  <dimension ref="A1:X58"/>
  <sheetViews>
    <sheetView zoomScale="110" zoomScaleNormal="110" workbookViewId="0">
      <pane xSplit="1" ySplit="3" topLeftCell="O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2" width="16.44140625" style="1" hidden="1" customWidth="1"/>
    <col min="13" max="13" width="18" style="1" hidden="1" customWidth="1"/>
    <col min="14" max="14" width="16.44140625" style="1" hidden="1" customWidth="1"/>
    <col min="15" max="18" width="16.44140625" style="1" customWidth="1"/>
    <col min="19" max="19" width="17.6640625" style="1" customWidth="1"/>
    <col min="20" max="21" width="18.5546875" style="1" customWidth="1"/>
    <col min="22" max="22" width="27" style="217" customWidth="1"/>
    <col min="23" max="23" width="15.88671875" style="155" customWidth="1"/>
    <col min="24" max="16384" width="9.109375" style="1"/>
  </cols>
  <sheetData>
    <row r="1" spans="1:23" ht="31.8" thickBot="1" x14ac:dyDescent="0.65">
      <c r="A1" s="211" t="s">
        <v>486</v>
      </c>
      <c r="C1" s="224"/>
      <c r="D1" s="224"/>
      <c r="I1" s="4"/>
      <c r="J1" s="4"/>
      <c r="K1" s="289"/>
      <c r="L1" s="289"/>
      <c r="M1" s="289"/>
      <c r="O1" s="290" t="s">
        <v>2786</v>
      </c>
      <c r="P1" s="290"/>
    </row>
    <row r="2" spans="1:23" ht="16.2" thickBot="1" x14ac:dyDescent="0.35"/>
    <row r="3" spans="1:23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37">
        <v>2023</v>
      </c>
      <c r="R3" s="37">
        <v>2024</v>
      </c>
      <c r="S3" s="227">
        <v>2025</v>
      </c>
      <c r="T3" s="253" t="s">
        <v>809</v>
      </c>
      <c r="U3" s="240" t="s">
        <v>2812</v>
      </c>
      <c r="V3" s="270"/>
      <c r="W3" s="156"/>
    </row>
    <row r="4" spans="1:23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42"/>
      <c r="R4" s="42"/>
      <c r="S4" s="110">
        <v>45805</v>
      </c>
      <c r="T4" s="110">
        <v>46022</v>
      </c>
      <c r="U4" s="209"/>
      <c r="V4" s="270"/>
      <c r="W4" s="156"/>
    </row>
    <row r="5" spans="1:23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56"/>
      <c r="R5" s="256"/>
      <c r="S5" s="237"/>
      <c r="T5" s="111"/>
      <c r="U5" s="8"/>
    </row>
    <row r="6" spans="1:23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10">
        <v>225734</v>
      </c>
      <c r="Q6" s="10">
        <v>252983</v>
      </c>
      <c r="R6" s="10">
        <v>209138</v>
      </c>
      <c r="S6" s="9">
        <v>85872</v>
      </c>
      <c r="T6" s="249">
        <v>210000</v>
      </c>
      <c r="U6" s="190">
        <v>210000</v>
      </c>
      <c r="V6" s="217" t="s">
        <v>2605</v>
      </c>
    </row>
    <row r="7" spans="1:23" ht="36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10">
        <v>187000</v>
      </c>
      <c r="Q7" s="10">
        <v>181250</v>
      </c>
      <c r="R7" s="10">
        <v>211575</v>
      </c>
      <c r="S7" s="9">
        <f>190350+19250</f>
        <v>209600</v>
      </c>
      <c r="T7" s="249">
        <v>290000</v>
      </c>
      <c r="U7" s="190">
        <v>350000</v>
      </c>
      <c r="V7" s="236" t="s">
        <v>2847</v>
      </c>
    </row>
    <row r="8" spans="1:23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10">
        <v>83434</v>
      </c>
      <c r="Q8" s="10">
        <v>177917</v>
      </c>
      <c r="R8" s="10">
        <v>112047</v>
      </c>
      <c r="S8" s="9">
        <v>13559</v>
      </c>
      <c r="T8" s="249">
        <v>115000</v>
      </c>
      <c r="U8" s="190">
        <v>115000</v>
      </c>
      <c r="V8" s="236"/>
    </row>
    <row r="9" spans="1:23" ht="21.6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10">
        <v>33422</v>
      </c>
      <c r="Q9" s="10">
        <v>14330</v>
      </c>
      <c r="R9" s="10">
        <v>27500</v>
      </c>
      <c r="S9" s="9">
        <v>99550</v>
      </c>
      <c r="T9" s="249">
        <v>105000</v>
      </c>
      <c r="U9" s="190">
        <v>105000</v>
      </c>
      <c r="V9" s="236" t="s">
        <v>2846</v>
      </c>
    </row>
    <row r="10" spans="1:23" ht="35.4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10">
        <v>109900</v>
      </c>
      <c r="Q10" s="10">
        <v>137850</v>
      </c>
      <c r="R10" s="10">
        <v>125900</v>
      </c>
      <c r="S10" s="9">
        <v>162700</v>
      </c>
      <c r="T10" s="249">
        <v>163000</v>
      </c>
      <c r="U10" s="190">
        <v>100000</v>
      </c>
      <c r="V10" s="236" t="s">
        <v>2842</v>
      </c>
    </row>
    <row r="11" spans="1:23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10">
        <v>145695</v>
      </c>
      <c r="Q11" s="10">
        <v>163300</v>
      </c>
      <c r="R11" s="10">
        <v>203280</v>
      </c>
      <c r="S11" s="9">
        <v>221390</v>
      </c>
      <c r="T11" s="249">
        <v>221000</v>
      </c>
      <c r="U11" s="190">
        <v>200000</v>
      </c>
    </row>
    <row r="12" spans="1:23" x14ac:dyDescent="0.3">
      <c r="A12" s="4" t="s">
        <v>2823</v>
      </c>
      <c r="B12" s="38">
        <v>500</v>
      </c>
      <c r="C12" s="38">
        <v>85850</v>
      </c>
      <c r="D12" s="38">
        <v>62250</v>
      </c>
      <c r="E12" s="38">
        <v>66900</v>
      </c>
      <c r="F12" s="38">
        <v>91100</v>
      </c>
      <c r="G12" s="38">
        <v>83700</v>
      </c>
      <c r="H12" s="38">
        <v>94424</v>
      </c>
      <c r="I12" s="38">
        <f>99500</f>
        <v>99500</v>
      </c>
      <c r="J12" s="38">
        <f>81000</f>
        <v>81000</v>
      </c>
      <c r="K12" s="10">
        <v>85200</v>
      </c>
      <c r="L12" s="10">
        <v>69517</v>
      </c>
      <c r="M12" s="10">
        <v>89680</v>
      </c>
      <c r="N12" s="10">
        <v>95633</v>
      </c>
      <c r="O12" s="10"/>
      <c r="P12" s="10"/>
      <c r="Q12" s="10"/>
      <c r="R12" s="10"/>
      <c r="S12" s="9">
        <v>126889</v>
      </c>
      <c r="T12" s="249">
        <v>127000</v>
      </c>
      <c r="U12" s="190">
        <v>124000</v>
      </c>
    </row>
    <row r="13" spans="1:23" hidden="1" x14ac:dyDescent="0.3">
      <c r="A13" s="4" t="s">
        <v>2143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0</v>
      </c>
      <c r="G13" s="38">
        <v>0</v>
      </c>
      <c r="H13" s="38">
        <v>0</v>
      </c>
      <c r="I13" s="38">
        <v>0</v>
      </c>
      <c r="J13" s="38">
        <f>5750-1743-1743-1453-3486-4358-15750+10000+7640+840+1463+5660</f>
        <v>2820</v>
      </c>
      <c r="K13" s="10">
        <v>5455</v>
      </c>
      <c r="L13" s="10">
        <v>0</v>
      </c>
      <c r="M13" s="10">
        <v>0</v>
      </c>
      <c r="N13" s="10">
        <v>0</v>
      </c>
      <c r="O13" s="10"/>
      <c r="P13" s="10"/>
      <c r="Q13" s="10"/>
      <c r="R13" s="10"/>
      <c r="S13" s="9"/>
      <c r="T13" s="249">
        <v>0</v>
      </c>
      <c r="U13" s="190">
        <v>0</v>
      </c>
    </row>
    <row r="14" spans="1:23" x14ac:dyDescent="0.3">
      <c r="A14" s="4" t="s">
        <v>27</v>
      </c>
      <c r="B14" s="38">
        <v>2474</v>
      </c>
      <c r="C14" s="38">
        <v>239</v>
      </c>
      <c r="D14" s="38">
        <v>450</v>
      </c>
      <c r="E14" s="38">
        <v>2470.9899999999998</v>
      </c>
      <c r="F14" s="38">
        <v>1824.88</v>
      </c>
      <c r="G14" s="38">
        <v>514</v>
      </c>
      <c r="H14" s="38">
        <v>101</v>
      </c>
      <c r="I14" s="38">
        <v>13</v>
      </c>
      <c r="J14" s="38">
        <v>0</v>
      </c>
      <c r="K14" s="10">
        <v>0</v>
      </c>
      <c r="L14" s="10">
        <v>0</v>
      </c>
      <c r="M14" s="10">
        <v>0</v>
      </c>
      <c r="N14" s="10">
        <v>0</v>
      </c>
      <c r="O14" s="10"/>
      <c r="P14" s="10"/>
      <c r="Q14" s="10"/>
      <c r="R14" s="10">
        <v>6206</v>
      </c>
      <c r="S14" s="9">
        <v>0</v>
      </c>
      <c r="T14" s="249">
        <v>3000</v>
      </c>
      <c r="U14" s="190">
        <v>3000</v>
      </c>
    </row>
    <row r="15" spans="1:23" ht="21.6" x14ac:dyDescent="0.3">
      <c r="A15" s="4" t="s">
        <v>490</v>
      </c>
      <c r="B15" s="38">
        <f>3455+2000</f>
        <v>5455</v>
      </c>
      <c r="C15" s="38">
        <f>400+10000+12000</f>
        <v>22400</v>
      </c>
      <c r="D15" s="38">
        <v>4112</v>
      </c>
      <c r="E15" s="38">
        <f>4135+5600</f>
        <v>9735</v>
      </c>
      <c r="F15" s="38">
        <f>1987+4050</f>
        <v>6037</v>
      </c>
      <c r="G15" s="38">
        <v>1630</v>
      </c>
      <c r="H15" s="38">
        <v>16554</v>
      </c>
      <c r="I15" s="38">
        <f>28269-19125+4390+6756</f>
        <v>20290</v>
      </c>
      <c r="J15" s="38">
        <f>2914+5838+4950+240+1000+6365+1880+2390</f>
        <v>25577</v>
      </c>
      <c r="K15" s="10">
        <v>29446</v>
      </c>
      <c r="L15" s="10">
        <v>56040</v>
      </c>
      <c r="M15" s="10">
        <v>21304</v>
      </c>
      <c r="N15" s="10">
        <v>93807</v>
      </c>
      <c r="O15" s="10">
        <v>61627</v>
      </c>
      <c r="P15" s="10">
        <v>46439</v>
      </c>
      <c r="Q15" s="10">
        <v>11035</v>
      </c>
      <c r="R15" s="10">
        <v>17071</v>
      </c>
      <c r="S15" s="9">
        <v>16635</v>
      </c>
      <c r="T15" s="249">
        <v>20000</v>
      </c>
      <c r="U15" s="190">
        <v>15000</v>
      </c>
      <c r="V15" s="236" t="s">
        <v>2841</v>
      </c>
    </row>
    <row r="16" spans="1:23" x14ac:dyDescent="0.3">
      <c r="A16" s="7" t="s">
        <v>2554</v>
      </c>
      <c r="B16" s="39">
        <f t="shared" ref="B16:K16" si="0">SUM(B6:B15)</f>
        <v>194703</v>
      </c>
      <c r="C16" s="39">
        <f t="shared" si="0"/>
        <v>431575</v>
      </c>
      <c r="D16" s="39">
        <f t="shared" si="0"/>
        <v>282807</v>
      </c>
      <c r="E16" s="39">
        <f t="shared" si="0"/>
        <v>308979.27999999997</v>
      </c>
      <c r="F16" s="39">
        <f t="shared" si="0"/>
        <v>390713.28</v>
      </c>
      <c r="G16" s="39">
        <f t="shared" si="0"/>
        <v>373620</v>
      </c>
      <c r="H16" s="39">
        <f t="shared" si="0"/>
        <v>575175</v>
      </c>
      <c r="I16" s="39">
        <f>SUM(I6:I15)</f>
        <v>727836</v>
      </c>
      <c r="J16" s="39">
        <f t="shared" ref="J16" si="1">SUM(J6:J15)</f>
        <v>702290</v>
      </c>
      <c r="K16" s="12">
        <f t="shared" si="0"/>
        <v>735324</v>
      </c>
      <c r="L16" s="12">
        <f t="shared" ref="L16:R16" si="2">SUM(L6:L15)</f>
        <v>671628</v>
      </c>
      <c r="M16" s="12">
        <f t="shared" si="2"/>
        <v>717654</v>
      </c>
      <c r="N16" s="12">
        <f t="shared" si="2"/>
        <v>763533</v>
      </c>
      <c r="O16" s="12">
        <f t="shared" si="2"/>
        <v>701882</v>
      </c>
      <c r="P16" s="12">
        <f t="shared" si="2"/>
        <v>831624</v>
      </c>
      <c r="Q16" s="12">
        <f t="shared" si="2"/>
        <v>938665</v>
      </c>
      <c r="R16" s="12">
        <f t="shared" si="2"/>
        <v>912717</v>
      </c>
      <c r="S16" s="11">
        <f>SUM(S6:S15)</f>
        <v>936195</v>
      </c>
      <c r="T16" s="250">
        <f>SUM(T6:T15)</f>
        <v>1254000</v>
      </c>
      <c r="U16" s="191">
        <f>SUM(U6:U15)</f>
        <v>1222000</v>
      </c>
    </row>
    <row r="17" spans="1:24" ht="16.2" thickBot="1" x14ac:dyDescent="0.35">
      <c r="B17" s="38"/>
      <c r="C17" s="40"/>
      <c r="D17" s="40"/>
      <c r="E17" s="38"/>
      <c r="F17" s="40"/>
      <c r="G17" s="40"/>
      <c r="H17" s="40"/>
      <c r="I17" s="40"/>
      <c r="J17" s="40"/>
      <c r="S17" s="111"/>
      <c r="T17" s="249"/>
      <c r="U17" s="190"/>
    </row>
    <row r="18" spans="1:24" s="13" customFormat="1" ht="16.2" thickBot="1" x14ac:dyDescent="0.35">
      <c r="A18" s="32" t="s">
        <v>30</v>
      </c>
      <c r="B18" s="38"/>
      <c r="C18" s="41"/>
      <c r="D18" s="41"/>
      <c r="E18" s="38"/>
      <c r="F18" s="41"/>
      <c r="G18" s="41"/>
      <c r="H18" s="41"/>
      <c r="I18" s="41"/>
      <c r="J18" s="41"/>
      <c r="S18" s="112"/>
      <c r="T18" s="249"/>
      <c r="U18" s="190"/>
      <c r="V18" s="271"/>
      <c r="W18" s="159"/>
    </row>
    <row r="19" spans="1:24" ht="54" customHeight="1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10">
        <v>-70226</v>
      </c>
      <c r="M19" s="10">
        <v>-120875</v>
      </c>
      <c r="N19" s="10">
        <v>-81372</v>
      </c>
      <c r="O19" s="10">
        <v>-159842</v>
      </c>
      <c r="P19" s="10">
        <v>-181432</v>
      </c>
      <c r="Q19" s="10">
        <v>-220492</v>
      </c>
      <c r="R19" s="10">
        <v>-95687</v>
      </c>
      <c r="S19" s="9">
        <f>-148801-3339-129-1666</f>
        <v>-153935</v>
      </c>
      <c r="T19" s="249">
        <v>-170000</v>
      </c>
      <c r="U19" s="190">
        <v>-130000</v>
      </c>
      <c r="V19" s="236" t="s">
        <v>2848</v>
      </c>
      <c r="W19" s="276" t="s">
        <v>2849</v>
      </c>
    </row>
    <row r="20" spans="1:24" x14ac:dyDescent="0.3">
      <c r="A20" s="4" t="s">
        <v>45</v>
      </c>
      <c r="B20" s="38">
        <v>-32646</v>
      </c>
      <c r="C20" s="38">
        <v>-42437</v>
      </c>
      <c r="D20" s="38">
        <v>-26923</v>
      </c>
      <c r="E20" s="38">
        <v>-32572</v>
      </c>
      <c r="F20" s="38">
        <v>-50743</v>
      </c>
      <c r="G20" s="38">
        <v>-52811</v>
      </c>
      <c r="H20" s="38">
        <v>-126816</v>
      </c>
      <c r="I20" s="38">
        <f>-953-23023-1120-3576-498-29220-3576-3576-48894</f>
        <v>-114436</v>
      </c>
      <c r="J20" s="38">
        <f>-975-3576-25151+2412-26894-7152-45412</f>
        <v>-106748</v>
      </c>
      <c r="K20" s="10">
        <v>-134562</v>
      </c>
      <c r="L20" s="10">
        <v>-150140</v>
      </c>
      <c r="M20" s="10">
        <v>-104717</v>
      </c>
      <c r="N20" s="10">
        <v>-122818</v>
      </c>
      <c r="O20" s="10">
        <v>-100638</v>
      </c>
      <c r="P20" s="10">
        <v>-133504</v>
      </c>
      <c r="Q20" s="10">
        <v>-140769</v>
      </c>
      <c r="R20" s="10">
        <v>-121835</v>
      </c>
      <c r="S20" s="9">
        <v>-45609</v>
      </c>
      <c r="T20" s="249">
        <v>-120000</v>
      </c>
      <c r="U20" s="190">
        <v>-120000</v>
      </c>
      <c r="W20" s="197"/>
      <c r="X20" s="55"/>
    </row>
    <row r="21" spans="1:24" x14ac:dyDescent="0.3">
      <c r="A21" s="4" t="s">
        <v>508</v>
      </c>
      <c r="B21" s="38">
        <v>-11755</v>
      </c>
      <c r="C21" s="38">
        <v>-20024</v>
      </c>
      <c r="D21" s="38">
        <v>-13297</v>
      </c>
      <c r="E21" s="38">
        <v>-14853.42</v>
      </c>
      <c r="F21" s="38">
        <v>-18717</v>
      </c>
      <c r="G21" s="38">
        <v>-4027</v>
      </c>
      <c r="H21" s="38">
        <v>-20624</v>
      </c>
      <c r="I21" s="38">
        <f>-3208-5440+2557-5729-1907+1985-874-1767-2130-3432-789-9120-114-867-1407-1435-38-5807-8282</f>
        <v>-47804</v>
      </c>
      <c r="J21" s="38">
        <f>-3760-1277-3685+3685-2253-17843-2444-4021-349-5145-111-368-279-322</f>
        <v>-38172</v>
      </c>
      <c r="K21" s="10">
        <v>-17887</v>
      </c>
      <c r="L21" s="10">
        <v>-4522</v>
      </c>
      <c r="M21" s="10">
        <v>0</v>
      </c>
      <c r="N21" s="10">
        <v>-469</v>
      </c>
      <c r="O21" s="10">
        <v>-225</v>
      </c>
      <c r="P21" s="10">
        <v>-519</v>
      </c>
      <c r="Q21" s="10">
        <v>-58306</v>
      </c>
      <c r="R21" s="10">
        <v>-29423</v>
      </c>
      <c r="S21" s="9">
        <v>-290</v>
      </c>
      <c r="T21" s="249">
        <v>-45000</v>
      </c>
      <c r="U21" s="190">
        <v>-45000</v>
      </c>
      <c r="V21" s="217" t="s">
        <v>2843</v>
      </c>
      <c r="W21" s="197"/>
    </row>
    <row r="22" spans="1:24" ht="28.8" customHeight="1" x14ac:dyDescent="0.3">
      <c r="A22" s="4" t="s">
        <v>1633</v>
      </c>
      <c r="B22" s="38">
        <v>-4800</v>
      </c>
      <c r="C22" s="38">
        <v>-3398</v>
      </c>
      <c r="D22" s="38">
        <v>0</v>
      </c>
      <c r="E22" s="38">
        <v>-7138</v>
      </c>
      <c r="F22" s="38">
        <v>-3450</v>
      </c>
      <c r="G22" s="38">
        <v>-8100</v>
      </c>
      <c r="H22" s="38">
        <v>-6790</v>
      </c>
      <c r="I22" s="38">
        <f>-2940-7000-2500-2800-185+23111-23111-31150-1700-495-1000</f>
        <v>-49770</v>
      </c>
      <c r="J22" s="38">
        <f>-2100-1969-5000-500-15500-1440-629-7355</f>
        <v>-34493</v>
      </c>
      <c r="K22" s="10">
        <v>-38345</v>
      </c>
      <c r="L22" s="10">
        <v>-52120</v>
      </c>
      <c r="M22" s="10">
        <v>-70704</v>
      </c>
      <c r="N22" s="10">
        <v>-10498</v>
      </c>
      <c r="O22" s="10">
        <v>-17059</v>
      </c>
      <c r="P22" s="10">
        <v>-29952</v>
      </c>
      <c r="Q22" s="10">
        <v>-42358</v>
      </c>
      <c r="R22" s="10">
        <v>-52555</v>
      </c>
      <c r="S22" s="9">
        <f>-25660-53400</f>
        <v>-79060</v>
      </c>
      <c r="T22" s="249">
        <v>-100000</v>
      </c>
      <c r="U22" s="190">
        <v>-90000</v>
      </c>
      <c r="V22" s="217" t="s">
        <v>2844</v>
      </c>
      <c r="W22" s="197"/>
    </row>
    <row r="23" spans="1:24" ht="33.6" customHeight="1" x14ac:dyDescent="0.3">
      <c r="A23" s="4" t="s">
        <v>940</v>
      </c>
      <c r="B23" s="38">
        <v>0</v>
      </c>
      <c r="C23" s="38">
        <v>-1700</v>
      </c>
      <c r="D23" s="38">
        <v>0</v>
      </c>
      <c r="E23" s="38">
        <v>-3400</v>
      </c>
      <c r="F23" s="38">
        <v>-3900</v>
      </c>
      <c r="G23" s="38">
        <v>-4550</v>
      </c>
      <c r="H23" s="38">
        <v>-7520</v>
      </c>
      <c r="I23" s="38">
        <f>-4500-4000-682-4000-1110</f>
        <v>-14292</v>
      </c>
      <c r="J23" s="38">
        <f>-4000-5500-4000-407</f>
        <v>-13907</v>
      </c>
      <c r="K23" s="10">
        <v>-40515</v>
      </c>
      <c r="L23" s="10">
        <v>-23150</v>
      </c>
      <c r="M23" s="10">
        <v>-39500</v>
      </c>
      <c r="N23" s="10">
        <v>-35192</v>
      </c>
      <c r="O23" s="10">
        <v>-26250</v>
      </c>
      <c r="P23" s="10">
        <v>-92029</v>
      </c>
      <c r="Q23" s="10">
        <v>-99926</v>
      </c>
      <c r="R23" s="10">
        <v>-108845</v>
      </c>
      <c r="S23" s="9">
        <v>-50842</v>
      </c>
      <c r="T23" s="249">
        <v>-110000</v>
      </c>
      <c r="U23" s="190">
        <v>-210000</v>
      </c>
      <c r="V23" s="217" t="s">
        <v>2850</v>
      </c>
      <c r="W23" s="197"/>
    </row>
    <row r="24" spans="1:24" ht="28.2" customHeight="1" x14ac:dyDescent="0.3">
      <c r="A24" s="4" t="s">
        <v>39</v>
      </c>
      <c r="B24" s="38">
        <v>-18016</v>
      </c>
      <c r="C24" s="38">
        <v>-18105</v>
      </c>
      <c r="D24" s="38">
        <v>-14387</v>
      </c>
      <c r="E24" s="38">
        <v>-7915</v>
      </c>
      <c r="F24" s="38">
        <v>-13828</v>
      </c>
      <c r="G24" s="38">
        <v>-24118</v>
      </c>
      <c r="H24" s="38">
        <v>-30770</v>
      </c>
      <c r="I24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4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4" s="10">
        <v>-76389</v>
      </c>
      <c r="L24" s="10">
        <v>-81515</v>
      </c>
      <c r="M24" s="10">
        <v>-88679</v>
      </c>
      <c r="N24" s="10">
        <v>-72732</v>
      </c>
      <c r="O24" s="10">
        <v>-58100</v>
      </c>
      <c r="P24" s="10">
        <v>-79144</v>
      </c>
      <c r="Q24" s="10">
        <v>-104788</v>
      </c>
      <c r="R24" s="10">
        <v>-88174</v>
      </c>
      <c r="S24" s="9">
        <v>-34097</v>
      </c>
      <c r="T24" s="249">
        <v>-95000</v>
      </c>
      <c r="U24" s="190">
        <v>-95000</v>
      </c>
      <c r="V24" s="236" t="s">
        <v>2851</v>
      </c>
      <c r="W24" s="197"/>
    </row>
    <row r="25" spans="1:24" x14ac:dyDescent="0.3">
      <c r="A25" s="4" t="s">
        <v>40</v>
      </c>
      <c r="B25" s="38">
        <v>0</v>
      </c>
      <c r="C25" s="38">
        <v>-850</v>
      </c>
      <c r="D25" s="38">
        <v>-625</v>
      </c>
      <c r="E25" s="38">
        <v>-8200</v>
      </c>
      <c r="F25" s="38">
        <v>0</v>
      </c>
      <c r="G25" s="38">
        <v>0</v>
      </c>
      <c r="H25" s="38">
        <v>-2100</v>
      </c>
      <c r="I25" s="38">
        <f>-3950</f>
        <v>-3950</v>
      </c>
      <c r="J25" s="38">
        <f>-2750</f>
        <v>-2750</v>
      </c>
      <c r="K25" s="10">
        <v>-2500</v>
      </c>
      <c r="L25" s="10">
        <v>-3050</v>
      </c>
      <c r="M25" s="10">
        <v>-3860</v>
      </c>
      <c r="N25" s="10">
        <v>-7420</v>
      </c>
      <c r="O25" s="10">
        <v>-4750</v>
      </c>
      <c r="P25" s="10">
        <v>-1231</v>
      </c>
      <c r="Q25" s="10">
        <v>-13700</v>
      </c>
      <c r="R25" s="10">
        <v>-14628</v>
      </c>
      <c r="S25" s="9">
        <v>-8771</v>
      </c>
      <c r="T25" s="249">
        <v>-20000</v>
      </c>
      <c r="U25" s="190">
        <v>-15000</v>
      </c>
      <c r="V25" s="236" t="s">
        <v>2852</v>
      </c>
      <c r="W25" s="197"/>
    </row>
    <row r="26" spans="1:24" ht="26.4" customHeight="1" x14ac:dyDescent="0.3">
      <c r="A26" s="4" t="s">
        <v>36</v>
      </c>
      <c r="B26" s="38">
        <v>-5000</v>
      </c>
      <c r="C26" s="38">
        <v>-350</v>
      </c>
      <c r="D26" s="38">
        <v>0</v>
      </c>
      <c r="E26" s="38">
        <v>-3550</v>
      </c>
      <c r="F26" s="38">
        <v>-10190</v>
      </c>
      <c r="G26" s="38">
        <v>-27295</v>
      </c>
      <c r="H26" s="38">
        <v>-13550</v>
      </c>
      <c r="I26" s="38">
        <f>-1400-1400-2700-3000-1500-1200-1400-1000-1200-1300-1500-800-1200-1400-1400-1190</f>
        <v>-23590</v>
      </c>
      <c r="J26" s="38">
        <f>-800-1200-1100-3350-1400-1000-2000-1000-1400-300-1200-1400-1800-1500-1500-1600-1400-1400</f>
        <v>-25350</v>
      </c>
      <c r="K26" s="10">
        <v>-23700</v>
      </c>
      <c r="L26" s="10">
        <v>-23490</v>
      </c>
      <c r="M26" s="10">
        <v>-20500</v>
      </c>
      <c r="N26" s="10">
        <v>-6700</v>
      </c>
      <c r="O26" s="10">
        <v>-4050</v>
      </c>
      <c r="P26" s="10">
        <v>-22800</v>
      </c>
      <c r="Q26" s="10">
        <v>-34900</v>
      </c>
      <c r="R26" s="10">
        <v>-31665</v>
      </c>
      <c r="S26" s="9">
        <v>-28250</v>
      </c>
      <c r="T26" s="249">
        <v>-35000</v>
      </c>
      <c r="U26" s="190">
        <v>-30000</v>
      </c>
      <c r="V26" s="217" t="s">
        <v>2853</v>
      </c>
      <c r="W26" s="197"/>
    </row>
    <row r="27" spans="1:24" ht="22.8" customHeight="1" x14ac:dyDescent="0.3">
      <c r="A27" s="4" t="s">
        <v>154</v>
      </c>
      <c r="B27" s="38">
        <v>-19050</v>
      </c>
      <c r="C27" s="38">
        <f>-13250-1750</f>
        <v>-15000</v>
      </c>
      <c r="D27" s="38">
        <v>-19650</v>
      </c>
      <c r="E27" s="38">
        <v>-15750</v>
      </c>
      <c r="F27" s="38">
        <v>-21750</v>
      </c>
      <c r="G27" s="38">
        <v>-30300</v>
      </c>
      <c r="H27" s="38">
        <v>-23520</v>
      </c>
      <c r="I27" s="38">
        <f>950+4008-3900-500-15200+1000-500-1000-2000+1000-250-7000-600-7500</f>
        <v>-31492</v>
      </c>
      <c r="J27" s="38">
        <f>-1000-3000-6600-9700-4500-1900-1200-2000-2400-2000-400-500-2000</f>
        <v>-37200</v>
      </c>
      <c r="K27" s="10">
        <v>-30550</v>
      </c>
      <c r="L27" s="10">
        <v>-32750</v>
      </c>
      <c r="M27" s="10">
        <v>-41400</v>
      </c>
      <c r="N27" s="10">
        <v>-35920</v>
      </c>
      <c r="O27" s="10">
        <v>-14840</v>
      </c>
      <c r="P27" s="10">
        <v>-30440</v>
      </c>
      <c r="Q27" s="10">
        <v>-32200</v>
      </c>
      <c r="R27" s="10">
        <v>-24300</v>
      </c>
      <c r="S27" s="9">
        <v>-30450</v>
      </c>
      <c r="T27" s="249">
        <v>-30000</v>
      </c>
      <c r="U27" s="190">
        <v>-25000</v>
      </c>
      <c r="V27" s="217" t="s">
        <v>2854</v>
      </c>
      <c r="W27" s="197"/>
    </row>
    <row r="28" spans="1:24" x14ac:dyDescent="0.3">
      <c r="A28" s="4" t="s">
        <v>43</v>
      </c>
      <c r="B28" s="38">
        <v>-14470</v>
      </c>
      <c r="C28" s="38">
        <v>-10300</v>
      </c>
      <c r="D28" s="38">
        <v>-4860</v>
      </c>
      <c r="E28" s="38">
        <v>0</v>
      </c>
      <c r="F28" s="38">
        <v>-18405</v>
      </c>
      <c r="G28" s="38">
        <v>-10950</v>
      </c>
      <c r="H28" s="38">
        <v>-9515</v>
      </c>
      <c r="I28" s="38">
        <f>-300-8900+850-1250-3500</f>
        <v>-13100</v>
      </c>
      <c r="J28" s="38">
        <f>-4700-2390-8400</f>
        <v>-15490</v>
      </c>
      <c r="K28" s="10">
        <v>-14710</v>
      </c>
      <c r="L28" s="10">
        <v>-18980</v>
      </c>
      <c r="M28" s="10">
        <v>-15500</v>
      </c>
      <c r="N28" s="10">
        <v>-14350</v>
      </c>
      <c r="O28" s="10">
        <v>-15370</v>
      </c>
      <c r="P28" s="10">
        <v>-5340</v>
      </c>
      <c r="Q28" s="10">
        <v>-4080</v>
      </c>
      <c r="R28" s="10">
        <v>-23540</v>
      </c>
      <c r="S28" s="9">
        <v>-14300</v>
      </c>
      <c r="T28" s="249">
        <v>-10000</v>
      </c>
      <c r="U28" s="190">
        <v>-10000</v>
      </c>
      <c r="V28" s="217" t="s">
        <v>2855</v>
      </c>
      <c r="W28" s="197"/>
    </row>
    <row r="29" spans="1:24" ht="34.799999999999997" customHeight="1" x14ac:dyDescent="0.3">
      <c r="A29" s="4" t="s">
        <v>44</v>
      </c>
      <c r="B29" s="38">
        <v>-25000</v>
      </c>
      <c r="C29" s="38">
        <v>-15000</v>
      </c>
      <c r="D29" s="38">
        <v>-17500</v>
      </c>
      <c r="E29" s="38">
        <v>-30416</v>
      </c>
      <c r="F29" s="38">
        <v>-16000</v>
      </c>
      <c r="G29" s="38">
        <v>-34000</v>
      </c>
      <c r="H29" s="38">
        <v>-27000</v>
      </c>
      <c r="I29" s="38">
        <f>-12500-1000-2000-5000-3000</f>
        <v>-23500</v>
      </c>
      <c r="J29" s="38">
        <f>-1500-10000-500-4000</f>
        <v>-16000</v>
      </c>
      <c r="K29" s="10">
        <v>-39400</v>
      </c>
      <c r="L29" s="10">
        <v>-28600</v>
      </c>
      <c r="M29" s="10">
        <v>-18000</v>
      </c>
      <c r="N29" s="10">
        <v>-25600</v>
      </c>
      <c r="O29" s="10">
        <v>-53500</v>
      </c>
      <c r="P29" s="10">
        <f>-55750</f>
        <v>-55750</v>
      </c>
      <c r="Q29" s="10">
        <v>-66350</v>
      </c>
      <c r="R29" s="10">
        <v>-80025</v>
      </c>
      <c r="S29" s="9">
        <v>-12475</v>
      </c>
      <c r="T29" s="249">
        <v>-80000</v>
      </c>
      <c r="U29" s="190">
        <v>-80000</v>
      </c>
      <c r="V29" s="217" t="s">
        <v>2845</v>
      </c>
      <c r="W29" s="197"/>
    </row>
    <row r="30" spans="1:24" ht="27" customHeight="1" x14ac:dyDescent="0.3">
      <c r="A30" s="4" t="s">
        <v>56</v>
      </c>
      <c r="B30" s="38">
        <v>-4459</v>
      </c>
      <c r="C30" s="38">
        <v>-12173</v>
      </c>
      <c r="D30" s="38">
        <v>0</v>
      </c>
      <c r="E30" s="38">
        <v>-180</v>
      </c>
      <c r="F30" s="38">
        <v>-1887</v>
      </c>
      <c r="G30" s="38">
        <v>0</v>
      </c>
      <c r="H30" s="38">
        <v>0</v>
      </c>
      <c r="I30" s="38">
        <v>0</v>
      </c>
      <c r="J30" s="38">
        <f>-500-2500-500-1000</f>
        <v>-4500</v>
      </c>
      <c r="K30" s="10">
        <v>-10000</v>
      </c>
      <c r="L30" s="10">
        <v>-14500</v>
      </c>
      <c r="M30" s="10">
        <v>-12500</v>
      </c>
      <c r="N30" s="10">
        <v>-14000</v>
      </c>
      <c r="O30" s="10">
        <v>-9500</v>
      </c>
      <c r="P30" s="10">
        <f>-19000-4000</f>
        <v>-23000</v>
      </c>
      <c r="Q30" s="10">
        <v>-19850</v>
      </c>
      <c r="R30" s="10">
        <v>-27630</v>
      </c>
      <c r="S30" s="9">
        <v>0</v>
      </c>
      <c r="T30" s="249">
        <v>-36000</v>
      </c>
      <c r="U30" s="190">
        <v>-36000</v>
      </c>
      <c r="V30" s="217" t="s">
        <v>2826</v>
      </c>
    </row>
    <row r="31" spans="1:24" x14ac:dyDescent="0.3">
      <c r="A31" s="4" t="s">
        <v>32</v>
      </c>
      <c r="B31" s="38">
        <f>-2650-3100-1600</f>
        <v>-7350</v>
      </c>
      <c r="C31" s="38">
        <f>-250-2500-1842</f>
        <v>-4592</v>
      </c>
      <c r="D31" s="38">
        <f>-250-4500-1899</f>
        <v>-6649</v>
      </c>
      <c r="E31" s="38">
        <v>-6338</v>
      </c>
      <c r="F31" s="38">
        <v>-6643</v>
      </c>
      <c r="G31" s="38">
        <v>-3530</v>
      </c>
      <c r="H31" s="38">
        <v>-1024</v>
      </c>
      <c r="I31" s="38">
        <f>-774-250</f>
        <v>-1024</v>
      </c>
      <c r="J31" s="38">
        <f>-771-500</f>
        <v>-1271</v>
      </c>
      <c r="K31" s="10">
        <v>-3000</v>
      </c>
      <c r="L31" s="10">
        <v>-500</v>
      </c>
      <c r="M31" s="10">
        <v>-500</v>
      </c>
      <c r="N31" s="10">
        <v>-500</v>
      </c>
      <c r="O31" s="10">
        <v>-500</v>
      </c>
      <c r="P31" s="10">
        <v>-500</v>
      </c>
      <c r="Q31" s="10">
        <v>-500</v>
      </c>
      <c r="R31" s="10">
        <v>-500</v>
      </c>
      <c r="S31" s="9">
        <v>-500</v>
      </c>
      <c r="T31" s="249">
        <v>-500</v>
      </c>
      <c r="U31" s="190">
        <v>-500</v>
      </c>
    </row>
    <row r="32" spans="1:24" x14ac:dyDescent="0.3">
      <c r="A32" s="4" t="s">
        <v>491</v>
      </c>
      <c r="B32" s="38">
        <v>0</v>
      </c>
      <c r="C32" s="38">
        <f>-75994-6425</f>
        <v>-82419</v>
      </c>
      <c r="D32" s="38">
        <f>-29362-12800</f>
        <v>-42162</v>
      </c>
      <c r="E32" s="38">
        <v>0</v>
      </c>
      <c r="F32" s="38">
        <v>0</v>
      </c>
      <c r="G32" s="38">
        <v>-102305</v>
      </c>
      <c r="H32" s="38">
        <v>-94393</v>
      </c>
      <c r="I32" s="38">
        <f>-1824-(23*800)-34400-1130-45448</f>
        <v>-101202</v>
      </c>
      <c r="J32" s="38">
        <f>-268-800-800-800-800-800-800-800-800-800-800-800-800-800-800-800-800-800-264-800-800-28998-800-800-800-36777</f>
        <v>-83907</v>
      </c>
      <c r="K32" s="10">
        <v>-90569</v>
      </c>
      <c r="L32" s="10">
        <v>-87302</v>
      </c>
      <c r="M32" s="10">
        <v>-94382</v>
      </c>
      <c r="N32" s="10">
        <v>-111217</v>
      </c>
      <c r="O32" s="10">
        <v>-128246</v>
      </c>
      <c r="P32" s="10">
        <v>-166907</v>
      </c>
      <c r="Q32" s="10">
        <v>-161843</v>
      </c>
      <c r="R32" s="10">
        <v>-202575</v>
      </c>
      <c r="S32" s="9">
        <v>0</v>
      </c>
      <c r="T32" s="249">
        <v>-220000</v>
      </c>
      <c r="U32" s="190">
        <v>-200000</v>
      </c>
      <c r="V32" s="217" t="s">
        <v>2649</v>
      </c>
      <c r="W32" s="197"/>
    </row>
    <row r="33" spans="1:23" x14ac:dyDescent="0.3">
      <c r="A33" s="4" t="s">
        <v>2830</v>
      </c>
      <c r="B33" s="38">
        <v>0</v>
      </c>
      <c r="C33" s="38">
        <f>-75994-6425</f>
        <v>-82419</v>
      </c>
      <c r="D33" s="38">
        <f>-29362-12800</f>
        <v>-42162</v>
      </c>
      <c r="E33" s="38">
        <v>0</v>
      </c>
      <c r="F33" s="38">
        <v>0</v>
      </c>
      <c r="G33" s="38">
        <v>-102305</v>
      </c>
      <c r="H33" s="38">
        <v>-94393</v>
      </c>
      <c r="I33" s="38">
        <f>-1824-(23*800)-34400-1130-45448</f>
        <v>-101202</v>
      </c>
      <c r="J33" s="38">
        <f>-268-800-800-800-800-800-800-800-800-800-800-800-800-800-800-800-800-800-264-800-800-28998-800-800-800-36777</f>
        <v>-83907</v>
      </c>
      <c r="K33" s="10">
        <v>-90569</v>
      </c>
      <c r="L33" s="10">
        <v>-87302</v>
      </c>
      <c r="M33" s="10">
        <v>-94382</v>
      </c>
      <c r="N33" s="10">
        <v>-111217</v>
      </c>
      <c r="O33" s="10"/>
      <c r="P33" s="10"/>
      <c r="Q33" s="10"/>
      <c r="R33" s="10"/>
      <c r="S33" s="9">
        <v>0</v>
      </c>
      <c r="T33" s="249">
        <v>-120000</v>
      </c>
      <c r="U33" s="190">
        <v>-120000</v>
      </c>
      <c r="V33" s="217" t="s">
        <v>2649</v>
      </c>
      <c r="W33" s="197"/>
    </row>
    <row r="34" spans="1:23" hidden="1" x14ac:dyDescent="0.3">
      <c r="A34" s="4" t="s">
        <v>33</v>
      </c>
      <c r="B34" s="38">
        <v>0</v>
      </c>
      <c r="C34" s="38">
        <v>0</v>
      </c>
      <c r="D34" s="38">
        <v>0</v>
      </c>
      <c r="E34" s="38">
        <v>-741</v>
      </c>
      <c r="F34" s="38">
        <v>-547</v>
      </c>
      <c r="G34" s="38">
        <v>-154</v>
      </c>
      <c r="H34" s="38">
        <v>-510</v>
      </c>
      <c r="I34" s="38">
        <v>0</v>
      </c>
      <c r="J34" s="38">
        <f>-160</f>
        <v>-160</v>
      </c>
      <c r="K34" s="10">
        <v>0</v>
      </c>
      <c r="L34" s="10">
        <v>0</v>
      </c>
      <c r="M34" s="10">
        <v>0</v>
      </c>
      <c r="N34" s="10">
        <v>0</v>
      </c>
      <c r="O34" s="10"/>
      <c r="P34" s="10"/>
      <c r="Q34" s="10"/>
      <c r="R34" s="10"/>
      <c r="S34" s="9"/>
      <c r="T34" s="249">
        <v>0</v>
      </c>
      <c r="U34" s="190">
        <v>0</v>
      </c>
      <c r="W34" s="197"/>
    </row>
    <row r="35" spans="1:23" ht="31.2" customHeight="1" x14ac:dyDescent="0.3">
      <c r="A35" s="4" t="s">
        <v>493</v>
      </c>
      <c r="B35" s="38">
        <f>-635-7900</f>
        <v>-8535</v>
      </c>
      <c r="C35" s="38">
        <f>-1500-935-3800-2859-81</f>
        <v>-9175</v>
      </c>
      <c r="D35" s="38">
        <f>-755-1100</f>
        <v>-1855</v>
      </c>
      <c r="E35" s="38">
        <f>-2424-5850</f>
        <v>-8274</v>
      </c>
      <c r="F35" s="38">
        <v>-4637.7700000000004</v>
      </c>
      <c r="G35" s="38">
        <f>-2261-14329</f>
        <v>-16590</v>
      </c>
      <c r="H35" s="38">
        <v>-8129</v>
      </c>
      <c r="I35" s="38">
        <f>-469-740+140+140-4815-234</f>
        <v>-5978</v>
      </c>
      <c r="J35" s="38">
        <f>140-1170-608-2080-341</f>
        <v>-4059</v>
      </c>
      <c r="K35" s="10">
        <v>-11110</v>
      </c>
      <c r="L35" s="10">
        <f>-1688+-1553</f>
        <v>-3241</v>
      </c>
      <c r="M35" s="10">
        <f>-6416-763</f>
        <v>-7179</v>
      </c>
      <c r="N35" s="10">
        <f>-2226-250-4352</f>
        <v>-6828</v>
      </c>
      <c r="O35" s="10">
        <f>-2835-250-1000</f>
        <v>-4085</v>
      </c>
      <c r="P35" s="10">
        <v>-5059</v>
      </c>
      <c r="Q35" s="10">
        <f>-750-1134-300-1094-78-365-350-711-1000-295-148</f>
        <v>-6225</v>
      </c>
      <c r="R35" s="244">
        <f>-750-65-1368-1000-308-1600-90-74-1368-187-130-75-500-800-100-132-500</f>
        <v>-9047</v>
      </c>
      <c r="S35" s="9">
        <f>-7620</f>
        <v>-7620</v>
      </c>
      <c r="T35" s="249">
        <v>-10000</v>
      </c>
      <c r="U35" s="190">
        <v>-5000</v>
      </c>
      <c r="V35" s="217" t="s">
        <v>2772</v>
      </c>
      <c r="W35" s="197"/>
    </row>
    <row r="36" spans="1:23" x14ac:dyDescent="0.3">
      <c r="A36" s="7" t="s">
        <v>2555</v>
      </c>
      <c r="B36" s="39">
        <f t="shared" ref="B36:S36" si="3">SUM(B19:B35)</f>
        <v>-218877</v>
      </c>
      <c r="C36" s="39">
        <f t="shared" si="3"/>
        <v>-341353</v>
      </c>
      <c r="D36" s="39">
        <f t="shared" si="3"/>
        <v>-230006</v>
      </c>
      <c r="E36" s="39">
        <f t="shared" si="3"/>
        <v>-247088.42</v>
      </c>
      <c r="F36" s="39">
        <f t="shared" si="3"/>
        <v>-325572.77</v>
      </c>
      <c r="G36" s="39">
        <f t="shared" si="3"/>
        <v>-559750</v>
      </c>
      <c r="H36" s="39">
        <f t="shared" si="3"/>
        <v>-561459</v>
      </c>
      <c r="I36" s="39">
        <f t="shared" si="3"/>
        <v>-719361</v>
      </c>
      <c r="J36" s="39">
        <f t="shared" si="3"/>
        <v>-668640</v>
      </c>
      <c r="K36" s="12">
        <f t="shared" si="3"/>
        <v>-825567</v>
      </c>
      <c r="L36" s="12">
        <f t="shared" si="3"/>
        <v>-681388</v>
      </c>
      <c r="M36" s="12">
        <f t="shared" si="3"/>
        <v>-732678</v>
      </c>
      <c r="N36" s="12">
        <f t="shared" si="3"/>
        <v>-656833</v>
      </c>
      <c r="O36" s="12">
        <f t="shared" ref="O36" si="4">SUM(O19:O35)</f>
        <v>-596955</v>
      </c>
      <c r="P36" s="12">
        <f t="shared" si="3"/>
        <v>-827607</v>
      </c>
      <c r="Q36" s="12">
        <f t="shared" ref="Q36:R36" si="5">SUM(Q19:Q35)</f>
        <v>-1006287</v>
      </c>
      <c r="R36" s="12">
        <f t="shared" si="5"/>
        <v>-910429</v>
      </c>
      <c r="S36" s="11">
        <f t="shared" si="3"/>
        <v>-466199</v>
      </c>
      <c r="T36" s="250">
        <f>SUM(T19:T35)</f>
        <v>-1201500</v>
      </c>
      <c r="U36" s="191">
        <f>SUM(U19:U35)</f>
        <v>-1211500</v>
      </c>
      <c r="V36" s="272"/>
      <c r="W36" s="206"/>
    </row>
    <row r="37" spans="1:23" hidden="1" x14ac:dyDescent="0.3">
      <c r="A37" s="7"/>
      <c r="B37" s="41"/>
      <c r="C37" s="41"/>
      <c r="D37" s="41"/>
      <c r="E37" s="39"/>
      <c r="F37" s="39"/>
      <c r="G37" s="39"/>
      <c r="H37" s="39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113"/>
      <c r="T37" s="250"/>
      <c r="U37" s="191"/>
      <c r="W37" s="207"/>
    </row>
    <row r="38" spans="1:23" s="13" customFormat="1" ht="38.25" hidden="1" customHeight="1" x14ac:dyDescent="0.3">
      <c r="A38" s="7" t="s">
        <v>48</v>
      </c>
      <c r="B38" s="39">
        <f t="shared" ref="B38:S38" si="6">+B36+B16</f>
        <v>-24174</v>
      </c>
      <c r="C38" s="39">
        <f t="shared" si="6"/>
        <v>90222</v>
      </c>
      <c r="D38" s="39">
        <f t="shared" si="6"/>
        <v>52801</v>
      </c>
      <c r="E38" s="39">
        <f t="shared" si="6"/>
        <v>61890.859999999957</v>
      </c>
      <c r="F38" s="39">
        <f t="shared" si="6"/>
        <v>65140.510000000009</v>
      </c>
      <c r="G38" s="39">
        <f t="shared" si="6"/>
        <v>-186130</v>
      </c>
      <c r="H38" s="39">
        <f t="shared" si="6"/>
        <v>13716</v>
      </c>
      <c r="I38" s="12">
        <f t="shared" si="6"/>
        <v>8475</v>
      </c>
      <c r="J38" s="12">
        <f t="shared" si="6"/>
        <v>33650</v>
      </c>
      <c r="K38" s="12">
        <f t="shared" si="6"/>
        <v>-90243</v>
      </c>
      <c r="L38" s="12">
        <f t="shared" si="6"/>
        <v>-9760</v>
      </c>
      <c r="M38" s="12">
        <f t="shared" si="6"/>
        <v>-15024</v>
      </c>
      <c r="N38" s="12">
        <f t="shared" si="6"/>
        <v>106700</v>
      </c>
      <c r="O38" s="12">
        <f t="shared" si="6"/>
        <v>104927</v>
      </c>
      <c r="P38" s="12">
        <f t="shared" si="6"/>
        <v>4017</v>
      </c>
      <c r="Q38" s="12">
        <f t="shared" si="6"/>
        <v>-67622</v>
      </c>
      <c r="R38" s="12">
        <f t="shared" si="6"/>
        <v>2288</v>
      </c>
      <c r="S38" s="11">
        <f t="shared" si="6"/>
        <v>469996</v>
      </c>
      <c r="T38" s="250">
        <f>T16+T36</f>
        <v>52500</v>
      </c>
      <c r="U38" s="191">
        <f>U16+U36</f>
        <v>10500</v>
      </c>
      <c r="V38" s="217"/>
      <c r="W38" s="207"/>
    </row>
    <row r="39" spans="1:23" s="13" customFormat="1" hidden="1" x14ac:dyDescent="0.3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1"/>
      <c r="T39" s="250"/>
      <c r="U39" s="191"/>
      <c r="V39" s="217"/>
      <c r="W39" s="207"/>
    </row>
    <row r="40" spans="1:23" s="13" customFormat="1" hidden="1" x14ac:dyDescent="0.3">
      <c r="A40" s="7" t="s">
        <v>1530</v>
      </c>
      <c r="B40" s="39">
        <v>-10000</v>
      </c>
      <c r="C40" s="39">
        <v>-10000</v>
      </c>
      <c r="D40" s="39">
        <v>-10000</v>
      </c>
      <c r="E40" s="39">
        <v>-10000</v>
      </c>
      <c r="F40" s="39">
        <v>-10000</v>
      </c>
      <c r="G40" s="39">
        <v>-14449</v>
      </c>
      <c r="H40" s="39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1">
        <v>0</v>
      </c>
      <c r="T40" s="250">
        <v>0</v>
      </c>
      <c r="U40" s="191">
        <v>0</v>
      </c>
      <c r="V40" s="217"/>
      <c r="W40" s="206"/>
    </row>
    <row r="41" spans="1:23" s="13" customFormat="1" ht="16.2" thickBot="1" x14ac:dyDescent="0.35">
      <c r="A41" s="7"/>
      <c r="B41" s="41"/>
      <c r="C41" s="41"/>
      <c r="D41" s="41"/>
      <c r="E41" s="39"/>
      <c r="F41" s="39"/>
      <c r="G41" s="39"/>
      <c r="H41" s="39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4"/>
      <c r="T41" s="251"/>
      <c r="U41" s="210"/>
      <c r="V41" s="272"/>
      <c r="W41" s="206"/>
    </row>
    <row r="42" spans="1:23" s="13" customFormat="1" ht="16.2" thickBot="1" x14ac:dyDescent="0.35">
      <c r="A42" s="7" t="s">
        <v>2557</v>
      </c>
      <c r="B42" s="39">
        <f t="shared" ref="B42:T42" si="7">+B40+B38</f>
        <v>-34174</v>
      </c>
      <c r="C42" s="39">
        <f t="shared" si="7"/>
        <v>80222</v>
      </c>
      <c r="D42" s="39">
        <f t="shared" si="7"/>
        <v>42801</v>
      </c>
      <c r="E42" s="39">
        <f t="shared" si="7"/>
        <v>51890.859999999957</v>
      </c>
      <c r="F42" s="39">
        <f t="shared" si="7"/>
        <v>55140.510000000009</v>
      </c>
      <c r="G42" s="39">
        <f t="shared" si="7"/>
        <v>-200579</v>
      </c>
      <c r="H42" s="39">
        <f t="shared" si="7"/>
        <v>13716</v>
      </c>
      <c r="I42" s="12">
        <f t="shared" si="7"/>
        <v>8475</v>
      </c>
      <c r="J42" s="12">
        <f>+J40+J38</f>
        <v>33650</v>
      </c>
      <c r="K42" s="12">
        <f t="shared" si="7"/>
        <v>-90243</v>
      </c>
      <c r="L42" s="12">
        <f t="shared" si="7"/>
        <v>-9760</v>
      </c>
      <c r="M42" s="12">
        <f t="shared" si="7"/>
        <v>-15024</v>
      </c>
      <c r="N42" s="12">
        <f t="shared" si="7"/>
        <v>106700</v>
      </c>
      <c r="O42" s="12">
        <f t="shared" si="7"/>
        <v>104927</v>
      </c>
      <c r="P42" s="12">
        <f t="shared" si="7"/>
        <v>4017</v>
      </c>
      <c r="Q42" s="12">
        <f t="shared" si="7"/>
        <v>-67622</v>
      </c>
      <c r="R42" s="12">
        <f t="shared" si="7"/>
        <v>2288</v>
      </c>
      <c r="S42" s="154">
        <f t="shared" si="7"/>
        <v>469996</v>
      </c>
      <c r="T42" s="252">
        <f t="shared" si="7"/>
        <v>52500</v>
      </c>
      <c r="U42" s="192">
        <f>+U40+U38</f>
        <v>10500</v>
      </c>
      <c r="V42" s="217"/>
      <c r="W42" s="208"/>
    </row>
    <row r="43" spans="1:23" s="13" customFormat="1" x14ac:dyDescent="0.3">
      <c r="A43" s="4"/>
      <c r="B43" s="4"/>
      <c r="C43" s="4"/>
      <c r="D43" s="4"/>
      <c r="E43" s="4"/>
      <c r="F43" s="4"/>
      <c r="G43" s="4"/>
      <c r="H43" s="4"/>
      <c r="T43" s="58"/>
      <c r="U43" s="58"/>
      <c r="V43" s="217"/>
      <c r="W43" s="155"/>
    </row>
    <row r="44" spans="1:23" s="13" customFormat="1" x14ac:dyDescent="0.3">
      <c r="A44" s="4"/>
      <c r="B44" s="4"/>
      <c r="C44" s="4"/>
      <c r="D44" s="4"/>
      <c r="E44" s="4"/>
      <c r="F44" s="4"/>
      <c r="G44" s="4"/>
      <c r="H44" s="4"/>
      <c r="Q44" s="281"/>
      <c r="R44" s="281"/>
      <c r="S44" s="1"/>
      <c r="T44" s="278"/>
      <c r="U44" s="1"/>
      <c r="V44" s="282"/>
      <c r="W44" s="157"/>
    </row>
    <row r="45" spans="1:23" x14ac:dyDescent="0.3">
      <c r="O45" s="13"/>
      <c r="Q45" s="281"/>
      <c r="R45" s="281"/>
      <c r="T45" s="278"/>
      <c r="V45" s="282"/>
    </row>
    <row r="46" spans="1:23" x14ac:dyDescent="0.3">
      <c r="Q46" s="281"/>
      <c r="R46" s="281"/>
      <c r="T46" s="278"/>
      <c r="V46" s="282"/>
    </row>
    <row r="47" spans="1:23" x14ac:dyDescent="0.3">
      <c r="Q47" s="281"/>
      <c r="R47" s="281"/>
      <c r="T47" s="278"/>
      <c r="V47" s="282"/>
    </row>
    <row r="48" spans="1:23" x14ac:dyDescent="0.3">
      <c r="Q48" s="283"/>
      <c r="R48" s="283"/>
      <c r="V48" s="284"/>
    </row>
    <row r="49" spans="16:24" x14ac:dyDescent="0.3">
      <c r="Q49" s="285"/>
      <c r="R49" s="285"/>
      <c r="T49" s="281"/>
      <c r="U49" s="4"/>
    </row>
    <row r="50" spans="16:24" s="4" customFormat="1" x14ac:dyDescent="0.3">
      <c r="P50" s="1"/>
      <c r="S50" s="1"/>
      <c r="T50" s="283"/>
      <c r="V50" s="282"/>
      <c r="W50" s="155"/>
      <c r="X50" s="1"/>
    </row>
    <row r="51" spans="16:24" s="4" customFormat="1" x14ac:dyDescent="0.3">
      <c r="S51" s="1"/>
      <c r="T51" s="283"/>
      <c r="V51" s="282"/>
      <c r="W51" s="155"/>
      <c r="X51" s="1"/>
    </row>
    <row r="52" spans="16:24" s="4" customFormat="1" x14ac:dyDescent="0.3">
      <c r="S52" s="1"/>
      <c r="T52" s="283"/>
      <c r="V52" s="282"/>
      <c r="W52" s="155"/>
      <c r="X52" s="1"/>
    </row>
    <row r="53" spans="16:24" s="4" customFormat="1" x14ac:dyDescent="0.3">
      <c r="Q53" s="1"/>
      <c r="R53" s="1"/>
      <c r="S53" s="1"/>
      <c r="T53" s="283"/>
      <c r="U53" s="1"/>
      <c r="V53" s="282"/>
      <c r="W53" s="155"/>
      <c r="X53" s="1"/>
    </row>
    <row r="54" spans="16:24" x14ac:dyDescent="0.3">
      <c r="T54" s="286"/>
      <c r="V54" s="282"/>
    </row>
    <row r="55" spans="16:24" x14ac:dyDescent="0.3">
      <c r="T55" s="286"/>
      <c r="V55" s="282"/>
    </row>
    <row r="56" spans="16:24" x14ac:dyDescent="0.3">
      <c r="V56" s="282"/>
    </row>
    <row r="57" spans="16:24" x14ac:dyDescent="0.3">
      <c r="V57" s="282"/>
    </row>
    <row r="58" spans="16:24" x14ac:dyDescent="0.3">
      <c r="V58" s="284"/>
    </row>
  </sheetData>
  <mergeCells count="2">
    <mergeCell ref="K1:M1"/>
    <mergeCell ref="O1:P1"/>
  </mergeCells>
  <pageMargins left="0.7" right="0.7" top="0.75" bottom="0.75" header="0.3" footer="0.3"/>
  <pageSetup paperSize="9" scale="58"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35E32-A356-4E40-BDA5-AF65AF6DD97F}">
  <sheetPr>
    <tabColor theme="5" tint="-0.249977111117893"/>
    <pageSetUpPr fitToPage="1"/>
  </sheetPr>
  <dimension ref="A1:Q52"/>
  <sheetViews>
    <sheetView zoomScaleNormal="100" workbookViewId="0">
      <pane xSplit="1" ySplit="3" topLeftCell="G4" activePane="bottomRight" state="frozen"/>
      <selection pane="topRight" activeCell="B1" sqref="B1"/>
      <selection pane="bottomLeft" activeCell="A4" sqref="A4"/>
      <selection pane="bottomRight" activeCell="O10" sqref="O10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2" width="16.44140625" style="1" customWidth="1"/>
    <col min="13" max="14" width="18.5546875" style="1" customWidth="1"/>
    <col min="15" max="15" width="27" style="196" customWidth="1"/>
    <col min="16" max="16" width="12" style="155" customWidth="1"/>
    <col min="17" max="16384" width="9.109375" style="1"/>
  </cols>
  <sheetData>
    <row r="1" spans="1:16" ht="31.8" thickBot="1" x14ac:dyDescent="0.65">
      <c r="A1" s="211" t="s">
        <v>486</v>
      </c>
      <c r="C1" s="224"/>
      <c r="D1" s="224"/>
      <c r="E1" s="295" t="s">
        <v>487</v>
      </c>
      <c r="F1" s="295"/>
      <c r="G1" s="295"/>
    </row>
    <row r="2" spans="1:16" ht="16.2" thickBot="1" x14ac:dyDescent="0.35"/>
    <row r="3" spans="1:16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227">
        <v>2018</v>
      </c>
      <c r="M3" s="253" t="s">
        <v>809</v>
      </c>
      <c r="N3" s="240" t="s">
        <v>2464</v>
      </c>
      <c r="O3" s="156"/>
      <c r="P3" s="156"/>
    </row>
    <row r="4" spans="1:16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110">
        <v>43415</v>
      </c>
      <c r="M4" s="110">
        <v>43465</v>
      </c>
      <c r="N4" s="209"/>
      <c r="O4" s="156"/>
      <c r="P4" s="156"/>
    </row>
    <row r="5" spans="1:16" ht="16.2" thickBot="1" x14ac:dyDescent="0.35">
      <c r="A5" s="32" t="s">
        <v>19</v>
      </c>
      <c r="B5" s="10"/>
      <c r="C5" s="7"/>
      <c r="D5" s="7"/>
      <c r="I5" s="4"/>
      <c r="J5" s="4"/>
      <c r="K5" s="256"/>
      <c r="L5" s="237"/>
      <c r="M5" s="111"/>
      <c r="N5" s="8"/>
      <c r="O5" s="155"/>
    </row>
    <row r="6" spans="1:16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9">
        <v>157419</v>
      </c>
      <c r="M6" s="249">
        <v>157000</v>
      </c>
      <c r="N6" s="190">
        <v>190000</v>
      </c>
      <c r="O6" s="217" t="s">
        <v>2436</v>
      </c>
    </row>
    <row r="7" spans="1:16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9">
        <v>136075</v>
      </c>
      <c r="M7" s="249">
        <v>136000</v>
      </c>
      <c r="N7" s="190">
        <v>150000</v>
      </c>
      <c r="O7" s="217" t="s">
        <v>2469</v>
      </c>
    </row>
    <row r="8" spans="1:16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9">
        <v>56362</v>
      </c>
      <c r="M8" s="249">
        <v>80000</v>
      </c>
      <c r="N8" s="190">
        <v>100000</v>
      </c>
      <c r="O8" s="155"/>
    </row>
    <row r="9" spans="1:16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9">
        <v>18200</v>
      </c>
      <c r="M9" s="249">
        <v>1800</v>
      </c>
      <c r="N9" s="190">
        <v>20000</v>
      </c>
      <c r="O9" s="217" t="s">
        <v>2472</v>
      </c>
    </row>
    <row r="10" spans="1:16" ht="31.8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9">
        <v>93420</v>
      </c>
      <c r="M10" s="249">
        <v>93000</v>
      </c>
      <c r="N10" s="190">
        <v>70000</v>
      </c>
      <c r="O10" s="217" t="s">
        <v>2471</v>
      </c>
    </row>
    <row r="11" spans="1:16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9">
        <v>68940</v>
      </c>
      <c r="M11" s="249">
        <v>68940</v>
      </c>
      <c r="N11" s="190">
        <v>90000</v>
      </c>
      <c r="O11" s="155"/>
    </row>
    <row r="12" spans="1:16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9">
        <v>0</v>
      </c>
      <c r="M12" s="249">
        <v>0</v>
      </c>
      <c r="N12" s="190">
        <v>0</v>
      </c>
      <c r="O12" s="155"/>
    </row>
    <row r="13" spans="1:16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9">
        <v>0</v>
      </c>
      <c r="M13" s="249">
        <v>0</v>
      </c>
      <c r="N13" s="190">
        <v>0</v>
      </c>
      <c r="O13" s="155"/>
    </row>
    <row r="14" spans="1:16" ht="21.6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9">
        <v>50000</v>
      </c>
      <c r="M14" s="249">
        <v>75000</v>
      </c>
      <c r="N14" s="190">
        <v>25000</v>
      </c>
      <c r="O14" s="217" t="s">
        <v>2470</v>
      </c>
    </row>
    <row r="15" spans="1:16" x14ac:dyDescent="0.3">
      <c r="A15" s="7" t="s">
        <v>29</v>
      </c>
      <c r="B15" s="39">
        <f t="shared" ref="B15:N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1">
        <f>SUM(L6:L14)</f>
        <v>580416</v>
      </c>
      <c r="M15" s="250">
        <f t="shared" ref="M15" si="2">SUM(M6:M14)</f>
        <v>611740</v>
      </c>
      <c r="N15" s="191">
        <f t="shared" si="0"/>
        <v>645000</v>
      </c>
      <c r="O15" s="155"/>
    </row>
    <row r="16" spans="1:16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L16" s="111"/>
      <c r="M16" s="249"/>
      <c r="N16" s="190"/>
      <c r="O16" s="155"/>
    </row>
    <row r="17" spans="1:17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L17" s="112"/>
      <c r="M17" s="249"/>
      <c r="N17" s="190"/>
      <c r="O17" s="159"/>
      <c r="P17" s="159"/>
    </row>
    <row r="18" spans="1:17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9">
        <v>-141556</v>
      </c>
      <c r="M18" s="249">
        <v>-150000</v>
      </c>
      <c r="N18" s="190">
        <v>-140000</v>
      </c>
      <c r="O18" s="155"/>
      <c r="P18" s="197"/>
      <c r="Q18" s="55"/>
    </row>
    <row r="19" spans="1:17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9">
        <v>-60341</v>
      </c>
      <c r="M19" s="249">
        <v>-65000</v>
      </c>
      <c r="N19" s="190">
        <v>-150000</v>
      </c>
      <c r="O19" s="157" t="s">
        <v>2467</v>
      </c>
      <c r="P19" s="197"/>
    </row>
    <row r="20" spans="1:17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9">
        <v>-4522</v>
      </c>
      <c r="M20" s="249">
        <v>-5000</v>
      </c>
      <c r="N20" s="190">
        <v>-10000</v>
      </c>
      <c r="O20" s="157"/>
      <c r="P20" s="197"/>
    </row>
    <row r="21" spans="1:17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9">
        <v>-50620</v>
      </c>
      <c r="M21" s="249">
        <v>-50000</v>
      </c>
      <c r="N21" s="190">
        <v>-35000</v>
      </c>
      <c r="O21" s="155"/>
      <c r="P21" s="197"/>
    </row>
    <row r="22" spans="1:17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9">
        <v>-20900</v>
      </c>
      <c r="M22" s="249">
        <v>-21000</v>
      </c>
      <c r="N22" s="190">
        <v>-35000</v>
      </c>
      <c r="O22" s="157" t="s">
        <v>2473</v>
      </c>
      <c r="P22" s="197"/>
    </row>
    <row r="23" spans="1:17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9">
        <v>-77455</v>
      </c>
      <c r="M23" s="249">
        <v>-80000</v>
      </c>
      <c r="N23" s="190">
        <v>-75000</v>
      </c>
      <c r="O23" s="157" t="s">
        <v>2465</v>
      </c>
      <c r="P23" s="197"/>
    </row>
    <row r="24" spans="1:17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9">
        <v>-3050</v>
      </c>
      <c r="M24" s="249">
        <v>-3050</v>
      </c>
      <c r="N24" s="190">
        <v>-3000</v>
      </c>
      <c r="O24" s="155"/>
      <c r="P24" s="197"/>
    </row>
    <row r="25" spans="1:17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9">
        <v>-21890</v>
      </c>
      <c r="M25" s="249">
        <v>-25000</v>
      </c>
      <c r="N25" s="190">
        <v>-25000</v>
      </c>
      <c r="O25" s="157"/>
      <c r="P25" s="197"/>
    </row>
    <row r="26" spans="1:17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9">
        <v>-21750</v>
      </c>
      <c r="M26" s="249">
        <v>-25000</v>
      </c>
      <c r="N26" s="190">
        <v>-30000</v>
      </c>
      <c r="O26" s="157" t="s">
        <v>2440</v>
      </c>
      <c r="P26" s="197"/>
    </row>
    <row r="27" spans="1:17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9">
        <v>-9700</v>
      </c>
      <c r="M27" s="249">
        <v>-15000</v>
      </c>
      <c r="N27" s="190">
        <v>-15000</v>
      </c>
      <c r="O27" s="155"/>
      <c r="P27" s="197"/>
    </row>
    <row r="28" spans="1:17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9">
        <v>-28600</v>
      </c>
      <c r="M28" s="249">
        <v>-28600</v>
      </c>
      <c r="N28" s="190">
        <v>-25000</v>
      </c>
      <c r="O28" s="157" t="s">
        <v>2445</v>
      </c>
      <c r="P28" s="197"/>
    </row>
    <row r="29" spans="1:17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9">
        <v>-14500</v>
      </c>
      <c r="M29" s="249">
        <v>-14500</v>
      </c>
      <c r="N29" s="190">
        <v>-5000</v>
      </c>
      <c r="O29" s="157" t="s">
        <v>2445</v>
      </c>
    </row>
    <row r="30" spans="1:17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9">
        <v>-500</v>
      </c>
      <c r="M30" s="249">
        <v>-2000</v>
      </c>
      <c r="N30" s="190">
        <v>-2000</v>
      </c>
      <c r="O30" s="157"/>
    </row>
    <row r="31" spans="1:17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9">
        <v>-87302</v>
      </c>
      <c r="M31" s="249">
        <v>-87000</v>
      </c>
      <c r="N31" s="190">
        <v>-90000</v>
      </c>
      <c r="O31" s="155"/>
      <c r="P31" s="197"/>
    </row>
    <row r="32" spans="1:17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9">
        <v>0</v>
      </c>
      <c r="M32" s="249">
        <v>0</v>
      </c>
      <c r="N32" s="190">
        <v>0</v>
      </c>
      <c r="O32" s="155"/>
      <c r="P32" s="197"/>
    </row>
    <row r="33" spans="1:17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9">
        <f>-1638+-802</f>
        <v>-2440</v>
      </c>
      <c r="M33" s="249">
        <v>-3000</v>
      </c>
      <c r="N33" s="190">
        <v>-5000</v>
      </c>
      <c r="O33" s="155"/>
      <c r="P33" s="197"/>
    </row>
    <row r="34" spans="1:17" x14ac:dyDescent="0.3">
      <c r="A34" s="7" t="s">
        <v>47</v>
      </c>
      <c r="B34" s="39">
        <f>SUM(B18:B33)</f>
        <v>-218877</v>
      </c>
      <c r="C34" s="39">
        <f t="shared" ref="C34:N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1">
        <f t="shared" si="3"/>
        <v>-545126</v>
      </c>
      <c r="M34" s="250">
        <f t="shared" si="3"/>
        <v>-574150</v>
      </c>
      <c r="N34" s="191">
        <f t="shared" si="3"/>
        <v>-645000</v>
      </c>
      <c r="O34" s="205"/>
      <c r="P34" s="206"/>
    </row>
    <row r="35" spans="1:17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113"/>
      <c r="M35" s="250"/>
      <c r="N35" s="191"/>
      <c r="O35" s="158"/>
      <c r="P35" s="207"/>
    </row>
    <row r="36" spans="1:17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2">
        <f t="shared" si="4"/>
        <v>-84874</v>
      </c>
      <c r="L36" s="11">
        <f>+L34+L15</f>
        <v>35290</v>
      </c>
      <c r="M36" s="250">
        <f>M15+M34</f>
        <v>37590</v>
      </c>
      <c r="N36" s="191">
        <f>N15+N34</f>
        <v>0</v>
      </c>
      <c r="O36" s="158"/>
      <c r="P36" s="207"/>
    </row>
    <row r="37" spans="1:17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1"/>
      <c r="M37" s="250"/>
      <c r="N37" s="191"/>
      <c r="O37" s="158"/>
      <c r="P37" s="207"/>
    </row>
    <row r="38" spans="1:17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1">
        <v>0</v>
      </c>
      <c r="M38" s="250">
        <v>0</v>
      </c>
      <c r="N38" s="191">
        <v>0</v>
      </c>
      <c r="O38" s="155"/>
      <c r="P38" s="206"/>
    </row>
    <row r="39" spans="1:17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245"/>
      <c r="L39" s="11"/>
      <c r="M39" s="251"/>
      <c r="N39" s="210"/>
      <c r="O39" s="205"/>
      <c r="P39" s="206"/>
    </row>
    <row r="40" spans="1:17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54">
        <f>+L38+L36</f>
        <v>35290</v>
      </c>
      <c r="M40" s="252">
        <f>+M38+M36</f>
        <v>37590</v>
      </c>
      <c r="N40" s="192">
        <f>+N38+N36</f>
        <v>0</v>
      </c>
      <c r="O40" s="155"/>
      <c r="P40" s="208"/>
    </row>
    <row r="41" spans="1:17" s="13" customFormat="1" x14ac:dyDescent="0.3">
      <c r="A41" s="4"/>
      <c r="B41" s="4"/>
      <c r="C41" s="4"/>
      <c r="D41" s="4"/>
      <c r="E41" s="4"/>
      <c r="F41" s="4"/>
      <c r="G41" s="4"/>
      <c r="H41" s="4"/>
      <c r="M41" s="58"/>
      <c r="N41" s="58"/>
      <c r="O41" s="196"/>
      <c r="P41" s="155"/>
    </row>
    <row r="43" spans="1:17" x14ac:dyDescent="0.3">
      <c r="M43" s="99"/>
    </row>
    <row r="44" spans="1:17" x14ac:dyDescent="0.3">
      <c r="M44" s="222"/>
    </row>
    <row r="45" spans="1:17" x14ac:dyDescent="0.3">
      <c r="M45" s="207"/>
    </row>
    <row r="46" spans="1:17" x14ac:dyDescent="0.3">
      <c r="M46" s="222"/>
    </row>
    <row r="47" spans="1:17" s="4" customFormat="1" x14ac:dyDescent="0.3">
      <c r="M47" s="99"/>
      <c r="O47" s="196"/>
      <c r="P47" s="155"/>
      <c r="Q47" s="1"/>
    </row>
    <row r="48" spans="1:17" s="4" customFormat="1" x14ac:dyDescent="0.3">
      <c r="M48" s="99"/>
      <c r="O48" s="196"/>
      <c r="P48" s="155"/>
      <c r="Q48" s="1"/>
    </row>
    <row r="49" spans="13:17" s="4" customFormat="1" x14ac:dyDescent="0.3">
      <c r="M49" s="99"/>
      <c r="O49" s="196"/>
      <c r="P49" s="155"/>
      <c r="Q49" s="1"/>
    </row>
    <row r="50" spans="13:17" s="4" customFormat="1" x14ac:dyDescent="0.3">
      <c r="M50" s="99"/>
      <c r="O50" s="196"/>
      <c r="P50" s="155"/>
      <c r="Q50" s="1"/>
    </row>
    <row r="51" spans="13:17" x14ac:dyDescent="0.3">
      <c r="M51" s="99"/>
    </row>
    <row r="52" spans="13:17" x14ac:dyDescent="0.3">
      <c r="M52" s="223"/>
    </row>
  </sheetData>
  <mergeCells count="1">
    <mergeCell ref="E1:G1"/>
  </mergeCells>
  <pageMargins left="0.7" right="0.7" top="0.75" bottom="0.75" header="0.3" footer="0.3"/>
  <pageSetup paperSize="9" scale="61" orientation="landscape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8B67F-9486-488E-B18D-249571817872}">
  <sheetPr>
    <tabColor theme="5" tint="-0.249977111117893"/>
    <pageSetUpPr fitToPage="1"/>
  </sheetPr>
  <dimension ref="A1:Q52"/>
  <sheetViews>
    <sheetView zoomScaleNormal="100" workbookViewId="0">
      <pane xSplit="1" ySplit="3" topLeftCell="G4" activePane="bottomRight" state="frozen"/>
      <selection pane="topRight" activeCell="B1" sqref="B1"/>
      <selection pane="bottomLeft" activeCell="A4" sqref="A4"/>
      <selection pane="bottomRight" activeCell="A18" sqref="A18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2" width="16.44140625" style="1" customWidth="1"/>
    <col min="13" max="14" width="18.5546875" style="1" customWidth="1"/>
    <col min="15" max="15" width="27" style="196" customWidth="1"/>
    <col min="16" max="16" width="12" style="155" customWidth="1"/>
    <col min="17" max="16384" width="9.109375" style="1"/>
  </cols>
  <sheetData>
    <row r="1" spans="1:16" ht="31.8" thickBot="1" x14ac:dyDescent="0.65">
      <c r="A1" s="211" t="s">
        <v>486</v>
      </c>
      <c r="C1" s="224"/>
      <c r="D1" s="224"/>
      <c r="E1" s="295" t="s">
        <v>487</v>
      </c>
      <c r="F1" s="295"/>
      <c r="G1" s="295"/>
    </row>
    <row r="2" spans="1:16" ht="16.2" thickBot="1" x14ac:dyDescent="0.35"/>
    <row r="3" spans="1:16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227">
        <v>2018</v>
      </c>
      <c r="M3" s="253" t="s">
        <v>809</v>
      </c>
      <c r="N3" s="240" t="s">
        <v>2464</v>
      </c>
      <c r="O3" s="156"/>
      <c r="P3" s="156"/>
    </row>
    <row r="4" spans="1:16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110">
        <v>43370</v>
      </c>
      <c r="M4" s="110">
        <v>43465</v>
      </c>
      <c r="N4" s="209"/>
      <c r="O4" s="156"/>
      <c r="P4" s="156"/>
    </row>
    <row r="5" spans="1:16" ht="16.2" thickBot="1" x14ac:dyDescent="0.35">
      <c r="A5" s="32" t="s">
        <v>19</v>
      </c>
      <c r="B5" s="10"/>
      <c r="C5" s="7"/>
      <c r="D5" s="7"/>
      <c r="I5" s="4"/>
      <c r="J5" s="4"/>
      <c r="K5" s="256"/>
      <c r="L5" s="237"/>
      <c r="M5" s="111"/>
      <c r="N5" s="8"/>
      <c r="O5" s="155"/>
    </row>
    <row r="6" spans="1:16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9">
        <v>67771</v>
      </c>
      <c r="M6" s="249">
        <v>180000</v>
      </c>
      <c r="N6" s="190">
        <v>190000</v>
      </c>
      <c r="O6" s="217" t="s">
        <v>2436</v>
      </c>
    </row>
    <row r="7" spans="1:16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9">
        <v>136075</v>
      </c>
      <c r="M7" s="249">
        <v>136000</v>
      </c>
      <c r="N7" s="190">
        <v>150000</v>
      </c>
      <c r="O7" s="217" t="s">
        <v>2469</v>
      </c>
    </row>
    <row r="8" spans="1:16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9">
        <v>50225</v>
      </c>
      <c r="M8" s="249">
        <v>100000</v>
      </c>
      <c r="N8" s="190">
        <v>100000</v>
      </c>
      <c r="O8" s="155"/>
    </row>
    <row r="9" spans="1:16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9">
        <v>13120</v>
      </c>
      <c r="M9" s="249">
        <v>15000</v>
      </c>
      <c r="N9" s="190">
        <v>20000</v>
      </c>
      <c r="O9" s="217" t="s">
        <v>2472</v>
      </c>
    </row>
    <row r="10" spans="1:16" ht="31.8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9">
        <v>68300</v>
      </c>
      <c r="M10" s="249">
        <v>80000</v>
      </c>
      <c r="N10" s="190">
        <v>70000</v>
      </c>
      <c r="O10" s="217" t="s">
        <v>2471</v>
      </c>
    </row>
    <row r="11" spans="1:16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9">
        <v>68940</v>
      </c>
      <c r="M11" s="249">
        <v>68940</v>
      </c>
      <c r="N11" s="190">
        <v>90000</v>
      </c>
      <c r="O11" s="155"/>
    </row>
    <row r="12" spans="1:16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9">
        <v>0</v>
      </c>
      <c r="M12" s="249">
        <v>0</v>
      </c>
      <c r="N12" s="190">
        <v>0</v>
      </c>
      <c r="O12" s="155"/>
    </row>
    <row r="13" spans="1:16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9">
        <v>0</v>
      </c>
      <c r="M13" s="249">
        <v>0</v>
      </c>
      <c r="N13" s="190">
        <v>0</v>
      </c>
      <c r="O13" s="155"/>
    </row>
    <row r="14" spans="1:16" ht="21.6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9">
        <v>50000</v>
      </c>
      <c r="M14" s="249">
        <v>75000</v>
      </c>
      <c r="N14" s="190">
        <v>25000</v>
      </c>
      <c r="O14" s="217" t="s">
        <v>2470</v>
      </c>
    </row>
    <row r="15" spans="1:16" x14ac:dyDescent="0.3">
      <c r="A15" s="7" t="s">
        <v>29</v>
      </c>
      <c r="B15" s="39">
        <f t="shared" ref="B15:N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1">
        <f>SUM(L6:L14)</f>
        <v>454431</v>
      </c>
      <c r="M15" s="250">
        <f t="shared" ref="M15" si="2">SUM(M6:M14)</f>
        <v>654940</v>
      </c>
      <c r="N15" s="191">
        <f t="shared" si="0"/>
        <v>645000</v>
      </c>
      <c r="O15" s="155"/>
    </row>
    <row r="16" spans="1:16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L16" s="111"/>
      <c r="M16" s="249"/>
      <c r="N16" s="190"/>
      <c r="O16" s="155"/>
    </row>
    <row r="17" spans="1:17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L17" s="112"/>
      <c r="M17" s="249"/>
      <c r="N17" s="190"/>
      <c r="O17" s="159"/>
      <c r="P17" s="159"/>
    </row>
    <row r="18" spans="1:17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9">
        <v>-121187</v>
      </c>
      <c r="M18" s="249">
        <v>-150000</v>
      </c>
      <c r="N18" s="190">
        <v>-140000</v>
      </c>
      <c r="O18" s="155"/>
      <c r="P18" s="197"/>
      <c r="Q18" s="55"/>
    </row>
    <row r="19" spans="1:17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9">
        <v>-53336</v>
      </c>
      <c r="M19" s="249">
        <v>-80000</v>
      </c>
      <c r="N19" s="190">
        <v>-150000</v>
      </c>
      <c r="O19" s="157" t="s">
        <v>2467</v>
      </c>
      <c r="P19" s="197"/>
    </row>
    <row r="20" spans="1:17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9">
        <v>-4522</v>
      </c>
      <c r="M20" s="249">
        <v>-10000</v>
      </c>
      <c r="N20" s="190">
        <v>-10000</v>
      </c>
      <c r="O20" s="157"/>
      <c r="P20" s="197"/>
    </row>
    <row r="21" spans="1:17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9">
        <v>-50620</v>
      </c>
      <c r="M21" s="249">
        <v>-35000</v>
      </c>
      <c r="N21" s="190">
        <v>-35000</v>
      </c>
      <c r="O21" s="155"/>
      <c r="P21" s="197"/>
    </row>
    <row r="22" spans="1:17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9">
        <v>-20900</v>
      </c>
      <c r="M22" s="249">
        <v>-30000</v>
      </c>
      <c r="N22" s="190">
        <v>-35000</v>
      </c>
      <c r="O22" s="157" t="s">
        <v>2473</v>
      </c>
      <c r="P22" s="197"/>
    </row>
    <row r="23" spans="1:17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9">
        <v>-68410</v>
      </c>
      <c r="M23" s="249">
        <v>-80000</v>
      </c>
      <c r="N23" s="190">
        <v>-75000</v>
      </c>
      <c r="O23" s="157" t="s">
        <v>2465</v>
      </c>
      <c r="P23" s="197"/>
    </row>
    <row r="24" spans="1:17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9">
        <v>-3050</v>
      </c>
      <c r="M24" s="249">
        <v>-3050</v>
      </c>
      <c r="N24" s="190">
        <v>-3000</v>
      </c>
      <c r="O24" s="155"/>
      <c r="P24" s="197"/>
    </row>
    <row r="25" spans="1:17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9">
        <v>-20990</v>
      </c>
      <c r="M25" s="249">
        <v>-27000</v>
      </c>
      <c r="N25" s="190">
        <v>-25000</v>
      </c>
      <c r="O25" s="157"/>
      <c r="P25" s="197"/>
    </row>
    <row r="26" spans="1:17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9">
        <v>-2500</v>
      </c>
      <c r="M26" s="249">
        <v>-30000</v>
      </c>
      <c r="N26" s="190">
        <v>-30000</v>
      </c>
      <c r="O26" s="157" t="s">
        <v>2440</v>
      </c>
      <c r="P26" s="197"/>
    </row>
    <row r="27" spans="1:17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9">
        <v>0</v>
      </c>
      <c r="M27" s="249">
        <v>-15000</v>
      </c>
      <c r="N27" s="190">
        <v>-15000</v>
      </c>
      <c r="O27" s="155"/>
      <c r="P27" s="197"/>
    </row>
    <row r="28" spans="1:17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9">
        <v>-28600</v>
      </c>
      <c r="M28" s="249">
        <v>-28600</v>
      </c>
      <c r="N28" s="190">
        <v>-25000</v>
      </c>
      <c r="O28" s="157" t="s">
        <v>2445</v>
      </c>
      <c r="P28" s="197"/>
    </row>
    <row r="29" spans="1:17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9">
        <v>-14500</v>
      </c>
      <c r="M29" s="249">
        <v>-14500</v>
      </c>
      <c r="N29" s="190">
        <v>-5000</v>
      </c>
      <c r="O29" s="157" t="s">
        <v>2445</v>
      </c>
    </row>
    <row r="30" spans="1:17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9">
        <v>-500</v>
      </c>
      <c r="M30" s="249">
        <v>-2000</v>
      </c>
      <c r="N30" s="190">
        <v>-2000</v>
      </c>
      <c r="O30" s="157"/>
    </row>
    <row r="31" spans="1:17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9">
        <v>-49423</v>
      </c>
      <c r="M31" s="249">
        <v>-70000</v>
      </c>
      <c r="N31" s="190">
        <v>-90000</v>
      </c>
      <c r="O31" s="155"/>
      <c r="P31" s="197"/>
    </row>
    <row r="32" spans="1:17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9">
        <v>0</v>
      </c>
      <c r="M32" s="249">
        <v>0</v>
      </c>
      <c r="N32" s="190">
        <v>0</v>
      </c>
      <c r="O32" s="155"/>
      <c r="P32" s="197"/>
    </row>
    <row r="33" spans="1:17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9">
        <f>-1638+-802+-500</f>
        <v>-2940</v>
      </c>
      <c r="M33" s="249">
        <v>-5000</v>
      </c>
      <c r="N33" s="190">
        <v>-5000</v>
      </c>
      <c r="O33" s="155"/>
      <c r="P33" s="197"/>
    </row>
    <row r="34" spans="1:17" x14ac:dyDescent="0.3">
      <c r="A34" s="7" t="s">
        <v>47</v>
      </c>
      <c r="B34" s="39">
        <f>SUM(B18:B33)</f>
        <v>-218877</v>
      </c>
      <c r="C34" s="39">
        <f t="shared" ref="C34:N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1">
        <f t="shared" si="3"/>
        <v>-441478</v>
      </c>
      <c r="M34" s="250">
        <f t="shared" si="3"/>
        <v>-580150</v>
      </c>
      <c r="N34" s="191">
        <f t="shared" si="3"/>
        <v>-645000</v>
      </c>
      <c r="O34" s="205"/>
      <c r="P34" s="206"/>
    </row>
    <row r="35" spans="1:17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113"/>
      <c r="M35" s="250"/>
      <c r="N35" s="191"/>
      <c r="O35" s="158"/>
      <c r="P35" s="207"/>
    </row>
    <row r="36" spans="1:17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2">
        <f t="shared" si="4"/>
        <v>-84874</v>
      </c>
      <c r="L36" s="11">
        <f>+L34+L15</f>
        <v>12953</v>
      </c>
      <c r="M36" s="250">
        <f>M15+M34</f>
        <v>74790</v>
      </c>
      <c r="N36" s="191">
        <f>N15+N34</f>
        <v>0</v>
      </c>
      <c r="O36" s="158"/>
      <c r="P36" s="207"/>
    </row>
    <row r="37" spans="1:17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1"/>
      <c r="M37" s="250"/>
      <c r="N37" s="191"/>
      <c r="O37" s="158"/>
      <c r="P37" s="207"/>
    </row>
    <row r="38" spans="1:17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1">
        <v>0</v>
      </c>
      <c r="M38" s="250">
        <v>0</v>
      </c>
      <c r="N38" s="191">
        <v>0</v>
      </c>
      <c r="O38" s="155"/>
      <c r="P38" s="206"/>
    </row>
    <row r="39" spans="1:17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245"/>
      <c r="L39" s="11"/>
      <c r="M39" s="251"/>
      <c r="N39" s="210"/>
      <c r="O39" s="205"/>
      <c r="P39" s="206"/>
    </row>
    <row r="40" spans="1:17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54">
        <f>+L38+L36</f>
        <v>12953</v>
      </c>
      <c r="M40" s="252">
        <f>+M38+M36</f>
        <v>74790</v>
      </c>
      <c r="N40" s="192">
        <f>+N38+N36</f>
        <v>0</v>
      </c>
      <c r="O40" s="155"/>
      <c r="P40" s="208"/>
    </row>
    <row r="41" spans="1:17" s="13" customFormat="1" x14ac:dyDescent="0.3">
      <c r="A41" s="4"/>
      <c r="B41" s="4"/>
      <c r="C41" s="4"/>
      <c r="D41" s="4"/>
      <c r="E41" s="4"/>
      <c r="F41" s="4"/>
      <c r="G41" s="4"/>
      <c r="H41" s="4"/>
      <c r="M41" s="58"/>
      <c r="N41" s="58"/>
      <c r="O41" s="196"/>
      <c r="P41" s="155"/>
    </row>
    <row r="43" spans="1:17" x14ac:dyDescent="0.3">
      <c r="M43" s="99"/>
    </row>
    <row r="44" spans="1:17" x14ac:dyDescent="0.3">
      <c r="M44" s="222"/>
    </row>
    <row r="45" spans="1:17" x14ac:dyDescent="0.3">
      <c r="M45" s="207"/>
    </row>
    <row r="46" spans="1:17" x14ac:dyDescent="0.3">
      <c r="M46" s="222"/>
    </row>
    <row r="47" spans="1:17" s="4" customFormat="1" x14ac:dyDescent="0.3">
      <c r="M47" s="99"/>
      <c r="O47" s="196"/>
      <c r="P47" s="155"/>
      <c r="Q47" s="1"/>
    </row>
    <row r="48" spans="1:17" s="4" customFormat="1" x14ac:dyDescent="0.3">
      <c r="M48" s="99"/>
      <c r="O48" s="196"/>
      <c r="P48" s="155"/>
      <c r="Q48" s="1"/>
    </row>
    <row r="49" spans="13:17" s="4" customFormat="1" x14ac:dyDescent="0.3">
      <c r="M49" s="99"/>
      <c r="O49" s="196"/>
      <c r="P49" s="155"/>
      <c r="Q49" s="1"/>
    </row>
    <row r="50" spans="13:17" s="4" customFormat="1" x14ac:dyDescent="0.3">
      <c r="M50" s="99"/>
      <c r="O50" s="196"/>
      <c r="P50" s="155"/>
      <c r="Q50" s="1"/>
    </row>
    <row r="51" spans="13:17" x14ac:dyDescent="0.3">
      <c r="M51" s="99"/>
    </row>
    <row r="52" spans="13:17" x14ac:dyDescent="0.3">
      <c r="M52" s="223"/>
    </row>
  </sheetData>
  <mergeCells count="1">
    <mergeCell ref="E1:G1"/>
  </mergeCells>
  <pageMargins left="0.7" right="0.7" top="0.75" bottom="0.75" header="0.3" footer="0.3"/>
  <pageSetup paperSize="9" scale="61" orientation="landscape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19474-CE50-4ECA-B460-72C9D3465361}">
  <sheetPr>
    <tabColor theme="5" tint="-0.249977111117893"/>
    <pageSetUpPr fitToPage="1"/>
  </sheetPr>
  <dimension ref="A1:Q52"/>
  <sheetViews>
    <sheetView zoomScaleNormal="100" workbookViewId="0">
      <pane xSplit="1" ySplit="3" topLeftCell="G10" activePane="bottomRight" state="frozen"/>
      <selection pane="topRight" activeCell="B1" sqref="B1"/>
      <selection pane="bottomLeft" activeCell="A4" sqref="A4"/>
      <selection pane="bottomRight" activeCell="M34" sqref="M34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2" width="16.44140625" style="1" customWidth="1"/>
    <col min="13" max="14" width="18.5546875" style="1" customWidth="1"/>
    <col min="15" max="15" width="27" style="196" customWidth="1"/>
    <col min="16" max="16" width="12" style="155" customWidth="1"/>
    <col min="17" max="16384" width="9.109375" style="1"/>
  </cols>
  <sheetData>
    <row r="1" spans="1:16" ht="31.8" thickBot="1" x14ac:dyDescent="0.65">
      <c r="A1" s="211" t="s">
        <v>486</v>
      </c>
      <c r="C1" s="224"/>
      <c r="D1" s="224"/>
      <c r="E1" s="295" t="s">
        <v>487</v>
      </c>
      <c r="F1" s="295"/>
      <c r="G1" s="295"/>
    </row>
    <row r="2" spans="1:16" ht="16.2" thickBot="1" x14ac:dyDescent="0.35"/>
    <row r="3" spans="1:16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227">
        <v>2018</v>
      </c>
      <c r="M3" s="253" t="s">
        <v>809</v>
      </c>
      <c r="N3" s="240" t="s">
        <v>2464</v>
      </c>
      <c r="O3" s="156"/>
      <c r="P3" s="156"/>
    </row>
    <row r="4" spans="1:16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110">
        <v>43340</v>
      </c>
      <c r="M4" s="110">
        <v>43465</v>
      </c>
      <c r="N4" s="209"/>
      <c r="O4" s="156"/>
      <c r="P4" s="156"/>
    </row>
    <row r="5" spans="1:16" ht="16.2" thickBot="1" x14ac:dyDescent="0.35">
      <c r="A5" s="32" t="s">
        <v>19</v>
      </c>
      <c r="B5" s="10"/>
      <c r="C5" s="7"/>
      <c r="D5" s="7"/>
      <c r="I5" s="4"/>
      <c r="J5" s="4"/>
      <c r="K5" s="256"/>
      <c r="L5" s="237"/>
      <c r="M5" s="111"/>
      <c r="N5" s="8"/>
      <c r="O5" s="155"/>
    </row>
    <row r="6" spans="1:16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9">
        <v>67771</v>
      </c>
      <c r="M6" s="249">
        <v>180000</v>
      </c>
      <c r="N6" s="190">
        <v>190000</v>
      </c>
      <c r="O6" s="217" t="s">
        <v>2436</v>
      </c>
    </row>
    <row r="7" spans="1:16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9">
        <v>135825</v>
      </c>
      <c r="M7" s="249">
        <v>136000</v>
      </c>
      <c r="N7" s="190">
        <v>150000</v>
      </c>
      <c r="O7" s="217" t="s">
        <v>2469</v>
      </c>
    </row>
    <row r="8" spans="1:16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9">
        <v>50195</v>
      </c>
      <c r="M8" s="249">
        <v>100000</v>
      </c>
      <c r="N8" s="190">
        <v>100000</v>
      </c>
      <c r="O8" s="155"/>
    </row>
    <row r="9" spans="1:16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9">
        <v>13120</v>
      </c>
      <c r="M9" s="249">
        <v>15000</v>
      </c>
      <c r="N9" s="190">
        <v>20000</v>
      </c>
      <c r="O9" s="217" t="s">
        <v>2472</v>
      </c>
    </row>
    <row r="10" spans="1:16" ht="31.8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9">
        <v>68300</v>
      </c>
      <c r="M10" s="249">
        <v>80000</v>
      </c>
      <c r="N10" s="190">
        <v>70000</v>
      </c>
      <c r="O10" s="217" t="s">
        <v>2471</v>
      </c>
    </row>
    <row r="11" spans="1:16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9">
        <v>68940</v>
      </c>
      <c r="M11" s="249">
        <v>68940</v>
      </c>
      <c r="N11" s="190">
        <v>90000</v>
      </c>
      <c r="O11" s="155"/>
    </row>
    <row r="12" spans="1:16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9">
        <v>0</v>
      </c>
      <c r="M12" s="249">
        <v>0</v>
      </c>
      <c r="N12" s="190">
        <v>0</v>
      </c>
      <c r="O12" s="155"/>
    </row>
    <row r="13" spans="1:16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9">
        <v>0</v>
      </c>
      <c r="M13" s="249">
        <v>0</v>
      </c>
      <c r="N13" s="190">
        <v>0</v>
      </c>
      <c r="O13" s="155"/>
    </row>
    <row r="14" spans="1:16" ht="21.6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9">
        <v>50000</v>
      </c>
      <c r="M14" s="249">
        <v>75000</v>
      </c>
      <c r="N14" s="190">
        <v>25000</v>
      </c>
      <c r="O14" s="217" t="s">
        <v>2470</v>
      </c>
    </row>
    <row r="15" spans="1:16" x14ac:dyDescent="0.3">
      <c r="A15" s="7" t="s">
        <v>29</v>
      </c>
      <c r="B15" s="39">
        <f t="shared" ref="B15:N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1">
        <f>SUM(L6:L14)</f>
        <v>454151</v>
      </c>
      <c r="M15" s="250">
        <f t="shared" ref="M15" si="2">SUM(M6:M14)</f>
        <v>654940</v>
      </c>
      <c r="N15" s="191">
        <f t="shared" si="0"/>
        <v>645000</v>
      </c>
      <c r="O15" s="155"/>
    </row>
    <row r="16" spans="1:16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L16" s="111"/>
      <c r="M16" s="249"/>
      <c r="N16" s="190"/>
      <c r="O16" s="155"/>
    </row>
    <row r="17" spans="1:17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L17" s="112"/>
      <c r="M17" s="249"/>
      <c r="N17" s="190"/>
      <c r="O17" s="159"/>
      <c r="P17" s="159"/>
    </row>
    <row r="18" spans="1:17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9">
        <v>-109104</v>
      </c>
      <c r="M18" s="249">
        <v>-150000</v>
      </c>
      <c r="N18" s="190">
        <v>-140000</v>
      </c>
      <c r="O18" s="155"/>
      <c r="P18" s="197"/>
      <c r="Q18" s="55"/>
    </row>
    <row r="19" spans="1:17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9">
        <v>-35025</v>
      </c>
      <c r="M19" s="249">
        <v>-80000</v>
      </c>
      <c r="N19" s="190">
        <v>-150000</v>
      </c>
      <c r="O19" s="157" t="s">
        <v>2467</v>
      </c>
      <c r="P19" s="197"/>
    </row>
    <row r="20" spans="1:17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9">
        <v>-4522</v>
      </c>
      <c r="M20" s="249">
        <v>-10000</v>
      </c>
      <c r="N20" s="190">
        <v>-10000</v>
      </c>
      <c r="O20" s="157"/>
      <c r="P20" s="197"/>
    </row>
    <row r="21" spans="1:17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9">
        <v>-25500</v>
      </c>
      <c r="M21" s="249">
        <v>-35000</v>
      </c>
      <c r="N21" s="190">
        <v>-35000</v>
      </c>
      <c r="O21" s="155"/>
      <c r="P21" s="197"/>
    </row>
    <row r="22" spans="1:17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9">
        <v>-20900</v>
      </c>
      <c r="M22" s="249">
        <v>-35000</v>
      </c>
      <c r="N22" s="190">
        <v>-35000</v>
      </c>
      <c r="O22" s="157" t="s">
        <v>2473</v>
      </c>
      <c r="P22" s="197"/>
    </row>
    <row r="23" spans="1:17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9">
        <v>-59246</v>
      </c>
      <c r="M23" s="249">
        <v>-80000</v>
      </c>
      <c r="N23" s="190">
        <v>-75000</v>
      </c>
      <c r="O23" s="157" t="s">
        <v>2465</v>
      </c>
      <c r="P23" s="197"/>
    </row>
    <row r="24" spans="1:17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9">
        <v>-3050</v>
      </c>
      <c r="M24" s="249">
        <v>-3050</v>
      </c>
      <c r="N24" s="190">
        <v>-3000</v>
      </c>
      <c r="O24" s="155"/>
      <c r="P24" s="197"/>
    </row>
    <row r="25" spans="1:17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9">
        <v>-20040</v>
      </c>
      <c r="M25" s="249">
        <v>-27000</v>
      </c>
      <c r="N25" s="190">
        <v>-25000</v>
      </c>
      <c r="O25" s="157"/>
      <c r="P25" s="197"/>
    </row>
    <row r="26" spans="1:17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9">
        <v>-2500</v>
      </c>
      <c r="M26" s="249">
        <v>-30000</v>
      </c>
      <c r="N26" s="190">
        <v>-30000</v>
      </c>
      <c r="O26" s="157" t="s">
        <v>2440</v>
      </c>
      <c r="P26" s="197"/>
    </row>
    <row r="27" spans="1:17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9">
        <v>0</v>
      </c>
      <c r="M27" s="249">
        <v>-15000</v>
      </c>
      <c r="N27" s="190">
        <v>-15000</v>
      </c>
      <c r="O27" s="155"/>
      <c r="P27" s="197"/>
    </row>
    <row r="28" spans="1:17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9">
        <v>-28600</v>
      </c>
      <c r="M28" s="249">
        <v>-28600</v>
      </c>
      <c r="N28" s="190">
        <v>-25000</v>
      </c>
      <c r="O28" s="157" t="s">
        <v>2445</v>
      </c>
      <c r="P28" s="197"/>
    </row>
    <row r="29" spans="1:17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9">
        <v>-14500</v>
      </c>
      <c r="M29" s="249">
        <v>-14500</v>
      </c>
      <c r="N29" s="190">
        <v>-5000</v>
      </c>
      <c r="O29" s="157" t="s">
        <v>2445</v>
      </c>
    </row>
    <row r="30" spans="1:17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9">
        <v>-500</v>
      </c>
      <c r="M30" s="249">
        <v>-2000</v>
      </c>
      <c r="N30" s="190">
        <v>-2000</v>
      </c>
      <c r="O30" s="157"/>
    </row>
    <row r="31" spans="1:17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9">
        <v>-13425</v>
      </c>
      <c r="M31" s="249">
        <v>-70000</v>
      </c>
      <c r="N31" s="190">
        <v>-90000</v>
      </c>
      <c r="O31" s="155"/>
      <c r="P31" s="197"/>
    </row>
    <row r="32" spans="1:17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9">
        <v>0</v>
      </c>
      <c r="M32" s="249">
        <v>0</v>
      </c>
      <c r="N32" s="190">
        <v>0</v>
      </c>
      <c r="O32" s="155"/>
      <c r="P32" s="197"/>
    </row>
    <row r="33" spans="1:17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9">
        <f>-1548+-802</f>
        <v>-2350</v>
      </c>
      <c r="M33" s="249">
        <v>-5000</v>
      </c>
      <c r="N33" s="190">
        <v>-5000</v>
      </c>
      <c r="O33" s="155"/>
      <c r="P33" s="197"/>
    </row>
    <row r="34" spans="1:17" x14ac:dyDescent="0.3">
      <c r="A34" s="7" t="s">
        <v>47</v>
      </c>
      <c r="B34" s="39">
        <f>SUM(B18:B33)</f>
        <v>-218877</v>
      </c>
      <c r="C34" s="39">
        <f t="shared" ref="C34:N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1">
        <f t="shared" si="3"/>
        <v>-339262</v>
      </c>
      <c r="M34" s="250">
        <f t="shared" si="3"/>
        <v>-585150</v>
      </c>
      <c r="N34" s="191">
        <f t="shared" si="3"/>
        <v>-645000</v>
      </c>
      <c r="O34" s="205"/>
      <c r="P34" s="206"/>
    </row>
    <row r="35" spans="1:17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113"/>
      <c r="M35" s="250"/>
      <c r="N35" s="191"/>
      <c r="O35" s="158"/>
      <c r="P35" s="207"/>
    </row>
    <row r="36" spans="1:17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2">
        <f t="shared" si="4"/>
        <v>-84874</v>
      </c>
      <c r="L36" s="11">
        <f>+L34+L15</f>
        <v>114889</v>
      </c>
      <c r="M36" s="250">
        <f>M15+M34</f>
        <v>69790</v>
      </c>
      <c r="N36" s="191">
        <f>N15+N34</f>
        <v>0</v>
      </c>
      <c r="O36" s="158"/>
      <c r="P36" s="207"/>
    </row>
    <row r="37" spans="1:17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1"/>
      <c r="M37" s="250"/>
      <c r="N37" s="191"/>
      <c r="O37" s="158"/>
      <c r="P37" s="207"/>
    </row>
    <row r="38" spans="1:17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1">
        <v>0</v>
      </c>
      <c r="M38" s="250">
        <v>0</v>
      </c>
      <c r="N38" s="191">
        <v>0</v>
      </c>
      <c r="O38" s="155"/>
      <c r="P38" s="206"/>
    </row>
    <row r="39" spans="1:17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245"/>
      <c r="L39" s="11"/>
      <c r="M39" s="251"/>
      <c r="N39" s="210"/>
      <c r="O39" s="205"/>
      <c r="P39" s="206"/>
    </row>
    <row r="40" spans="1:17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54">
        <f>+L38+L36</f>
        <v>114889</v>
      </c>
      <c r="M40" s="252">
        <f>+M38+M36</f>
        <v>69790</v>
      </c>
      <c r="N40" s="192">
        <f>+N38+N36</f>
        <v>0</v>
      </c>
      <c r="O40" s="155"/>
      <c r="P40" s="208"/>
    </row>
    <row r="41" spans="1:17" s="13" customFormat="1" x14ac:dyDescent="0.3">
      <c r="A41" s="4"/>
      <c r="B41" s="4"/>
      <c r="C41" s="4"/>
      <c r="D41" s="4"/>
      <c r="E41" s="4"/>
      <c r="F41" s="4"/>
      <c r="G41" s="4"/>
      <c r="H41" s="4"/>
      <c r="M41" s="58"/>
      <c r="N41" s="58"/>
      <c r="O41" s="196"/>
      <c r="P41" s="155"/>
    </row>
    <row r="43" spans="1:17" x14ac:dyDescent="0.3">
      <c r="M43" s="99"/>
    </row>
    <row r="44" spans="1:17" x14ac:dyDescent="0.3">
      <c r="M44" s="222"/>
    </row>
    <row r="45" spans="1:17" x14ac:dyDescent="0.3">
      <c r="M45" s="207"/>
    </row>
    <row r="46" spans="1:17" x14ac:dyDescent="0.3">
      <c r="M46" s="222"/>
    </row>
    <row r="47" spans="1:17" s="4" customFormat="1" x14ac:dyDescent="0.3">
      <c r="M47" s="99"/>
      <c r="O47" s="196"/>
      <c r="P47" s="155"/>
      <c r="Q47" s="1"/>
    </row>
    <row r="48" spans="1:17" s="4" customFormat="1" x14ac:dyDescent="0.3">
      <c r="M48" s="99"/>
      <c r="O48" s="196"/>
      <c r="P48" s="155"/>
      <c r="Q48" s="1"/>
    </row>
    <row r="49" spans="13:17" s="4" customFormat="1" x14ac:dyDescent="0.3">
      <c r="M49" s="99"/>
      <c r="O49" s="196"/>
      <c r="P49" s="155"/>
      <c r="Q49" s="1"/>
    </row>
    <row r="50" spans="13:17" s="4" customFormat="1" x14ac:dyDescent="0.3">
      <c r="M50" s="99"/>
      <c r="O50" s="196"/>
      <c r="P50" s="155"/>
      <c r="Q50" s="1"/>
    </row>
    <row r="51" spans="13:17" x14ac:dyDescent="0.3">
      <c r="M51" s="99"/>
    </row>
    <row r="52" spans="13:17" x14ac:dyDescent="0.3">
      <c r="M52" s="223"/>
    </row>
  </sheetData>
  <mergeCells count="1">
    <mergeCell ref="E1:G1"/>
  </mergeCells>
  <pageMargins left="0.7" right="0.7" top="0.75" bottom="0.75" header="0.3" footer="0.3"/>
  <pageSetup paperSize="9" scale="61" orientation="landscape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  <pageSetUpPr fitToPage="1"/>
  </sheetPr>
  <dimension ref="A1:Q52"/>
  <sheetViews>
    <sheetView zoomScaleNormal="100" workbookViewId="0">
      <pane xSplit="1" ySplit="3" topLeftCell="G4" activePane="bottomRight" state="frozen"/>
      <selection pane="topRight" activeCell="B1" sqref="B1"/>
      <selection pane="bottomLeft" activeCell="A4" sqref="A4"/>
      <selection pane="bottomRight" activeCell="M10" sqref="M10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2" width="16.44140625" style="1" customWidth="1"/>
    <col min="13" max="14" width="18.5546875" style="1" customWidth="1"/>
    <col min="15" max="15" width="27" style="196" customWidth="1"/>
    <col min="16" max="16" width="12" style="155" customWidth="1"/>
    <col min="17" max="16384" width="9.109375" style="1"/>
  </cols>
  <sheetData>
    <row r="1" spans="1:16" ht="31.8" thickBot="1" x14ac:dyDescent="0.65">
      <c r="A1" s="211" t="s">
        <v>486</v>
      </c>
      <c r="C1" s="224"/>
      <c r="D1" s="224"/>
      <c r="E1" s="295" t="s">
        <v>487</v>
      </c>
      <c r="F1" s="295"/>
      <c r="G1" s="295"/>
    </row>
    <row r="2" spans="1:16" ht="16.2" thickBot="1" x14ac:dyDescent="0.35"/>
    <row r="3" spans="1:16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227">
        <v>2018</v>
      </c>
      <c r="M3" s="253" t="s">
        <v>809</v>
      </c>
      <c r="N3" s="240" t="s">
        <v>2464</v>
      </c>
      <c r="O3" s="156"/>
      <c r="P3" s="156"/>
    </row>
    <row r="4" spans="1:16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110">
        <v>43219</v>
      </c>
      <c r="M4" s="110">
        <v>43465</v>
      </c>
      <c r="N4" s="209"/>
      <c r="O4" s="156"/>
      <c r="P4" s="156"/>
    </row>
    <row r="5" spans="1:16" ht="16.2" thickBot="1" x14ac:dyDescent="0.35">
      <c r="A5" s="32" t="s">
        <v>19</v>
      </c>
      <c r="B5" s="10"/>
      <c r="C5" s="7"/>
      <c r="D5" s="7"/>
      <c r="I5" s="4"/>
      <c r="J5" s="4"/>
      <c r="K5" s="256"/>
      <c r="L5" s="237"/>
      <c r="M5" s="111"/>
      <c r="N5" s="8"/>
      <c r="O5" s="155"/>
    </row>
    <row r="6" spans="1:16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9">
        <v>42737</v>
      </c>
      <c r="M6" s="249">
        <v>190000</v>
      </c>
      <c r="N6" s="190">
        <v>190000</v>
      </c>
      <c r="O6" s="217" t="s">
        <v>2436</v>
      </c>
    </row>
    <row r="7" spans="1:16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9">
        <v>46550</v>
      </c>
      <c r="M7" s="249">
        <v>150000</v>
      </c>
      <c r="N7" s="190">
        <v>150000</v>
      </c>
      <c r="O7" s="217" t="s">
        <v>2469</v>
      </c>
    </row>
    <row r="8" spans="1:16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9">
        <v>25</v>
      </c>
      <c r="M8" s="249">
        <v>100000</v>
      </c>
      <c r="N8" s="190">
        <v>100000</v>
      </c>
      <c r="O8" s="155"/>
    </row>
    <row r="9" spans="1:16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9">
        <v>0</v>
      </c>
      <c r="M9" s="249">
        <v>20000</v>
      </c>
      <c r="N9" s="190">
        <v>20000</v>
      </c>
      <c r="O9" s="217"/>
    </row>
    <row r="10" spans="1:16" ht="31.8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9">
        <v>40000</v>
      </c>
      <c r="M10" s="249">
        <v>100000</v>
      </c>
      <c r="N10" s="190">
        <v>70000</v>
      </c>
      <c r="O10" s="217" t="s">
        <v>2468</v>
      </c>
    </row>
    <row r="11" spans="1:16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9">
        <v>0</v>
      </c>
      <c r="M11" s="249">
        <v>90000</v>
      </c>
      <c r="N11" s="190">
        <v>90000</v>
      </c>
      <c r="O11" s="155"/>
    </row>
    <row r="12" spans="1:16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9">
        <v>0</v>
      </c>
      <c r="M12" s="249">
        <v>0</v>
      </c>
      <c r="N12" s="190">
        <v>0</v>
      </c>
      <c r="O12" s="155"/>
    </row>
    <row r="13" spans="1:16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9">
        <v>0</v>
      </c>
      <c r="M13" s="249">
        <v>0</v>
      </c>
      <c r="N13" s="190">
        <v>0</v>
      </c>
      <c r="O13" s="155"/>
    </row>
    <row r="14" spans="1:16" ht="21.6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9">
        <v>50000</v>
      </c>
      <c r="M14" s="249">
        <v>75000</v>
      </c>
      <c r="N14" s="190">
        <v>25000</v>
      </c>
      <c r="O14" s="217" t="s">
        <v>2470</v>
      </c>
    </row>
    <row r="15" spans="1:16" x14ac:dyDescent="0.3">
      <c r="A15" s="7" t="s">
        <v>29</v>
      </c>
      <c r="B15" s="39">
        <f t="shared" ref="B15:N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1">
        <f>SUM(L6:L14)</f>
        <v>179312</v>
      </c>
      <c r="M15" s="250">
        <f t="shared" ref="M15" si="2">SUM(M6:M14)</f>
        <v>725000</v>
      </c>
      <c r="N15" s="191">
        <f t="shared" si="0"/>
        <v>645000</v>
      </c>
      <c r="O15" s="155"/>
    </row>
    <row r="16" spans="1:16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L16" s="111"/>
      <c r="M16" s="249"/>
      <c r="N16" s="190"/>
      <c r="O16" s="155"/>
    </row>
    <row r="17" spans="1:17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L17" s="112"/>
      <c r="M17" s="249"/>
      <c r="N17" s="190"/>
      <c r="O17" s="159"/>
      <c r="P17" s="159"/>
    </row>
    <row r="18" spans="1:17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9">
        <v>-43208</v>
      </c>
      <c r="M18" s="249">
        <v>-140000</v>
      </c>
      <c r="N18" s="190">
        <v>-140000</v>
      </c>
      <c r="O18" s="155"/>
      <c r="P18" s="197"/>
      <c r="Q18" s="55"/>
    </row>
    <row r="19" spans="1:17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9">
        <v>-5718</v>
      </c>
      <c r="M19" s="249">
        <v>-150000</v>
      </c>
      <c r="N19" s="190">
        <v>-150000</v>
      </c>
      <c r="O19" s="157" t="s">
        <v>2467</v>
      </c>
      <c r="P19" s="197"/>
    </row>
    <row r="20" spans="1:17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9">
        <v>0</v>
      </c>
      <c r="M20" s="249">
        <v>-10000</v>
      </c>
      <c r="N20" s="190">
        <v>-10000</v>
      </c>
      <c r="O20" s="157"/>
      <c r="P20" s="197"/>
    </row>
    <row r="21" spans="1:17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9">
        <v>0</v>
      </c>
      <c r="M21" s="249">
        <v>-35000</v>
      </c>
      <c r="N21" s="190">
        <v>-35000</v>
      </c>
      <c r="O21" s="155"/>
      <c r="P21" s="197"/>
    </row>
    <row r="22" spans="1:17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9">
        <v>0</v>
      </c>
      <c r="M22" s="249">
        <v>-35000</v>
      </c>
      <c r="N22" s="190">
        <v>-35000</v>
      </c>
      <c r="O22" s="157" t="s">
        <v>2466</v>
      </c>
      <c r="P22" s="197"/>
    </row>
    <row r="23" spans="1:17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9">
        <v>-13701</v>
      </c>
      <c r="M23" s="249">
        <v>-75000</v>
      </c>
      <c r="N23" s="190">
        <v>-75000</v>
      </c>
      <c r="O23" s="157" t="s">
        <v>2465</v>
      </c>
      <c r="P23" s="197"/>
    </row>
    <row r="24" spans="1:17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9">
        <v>0</v>
      </c>
      <c r="M24" s="249">
        <v>-3000</v>
      </c>
      <c r="N24" s="190">
        <v>-3000</v>
      </c>
      <c r="O24" s="155"/>
      <c r="P24" s="197"/>
    </row>
    <row r="25" spans="1:17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9">
        <v>-10140</v>
      </c>
      <c r="M25" s="249">
        <v>-25000</v>
      </c>
      <c r="N25" s="190">
        <v>-25000</v>
      </c>
      <c r="O25" s="157"/>
      <c r="P25" s="197"/>
    </row>
    <row r="26" spans="1:17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9">
        <v>-2000</v>
      </c>
      <c r="M26" s="249">
        <v>-30000</v>
      </c>
      <c r="N26" s="190">
        <v>-30000</v>
      </c>
      <c r="O26" s="157" t="s">
        <v>2440</v>
      </c>
      <c r="P26" s="197"/>
    </row>
    <row r="27" spans="1:17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9">
        <v>0</v>
      </c>
      <c r="M27" s="249">
        <v>-15000</v>
      </c>
      <c r="N27" s="190">
        <v>-15000</v>
      </c>
      <c r="O27" s="155"/>
      <c r="P27" s="197"/>
    </row>
    <row r="28" spans="1:17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9">
        <v>0</v>
      </c>
      <c r="M28" s="249">
        <v>-25000</v>
      </c>
      <c r="N28" s="190">
        <v>-25000</v>
      </c>
      <c r="O28" s="157" t="s">
        <v>2445</v>
      </c>
      <c r="P28" s="197"/>
    </row>
    <row r="29" spans="1:17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9">
        <v>0</v>
      </c>
      <c r="M29" s="249">
        <v>-5000</v>
      </c>
      <c r="N29" s="190">
        <v>-5000</v>
      </c>
      <c r="O29" s="157" t="s">
        <v>2445</v>
      </c>
    </row>
    <row r="30" spans="1:17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9">
        <v>-500</v>
      </c>
      <c r="M30" s="249">
        <v>-2000</v>
      </c>
      <c r="N30" s="190">
        <v>-2000</v>
      </c>
      <c r="O30" s="157"/>
    </row>
    <row r="31" spans="1:17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9">
        <v>0</v>
      </c>
      <c r="M31" s="249">
        <v>-90000</v>
      </c>
      <c r="N31" s="190">
        <v>-90000</v>
      </c>
      <c r="O31" s="155"/>
      <c r="P31" s="197"/>
    </row>
    <row r="32" spans="1:17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9">
        <v>0</v>
      </c>
      <c r="M32" s="249">
        <v>0</v>
      </c>
      <c r="N32" s="190">
        <v>0</v>
      </c>
      <c r="O32" s="155"/>
      <c r="P32" s="197"/>
    </row>
    <row r="33" spans="1:17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9">
        <f>-1148+-802</f>
        <v>-1950</v>
      </c>
      <c r="M33" s="249">
        <v>-5000</v>
      </c>
      <c r="N33" s="190">
        <v>-5000</v>
      </c>
      <c r="O33" s="155"/>
      <c r="P33" s="197"/>
    </row>
    <row r="34" spans="1:17" x14ac:dyDescent="0.3">
      <c r="A34" s="7" t="s">
        <v>47</v>
      </c>
      <c r="B34" s="39">
        <f>SUM(B18:B33)</f>
        <v>-218877</v>
      </c>
      <c r="C34" s="39">
        <f t="shared" ref="C34:H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ref="I34:N34" si="4">SUM(I18:I33)</f>
        <v>-618159</v>
      </c>
      <c r="J34" s="39">
        <f t="shared" si="4"/>
        <v>-584733</v>
      </c>
      <c r="K34" s="12">
        <f t="shared" si="4"/>
        <v>-734998</v>
      </c>
      <c r="L34" s="11">
        <f t="shared" si="4"/>
        <v>-77217</v>
      </c>
      <c r="M34" s="250">
        <f t="shared" si="4"/>
        <v>-645000</v>
      </c>
      <c r="N34" s="191">
        <f t="shared" si="4"/>
        <v>-645000</v>
      </c>
      <c r="O34" s="205"/>
      <c r="P34" s="206"/>
    </row>
    <row r="35" spans="1:17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113"/>
      <c r="M35" s="250"/>
      <c r="N35" s="191"/>
      <c r="O35" s="158"/>
      <c r="P35" s="207"/>
    </row>
    <row r="36" spans="1:17" s="13" customFormat="1" ht="38.25" customHeight="1" x14ac:dyDescent="0.3">
      <c r="A36" s="7" t="s">
        <v>48</v>
      </c>
      <c r="B36" s="39">
        <f t="shared" ref="B36:K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12">
        <f t="shared" si="5"/>
        <v>10177</v>
      </c>
      <c r="J36" s="12">
        <f>+J34+J15</f>
        <v>36557</v>
      </c>
      <c r="K36" s="12">
        <f t="shared" si="5"/>
        <v>-84874</v>
      </c>
      <c r="L36" s="11">
        <f>+L34+L15</f>
        <v>102095</v>
      </c>
      <c r="M36" s="250">
        <f>M15+M34</f>
        <v>80000</v>
      </c>
      <c r="N36" s="191">
        <f>N15+N34</f>
        <v>0</v>
      </c>
      <c r="O36" s="158"/>
      <c r="P36" s="207"/>
    </row>
    <row r="37" spans="1:17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1"/>
      <c r="M37" s="250"/>
      <c r="N37" s="191"/>
      <c r="O37" s="158"/>
      <c r="P37" s="207"/>
    </row>
    <row r="38" spans="1:17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1">
        <v>0</v>
      </c>
      <c r="M38" s="250">
        <v>0</v>
      </c>
      <c r="N38" s="191">
        <v>0</v>
      </c>
      <c r="O38" s="155"/>
      <c r="P38" s="206"/>
    </row>
    <row r="39" spans="1:17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245"/>
      <c r="L39" s="11"/>
      <c r="M39" s="251"/>
      <c r="N39" s="210"/>
      <c r="O39" s="205"/>
      <c r="P39" s="206"/>
    </row>
    <row r="40" spans="1:17" s="13" customFormat="1" ht="16.2" thickBot="1" x14ac:dyDescent="0.35">
      <c r="A40" s="7" t="s">
        <v>88</v>
      </c>
      <c r="B40" s="39">
        <f t="shared" ref="B40:K40" si="6">+B38+B36</f>
        <v>-34674</v>
      </c>
      <c r="C40" s="39">
        <f t="shared" si="6"/>
        <v>76791</v>
      </c>
      <c r="D40" s="39">
        <f t="shared" si="6"/>
        <v>22713</v>
      </c>
      <c r="E40" s="39">
        <f t="shared" si="6"/>
        <v>-15009.140000000043</v>
      </c>
      <c r="F40" s="39">
        <f t="shared" si="6"/>
        <v>-35959.489999999991</v>
      </c>
      <c r="G40" s="39">
        <f t="shared" si="6"/>
        <v>-181974</v>
      </c>
      <c r="H40" s="39">
        <f t="shared" si="6"/>
        <v>13685</v>
      </c>
      <c r="I40" s="12">
        <f t="shared" si="6"/>
        <v>10177</v>
      </c>
      <c r="J40" s="12">
        <f>+J38+J36</f>
        <v>36557</v>
      </c>
      <c r="K40" s="12">
        <f t="shared" si="6"/>
        <v>-84874</v>
      </c>
      <c r="L40" s="154">
        <f>+L38+L36</f>
        <v>102095</v>
      </c>
      <c r="M40" s="252">
        <f>+M38+M36</f>
        <v>80000</v>
      </c>
      <c r="N40" s="192">
        <f>+N38+N36</f>
        <v>0</v>
      </c>
      <c r="O40" s="155"/>
      <c r="P40" s="208"/>
    </row>
    <row r="41" spans="1:17" s="13" customFormat="1" x14ac:dyDescent="0.3">
      <c r="A41" s="4"/>
      <c r="B41" s="4"/>
      <c r="C41" s="4"/>
      <c r="D41" s="4"/>
      <c r="E41" s="4"/>
      <c r="F41" s="4"/>
      <c r="G41" s="4"/>
      <c r="H41" s="4"/>
      <c r="M41" s="58"/>
      <c r="N41" s="58"/>
      <c r="O41" s="196"/>
      <c r="P41" s="155"/>
    </row>
    <row r="43" spans="1:17" x14ac:dyDescent="0.3">
      <c r="M43" s="99"/>
    </row>
    <row r="44" spans="1:17" x14ac:dyDescent="0.3">
      <c r="M44" s="222"/>
    </row>
    <row r="45" spans="1:17" x14ac:dyDescent="0.3">
      <c r="M45" s="207"/>
    </row>
    <row r="46" spans="1:17" x14ac:dyDescent="0.3">
      <c r="M46" s="222"/>
    </row>
    <row r="47" spans="1:17" s="4" customFormat="1" x14ac:dyDescent="0.3">
      <c r="M47" s="99"/>
      <c r="O47" s="196"/>
      <c r="P47" s="155"/>
      <c r="Q47" s="1"/>
    </row>
    <row r="48" spans="1:17" s="4" customFormat="1" x14ac:dyDescent="0.3">
      <c r="M48" s="99"/>
      <c r="O48" s="196"/>
      <c r="P48" s="155"/>
      <c r="Q48" s="1"/>
    </row>
    <row r="49" spans="13:17" s="4" customFormat="1" x14ac:dyDescent="0.3">
      <c r="M49" s="99"/>
      <c r="O49" s="196"/>
      <c r="P49" s="155"/>
      <c r="Q49" s="1"/>
    </row>
    <row r="50" spans="13:17" s="4" customFormat="1" x14ac:dyDescent="0.3">
      <c r="M50" s="99"/>
      <c r="O50" s="196"/>
      <c r="P50" s="155"/>
      <c r="Q50" s="1"/>
    </row>
    <row r="51" spans="13:17" x14ac:dyDescent="0.3">
      <c r="M51" s="99"/>
    </row>
    <row r="52" spans="13:17" x14ac:dyDescent="0.3">
      <c r="M52" s="223"/>
    </row>
  </sheetData>
  <mergeCells count="1">
    <mergeCell ref="E1:G1"/>
  </mergeCells>
  <pageMargins left="0.7" right="0.7" top="0.75" bottom="0.75" header="0.3" footer="0.3"/>
  <pageSetup paperSize="9" scale="61" orientation="landscape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  <pageSetUpPr fitToPage="1"/>
  </sheetPr>
  <dimension ref="A1:O50"/>
  <sheetViews>
    <sheetView zoomScale="90" zoomScaleNormal="90" workbookViewId="0">
      <pane xSplit="1" ySplit="3" topLeftCell="B18" activePane="bottomRight" state="frozen"/>
      <selection pane="topRight" activeCell="B1" sqref="B1"/>
      <selection pane="bottomLeft" activeCell="A4" sqref="A4"/>
      <selection pane="bottomRight" activeCell="L18" sqref="L18:L33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customWidth="1"/>
    <col min="8" max="8" width="14.33203125" style="4" customWidth="1"/>
    <col min="9" max="11" width="16.44140625" style="1" customWidth="1"/>
    <col min="12" max="12" width="18.5546875" style="1" customWidth="1"/>
    <col min="13" max="13" width="27" style="196" customWidth="1"/>
    <col min="14" max="14" width="12" style="155" customWidth="1"/>
    <col min="15" max="16384" width="9.109375" style="1"/>
  </cols>
  <sheetData>
    <row r="1" spans="1:14" ht="31.8" thickBot="1" x14ac:dyDescent="0.65">
      <c r="A1" s="211" t="s">
        <v>486</v>
      </c>
      <c r="B1" s="254"/>
      <c r="C1" s="255"/>
      <c r="D1" s="255"/>
      <c r="E1" s="291" t="s">
        <v>487</v>
      </c>
      <c r="F1" s="291"/>
      <c r="G1" s="291"/>
      <c r="H1" s="291"/>
      <c r="I1" s="292"/>
    </row>
    <row r="2" spans="1:14" ht="16.2" thickBot="1" x14ac:dyDescent="0.35"/>
    <row r="3" spans="1:14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241">
        <v>2017</v>
      </c>
      <c r="L3" s="240" t="s">
        <v>2464</v>
      </c>
      <c r="M3" s="156"/>
      <c r="N3" s="156"/>
    </row>
    <row r="4" spans="1:14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242"/>
      <c r="L4" s="209"/>
      <c r="M4" s="156"/>
      <c r="N4" s="156"/>
    </row>
    <row r="5" spans="1:14" ht="16.2" thickBot="1" x14ac:dyDescent="0.35">
      <c r="A5" s="32" t="s">
        <v>19</v>
      </c>
      <c r="B5" s="10"/>
      <c r="C5" s="7"/>
      <c r="D5" s="7"/>
      <c r="I5" s="4"/>
      <c r="J5" s="4"/>
      <c r="K5" s="243"/>
      <c r="L5" s="8"/>
      <c r="M5" s="155"/>
    </row>
    <row r="6" spans="1:14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244">
        <v>183801</v>
      </c>
      <c r="L6" s="190">
        <v>190000</v>
      </c>
      <c r="M6" s="217"/>
    </row>
    <row r="7" spans="1:14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244">
        <v>131700</v>
      </c>
      <c r="L7" s="190">
        <v>150000</v>
      </c>
      <c r="M7" s="236"/>
    </row>
    <row r="8" spans="1:14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244">
        <v>96525</v>
      </c>
      <c r="L8" s="190">
        <v>100000</v>
      </c>
      <c r="M8" s="155"/>
    </row>
    <row r="9" spans="1:14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244">
        <v>13700</v>
      </c>
      <c r="L9" s="190">
        <v>20000</v>
      </c>
      <c r="M9" s="217"/>
    </row>
    <row r="10" spans="1:14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244">
        <v>104297</v>
      </c>
      <c r="L10" s="190">
        <v>70000</v>
      </c>
      <c r="M10" s="217"/>
    </row>
    <row r="11" spans="1:14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244">
        <v>85200</v>
      </c>
      <c r="L11" s="190">
        <v>90000</v>
      </c>
      <c r="M11" s="155"/>
    </row>
    <row r="12" spans="1:14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244">
        <v>5455</v>
      </c>
      <c r="L12" s="190">
        <v>0</v>
      </c>
      <c r="M12" s="155"/>
    </row>
    <row r="13" spans="1:14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244">
        <v>0</v>
      </c>
      <c r="L13" s="190">
        <v>0</v>
      </c>
      <c r="M13" s="155"/>
    </row>
    <row r="14" spans="1:14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244">
        <v>29446</v>
      </c>
      <c r="L14" s="190">
        <v>25000</v>
      </c>
      <c r="M14" s="217"/>
    </row>
    <row r="15" spans="1:14" x14ac:dyDescent="0.3">
      <c r="A15" s="7" t="s">
        <v>29</v>
      </c>
      <c r="B15" s="39">
        <f t="shared" ref="B15:L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si="0"/>
        <v>621290</v>
      </c>
      <c r="K15" s="245">
        <f t="shared" si="0"/>
        <v>650124</v>
      </c>
      <c r="L15" s="191">
        <f t="shared" si="0"/>
        <v>645000</v>
      </c>
      <c r="M15" s="155"/>
    </row>
    <row r="16" spans="1:14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K16" s="136"/>
      <c r="L16" s="190"/>
      <c r="M16" s="155"/>
    </row>
    <row r="17" spans="1:15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K17" s="246"/>
      <c r="L17" s="190"/>
      <c r="M17" s="159"/>
      <c r="N17" s="159"/>
    </row>
    <row r="18" spans="1:15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244">
        <v>-134562</v>
      </c>
      <c r="L18" s="190">
        <v>-140000</v>
      </c>
      <c r="M18" s="155"/>
      <c r="N18" s="197"/>
      <c r="O18" s="55"/>
    </row>
    <row r="19" spans="1:15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244">
        <v>-201761</v>
      </c>
      <c r="L19" s="190">
        <v>-150000</v>
      </c>
      <c r="M19" s="157"/>
      <c r="N19" s="197"/>
    </row>
    <row r="20" spans="1:15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244">
        <v>-17887</v>
      </c>
      <c r="L20" s="190">
        <v>-10000</v>
      </c>
      <c r="M20" s="157"/>
      <c r="N20" s="197"/>
    </row>
    <row r="21" spans="1:15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244">
        <v>-38345</v>
      </c>
      <c r="L21" s="190">
        <v>-35000</v>
      </c>
      <c r="M21" s="155"/>
      <c r="N21" s="197"/>
    </row>
    <row r="22" spans="1:15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244">
        <v>-40515</v>
      </c>
      <c r="L22" s="190">
        <v>-35000</v>
      </c>
      <c r="M22" s="155"/>
      <c r="N22" s="197"/>
    </row>
    <row r="23" spans="1:15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244">
        <v>-76389</v>
      </c>
      <c r="L23" s="190">
        <v>-75000</v>
      </c>
      <c r="M23" s="157"/>
      <c r="N23" s="197"/>
    </row>
    <row r="24" spans="1:15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244">
        <v>-2500</v>
      </c>
      <c r="L24" s="190">
        <v>-3000</v>
      </c>
      <c r="M24" s="155"/>
      <c r="N24" s="197"/>
    </row>
    <row r="25" spans="1:15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244">
        <v>-23700</v>
      </c>
      <c r="L25" s="190">
        <v>-25000</v>
      </c>
      <c r="M25" s="157"/>
      <c r="N25" s="197"/>
    </row>
    <row r="26" spans="1:15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244">
        <v>-30550</v>
      </c>
      <c r="L26" s="190">
        <v>-30000</v>
      </c>
      <c r="M26" s="157"/>
      <c r="N26" s="197"/>
    </row>
    <row r="27" spans="1:15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244">
        <v>-14710</v>
      </c>
      <c r="L27" s="190">
        <v>-15000</v>
      </c>
      <c r="M27" s="155"/>
      <c r="N27" s="197"/>
    </row>
    <row r="28" spans="1:15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244">
        <v>-39400</v>
      </c>
      <c r="L28" s="190">
        <v>-25000</v>
      </c>
      <c r="M28" s="157"/>
      <c r="N28" s="197"/>
    </row>
    <row r="29" spans="1:15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244">
        <v>-10000</v>
      </c>
      <c r="L29" s="190">
        <v>-5000</v>
      </c>
      <c r="M29" s="157"/>
    </row>
    <row r="30" spans="1:15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244">
        <v>-3000</v>
      </c>
      <c r="L30" s="190">
        <v>-2000</v>
      </c>
      <c r="M30" s="157"/>
    </row>
    <row r="31" spans="1:15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244">
        <v>-90569</v>
      </c>
      <c r="L31" s="190">
        <v>-90000</v>
      </c>
      <c r="M31" s="155"/>
      <c r="N31" s="197"/>
    </row>
    <row r="32" spans="1:15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244">
        <v>0</v>
      </c>
      <c r="L32" s="190">
        <v>0</v>
      </c>
      <c r="M32" s="155"/>
      <c r="N32" s="197"/>
    </row>
    <row r="33" spans="1:15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244">
        <v>-11110</v>
      </c>
      <c r="L33" s="190">
        <v>-5000</v>
      </c>
      <c r="M33" s="155"/>
      <c r="N33" s="197"/>
    </row>
    <row r="34" spans="1:15" x14ac:dyDescent="0.3">
      <c r="A34" s="7" t="s">
        <v>47</v>
      </c>
      <c r="B34" s="39">
        <f>SUM(B18:B33)</f>
        <v>-218877</v>
      </c>
      <c r="C34" s="39">
        <f t="shared" ref="C34:H34" si="1">SUM(C18:C33)</f>
        <v>-258934</v>
      </c>
      <c r="D34" s="39">
        <f t="shared" si="1"/>
        <v>-187844</v>
      </c>
      <c r="E34" s="39">
        <f t="shared" si="1"/>
        <v>-247088.42</v>
      </c>
      <c r="F34" s="39">
        <f t="shared" si="1"/>
        <v>-325572.77</v>
      </c>
      <c r="G34" s="39">
        <f t="shared" si="1"/>
        <v>-457445</v>
      </c>
      <c r="H34" s="39">
        <f t="shared" si="1"/>
        <v>-467066</v>
      </c>
      <c r="I34" s="39">
        <f>SUM(I18:I33)</f>
        <v>-618159</v>
      </c>
      <c r="J34" s="39">
        <f>SUM(J18:J33)</f>
        <v>-584733</v>
      </c>
      <c r="K34" s="245">
        <f>SUM(K18:K33)</f>
        <v>-734998</v>
      </c>
      <c r="L34" s="191">
        <f>SUM(L18:L33)</f>
        <v>-645000</v>
      </c>
      <c r="M34" s="205"/>
      <c r="N34" s="206"/>
    </row>
    <row r="35" spans="1:15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247"/>
      <c r="L35" s="191"/>
      <c r="M35" s="158"/>
      <c r="N35" s="207"/>
    </row>
    <row r="36" spans="1:15" s="13" customFormat="1" x14ac:dyDescent="0.3">
      <c r="A36" s="7" t="s">
        <v>48</v>
      </c>
      <c r="B36" s="39">
        <f t="shared" ref="B36:K36" si="2">+B34+B15</f>
        <v>-24674</v>
      </c>
      <c r="C36" s="39">
        <f t="shared" si="2"/>
        <v>86791</v>
      </c>
      <c r="D36" s="39">
        <f t="shared" si="2"/>
        <v>32713</v>
      </c>
      <c r="E36" s="39">
        <f t="shared" si="2"/>
        <v>-5009.1400000000431</v>
      </c>
      <c r="F36" s="39">
        <f t="shared" si="2"/>
        <v>-25959.489999999991</v>
      </c>
      <c r="G36" s="39">
        <f t="shared" si="2"/>
        <v>-167525</v>
      </c>
      <c r="H36" s="39">
        <f t="shared" si="2"/>
        <v>13685</v>
      </c>
      <c r="I36" s="12">
        <f t="shared" si="2"/>
        <v>10177</v>
      </c>
      <c r="J36" s="12">
        <f t="shared" si="2"/>
        <v>36557</v>
      </c>
      <c r="K36" s="245">
        <f t="shared" si="2"/>
        <v>-84874</v>
      </c>
      <c r="L36" s="191">
        <f>L15+L34</f>
        <v>0</v>
      </c>
      <c r="M36" s="158"/>
      <c r="N36" s="207"/>
    </row>
    <row r="37" spans="1:15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245"/>
      <c r="L37" s="191"/>
      <c r="M37" s="158"/>
      <c r="N37" s="207"/>
    </row>
    <row r="38" spans="1:15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245">
        <v>0</v>
      </c>
      <c r="L38" s="191">
        <v>0</v>
      </c>
      <c r="M38" s="155"/>
      <c r="N38" s="206"/>
    </row>
    <row r="39" spans="1:15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245"/>
      <c r="L39" s="210"/>
      <c r="M39" s="205"/>
      <c r="N39" s="206"/>
    </row>
    <row r="40" spans="1:15" s="13" customFormat="1" ht="16.2" thickBot="1" x14ac:dyDescent="0.35">
      <c r="A40" s="7" t="s">
        <v>88</v>
      </c>
      <c r="B40" s="39">
        <f t="shared" ref="B40:K40" si="3">+B38+B36</f>
        <v>-34674</v>
      </c>
      <c r="C40" s="39">
        <f t="shared" si="3"/>
        <v>76791</v>
      </c>
      <c r="D40" s="39">
        <f t="shared" si="3"/>
        <v>22713</v>
      </c>
      <c r="E40" s="39">
        <f t="shared" si="3"/>
        <v>-15009.140000000043</v>
      </c>
      <c r="F40" s="248">
        <f t="shared" si="3"/>
        <v>-35959.489999999991</v>
      </c>
      <c r="G40" s="248">
        <f t="shared" si="3"/>
        <v>-181974</v>
      </c>
      <c r="H40" s="248">
        <f t="shared" si="3"/>
        <v>13685</v>
      </c>
      <c r="I40" s="154">
        <f t="shared" si="3"/>
        <v>10177</v>
      </c>
      <c r="J40" s="154">
        <f t="shared" si="3"/>
        <v>36557</v>
      </c>
      <c r="K40" s="154">
        <f t="shared" si="3"/>
        <v>-84874</v>
      </c>
      <c r="L40" s="192">
        <f>+L38+L36</f>
        <v>0</v>
      </c>
      <c r="M40" s="155"/>
      <c r="N40" s="208"/>
    </row>
    <row r="41" spans="1:15" s="13" customFormat="1" x14ac:dyDescent="0.3">
      <c r="A41" s="4"/>
      <c r="B41" s="4"/>
      <c r="C41" s="4"/>
      <c r="D41" s="4"/>
      <c r="E41" s="4"/>
      <c r="F41" s="4"/>
      <c r="G41" s="4"/>
      <c r="H41" s="4"/>
      <c r="L41" s="58"/>
      <c r="M41" s="196"/>
      <c r="N41" s="155"/>
    </row>
    <row r="47" spans="1:15" s="4" customFormat="1" x14ac:dyDescent="0.3">
      <c r="M47" s="196"/>
      <c r="N47" s="155"/>
      <c r="O47" s="1"/>
    </row>
    <row r="48" spans="1:15" s="4" customFormat="1" x14ac:dyDescent="0.3">
      <c r="M48" s="196"/>
      <c r="N48" s="155"/>
      <c r="O48" s="1"/>
    </row>
    <row r="49" spans="13:15" s="4" customFormat="1" x14ac:dyDescent="0.3">
      <c r="M49" s="196"/>
      <c r="N49" s="155"/>
      <c r="O49" s="1"/>
    </row>
    <row r="50" spans="13:15" s="4" customFormat="1" x14ac:dyDescent="0.3">
      <c r="M50" s="196"/>
      <c r="N50" s="155"/>
      <c r="O50" s="1"/>
    </row>
  </sheetData>
  <mergeCells count="1">
    <mergeCell ref="E1:I1"/>
  </mergeCells>
  <pageMargins left="0.7" right="0.7" top="0.75" bottom="0.75" header="0.3" footer="0.3"/>
  <pageSetup paperSize="9" scale="72" orientation="landscape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  <pageSetUpPr fitToPage="1"/>
  </sheetPr>
  <dimension ref="A1:G35"/>
  <sheetViews>
    <sheetView workbookViewId="0">
      <selection activeCell="E31" sqref="E31"/>
    </sheetView>
  </sheetViews>
  <sheetFormatPr defaultColWidth="9.109375" defaultRowHeight="14.4" x14ac:dyDescent="0.3"/>
  <cols>
    <col min="1" max="1" width="9.109375" style="1"/>
    <col min="2" max="2" width="39.6640625" style="1" customWidth="1"/>
    <col min="3" max="5" width="13.6640625" style="1" customWidth="1"/>
    <col min="6" max="16384" width="9.109375" style="1"/>
  </cols>
  <sheetData>
    <row r="1" spans="1:7" ht="34.200000000000003" thickBot="1" x14ac:dyDescent="0.7">
      <c r="A1" s="193" t="s">
        <v>2460</v>
      </c>
      <c r="B1" s="194"/>
      <c r="C1" s="195"/>
      <c r="D1" s="195"/>
      <c r="E1" s="194"/>
    </row>
    <row r="2" spans="1:7" ht="18.75" customHeight="1" thickBot="1" x14ac:dyDescent="0.7">
      <c r="A2" s="135"/>
      <c r="B2" s="130"/>
      <c r="E2" s="136"/>
    </row>
    <row r="3" spans="1:7" ht="15" thickBot="1" x14ac:dyDescent="0.35">
      <c r="A3" s="124"/>
      <c r="C3" s="102" t="s">
        <v>0</v>
      </c>
      <c r="D3" s="102" t="s">
        <v>904</v>
      </c>
      <c r="E3" s="102" t="s">
        <v>2</v>
      </c>
    </row>
    <row r="4" spans="1:7" ht="15" thickBot="1" x14ac:dyDescent="0.35">
      <c r="A4" s="147" t="s">
        <v>905</v>
      </c>
      <c r="C4" s="103">
        <v>42736</v>
      </c>
      <c r="D4" s="104"/>
      <c r="E4" s="103">
        <v>43100</v>
      </c>
    </row>
    <row r="5" spans="1:7" x14ac:dyDescent="0.3">
      <c r="A5" s="124"/>
      <c r="E5" s="136"/>
    </row>
    <row r="6" spans="1:7" ht="15.6" x14ac:dyDescent="0.3">
      <c r="A6" s="146" t="s">
        <v>906</v>
      </c>
      <c r="E6" s="136"/>
    </row>
    <row r="7" spans="1:7" ht="15" thickBot="1" x14ac:dyDescent="0.35">
      <c r="A7" s="124"/>
      <c r="B7" s="1" t="s">
        <v>5</v>
      </c>
      <c r="C7" s="105">
        <v>0</v>
      </c>
      <c r="D7" s="105">
        <v>0</v>
      </c>
      <c r="E7" s="140">
        <v>0</v>
      </c>
    </row>
    <row r="8" spans="1:7" x14ac:dyDescent="0.3">
      <c r="A8" s="137" t="s">
        <v>907</v>
      </c>
      <c r="C8" s="106">
        <f>SUM(C7:C7)</f>
        <v>0</v>
      </c>
      <c r="D8" s="106">
        <f>SUM(D7:D7)</f>
        <v>0</v>
      </c>
      <c r="E8" s="141">
        <f>SUM(E7:E7)</f>
        <v>0</v>
      </c>
    </row>
    <row r="9" spans="1:7" x14ac:dyDescent="0.3">
      <c r="A9" s="124"/>
      <c r="C9" s="138"/>
      <c r="D9" s="138"/>
      <c r="E9" s="139"/>
    </row>
    <row r="10" spans="1:7" ht="15.6" x14ac:dyDescent="0.3">
      <c r="A10" s="146" t="s">
        <v>9</v>
      </c>
      <c r="C10" s="138"/>
      <c r="D10" s="138"/>
      <c r="E10" s="139"/>
    </row>
    <row r="11" spans="1:7" x14ac:dyDescent="0.3">
      <c r="A11" s="124"/>
      <c r="B11" s="55" t="s">
        <v>10</v>
      </c>
      <c r="C11" s="138">
        <v>1000</v>
      </c>
      <c r="D11" s="138">
        <f>+E11-C11</f>
        <v>-1000</v>
      </c>
      <c r="E11" s="139">
        <v>0</v>
      </c>
    </row>
    <row r="12" spans="1:7" x14ac:dyDescent="0.3">
      <c r="A12" s="124"/>
      <c r="B12" s="55" t="s">
        <v>908</v>
      </c>
      <c r="C12" s="138">
        <v>968.24</v>
      </c>
      <c r="D12" s="138">
        <f>+E12-C12</f>
        <v>0</v>
      </c>
      <c r="E12" s="139">
        <v>968.24</v>
      </c>
    </row>
    <row r="13" spans="1:7" x14ac:dyDescent="0.3">
      <c r="A13" s="124"/>
      <c r="B13" s="55" t="s">
        <v>2432</v>
      </c>
      <c r="C13" s="138">
        <v>173387.04</v>
      </c>
      <c r="D13" s="138">
        <f>+E13-C13</f>
        <v>-89529.000000000015</v>
      </c>
      <c r="E13" s="184">
        <v>83858.039999999994</v>
      </c>
    </row>
    <row r="14" spans="1:7" ht="15" thickBot="1" x14ac:dyDescent="0.35">
      <c r="A14" s="124"/>
      <c r="B14" s="55" t="s">
        <v>2433</v>
      </c>
      <c r="C14" s="107">
        <v>0</v>
      </c>
      <c r="D14" s="105">
        <f>+E14-C14</f>
        <v>0</v>
      </c>
      <c r="E14" s="142">
        <v>0</v>
      </c>
      <c r="G14" s="2"/>
    </row>
    <row r="15" spans="1:7" x14ac:dyDescent="0.3">
      <c r="A15" s="137" t="s">
        <v>14</v>
      </c>
      <c r="C15" s="106">
        <f>SUM(C11:C14)</f>
        <v>175355.28</v>
      </c>
      <c r="D15" s="106">
        <f>SUM(D11:D14)</f>
        <v>-90529.000000000015</v>
      </c>
      <c r="E15" s="141">
        <f>SUM(E11:E14)</f>
        <v>84826.28</v>
      </c>
    </row>
    <row r="16" spans="1:7" x14ac:dyDescent="0.3">
      <c r="A16" s="124"/>
      <c r="C16" s="138"/>
      <c r="D16" s="138"/>
      <c r="E16" s="139"/>
    </row>
    <row r="17" spans="1:5" ht="15.6" x14ac:dyDescent="0.3">
      <c r="A17" s="146" t="s">
        <v>911</v>
      </c>
      <c r="C17" s="138"/>
      <c r="D17" s="138"/>
      <c r="E17" s="139"/>
    </row>
    <row r="18" spans="1:5" ht="15" thickBot="1" x14ac:dyDescent="0.35">
      <c r="A18" s="122"/>
      <c r="B18" s="55"/>
      <c r="C18" s="107">
        <v>0</v>
      </c>
      <c r="D18" s="105">
        <f>+E18-C18</f>
        <v>0</v>
      </c>
      <c r="E18" s="142">
        <v>0</v>
      </c>
    </row>
    <row r="19" spans="1:5" x14ac:dyDescent="0.3">
      <c r="A19" s="137" t="s">
        <v>913</v>
      </c>
      <c r="C19" s="106">
        <f>SUM(C18:C18)</f>
        <v>0</v>
      </c>
      <c r="D19" s="106">
        <f>SUM(D18:D18)</f>
        <v>0</v>
      </c>
      <c r="E19" s="141">
        <f>SUM(E18:E18)</f>
        <v>0</v>
      </c>
    </row>
    <row r="20" spans="1:5" x14ac:dyDescent="0.3">
      <c r="A20" s="124"/>
      <c r="C20" s="138"/>
      <c r="D20" s="138"/>
      <c r="E20" s="139"/>
    </row>
    <row r="21" spans="1:5" s="58" customFormat="1" ht="15" thickBot="1" x14ac:dyDescent="0.35">
      <c r="A21" s="143" t="s">
        <v>15</v>
      </c>
      <c r="C21" s="108">
        <f>+C8+C15+C19</f>
        <v>175355.28</v>
      </c>
      <c r="D21" s="108">
        <f>+E21-C21</f>
        <v>-90529</v>
      </c>
      <c r="E21" s="144">
        <f>+E8+E15+E18</f>
        <v>84826.28</v>
      </c>
    </row>
    <row r="22" spans="1:5" ht="15" thickTop="1" x14ac:dyDescent="0.3">
      <c r="A22" s="124"/>
      <c r="C22" s="138"/>
      <c r="D22" s="138"/>
      <c r="E22" s="139"/>
    </row>
    <row r="23" spans="1:5" x14ac:dyDescent="0.3">
      <c r="A23" s="124"/>
      <c r="C23" s="138"/>
      <c r="D23" s="138"/>
      <c r="E23" s="139"/>
    </row>
    <row r="24" spans="1:5" x14ac:dyDescent="0.3">
      <c r="A24" s="147" t="s">
        <v>923</v>
      </c>
      <c r="C24" s="138"/>
      <c r="D24" s="138"/>
      <c r="E24" s="139"/>
    </row>
    <row r="25" spans="1:5" x14ac:dyDescent="0.3">
      <c r="A25" s="124"/>
      <c r="C25" s="138"/>
      <c r="D25" s="138"/>
      <c r="E25" s="139"/>
    </row>
    <row r="26" spans="1:5" ht="15.6" x14ac:dyDescent="0.3">
      <c r="A26" s="146" t="s">
        <v>2461</v>
      </c>
      <c r="C26" s="138"/>
      <c r="D26" s="138"/>
      <c r="E26" s="139"/>
    </row>
    <row r="27" spans="1:5" ht="15" thickBot="1" x14ac:dyDescent="0.35">
      <c r="A27" s="122"/>
      <c r="B27" s="55" t="s">
        <v>2463</v>
      </c>
      <c r="C27" s="107">
        <v>0</v>
      </c>
      <c r="D27" s="105">
        <f>+E27-C27</f>
        <v>-5655</v>
      </c>
      <c r="E27" s="142">
        <v>-5655</v>
      </c>
    </row>
    <row r="28" spans="1:5" x14ac:dyDescent="0.3">
      <c r="A28" s="137" t="s">
        <v>2462</v>
      </c>
      <c r="C28" s="106">
        <f>SUM(C27:C27)</f>
        <v>0</v>
      </c>
      <c r="D28" s="106">
        <f>SUM(D27:D27)</f>
        <v>-5655</v>
      </c>
      <c r="E28" s="141">
        <f>SUM(E27:E27)</f>
        <v>-5655</v>
      </c>
    </row>
    <row r="29" spans="1:5" x14ac:dyDescent="0.3">
      <c r="A29" s="137"/>
      <c r="C29" s="106"/>
      <c r="D29" s="106"/>
      <c r="E29" s="141"/>
    </row>
    <row r="30" spans="1:5" ht="15.6" x14ac:dyDescent="0.3">
      <c r="A30" s="146" t="s">
        <v>8</v>
      </c>
      <c r="C30" s="138"/>
      <c r="D30" s="138"/>
      <c r="E30" s="139"/>
    </row>
    <row r="31" spans="1:5" ht="15" thickBot="1" x14ac:dyDescent="0.35">
      <c r="A31" s="124"/>
      <c r="B31" s="55" t="s">
        <v>8</v>
      </c>
      <c r="C31" s="105">
        <v>175355.28</v>
      </c>
      <c r="D31" s="105">
        <f>+E31-C31</f>
        <v>-84874</v>
      </c>
      <c r="E31" s="140">
        <f>175355.28-84874</f>
        <v>90481.279999999999</v>
      </c>
    </row>
    <row r="32" spans="1:5" x14ac:dyDescent="0.3">
      <c r="A32" s="137" t="s">
        <v>914</v>
      </c>
      <c r="C32" s="106">
        <f>SUM(C31:C31)</f>
        <v>175355.28</v>
      </c>
      <c r="D32" s="106">
        <f>SUM(D31:D31)</f>
        <v>-84874</v>
      </c>
      <c r="E32" s="141">
        <f>SUM(E31:E31)</f>
        <v>90481.279999999999</v>
      </c>
    </row>
    <row r="33" spans="1:5" x14ac:dyDescent="0.3">
      <c r="A33" s="124"/>
      <c r="E33" s="136"/>
    </row>
    <row r="34" spans="1:5" s="58" customFormat="1" ht="15" thickBot="1" x14ac:dyDescent="0.35">
      <c r="A34" s="143" t="s">
        <v>915</v>
      </c>
      <c r="C34" s="108">
        <f>+C32+C28</f>
        <v>175355.28</v>
      </c>
      <c r="D34" s="108">
        <f>+D32+D28</f>
        <v>-90529</v>
      </c>
      <c r="E34" s="144">
        <f>+E32+E28</f>
        <v>84826.28</v>
      </c>
    </row>
    <row r="35" spans="1:5" ht="15.6" thickTop="1" thickBot="1" x14ac:dyDescent="0.35">
      <c r="A35" s="125"/>
      <c r="B35" s="126"/>
      <c r="C35" s="126"/>
      <c r="D35" s="126"/>
      <c r="E35" s="145"/>
    </row>
  </sheetData>
  <pageMargins left="1.18" right="0.7" top="0.75" bottom="0.75" header="0.3" footer="0.3"/>
  <pageSetup paperSize="9" scale="90"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499984740745262"/>
    <pageSetUpPr fitToPage="1"/>
  </sheetPr>
  <dimension ref="A1:O50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4" sqref="K4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1" width="16.44140625" style="1" customWidth="1"/>
    <col min="12" max="12" width="18.5546875" style="1" customWidth="1"/>
    <col min="13" max="13" width="27" style="196" customWidth="1"/>
    <col min="14" max="14" width="12" style="155" customWidth="1"/>
    <col min="15" max="16384" width="9.109375" style="1"/>
  </cols>
  <sheetData>
    <row r="1" spans="1:14" ht="31.8" thickBot="1" x14ac:dyDescent="0.65">
      <c r="A1" s="211" t="s">
        <v>486</v>
      </c>
      <c r="C1" s="224"/>
      <c r="D1" s="224"/>
      <c r="E1" s="295" t="s">
        <v>487</v>
      </c>
      <c r="F1" s="295"/>
      <c r="G1" s="295"/>
    </row>
    <row r="2" spans="1:14" ht="16.2" thickBot="1" x14ac:dyDescent="0.35"/>
    <row r="3" spans="1:14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227">
        <v>2017</v>
      </c>
      <c r="L3" s="240" t="s">
        <v>2435</v>
      </c>
      <c r="M3" s="156"/>
      <c r="N3" s="156"/>
    </row>
    <row r="4" spans="1:14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110"/>
      <c r="L4" s="209"/>
      <c r="M4" s="156"/>
      <c r="N4" s="156"/>
    </row>
    <row r="5" spans="1:14" ht="16.2" thickBot="1" x14ac:dyDescent="0.35">
      <c r="A5" s="32" t="s">
        <v>19</v>
      </c>
      <c r="B5" s="10"/>
      <c r="C5" s="7"/>
      <c r="D5" s="7"/>
      <c r="I5" s="4"/>
      <c r="J5" s="4"/>
      <c r="K5" s="237"/>
      <c r="L5" s="8"/>
      <c r="M5" s="155"/>
    </row>
    <row r="6" spans="1:14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9">
        <v>183801</v>
      </c>
      <c r="L6" s="190">
        <v>210000</v>
      </c>
      <c r="M6" s="217"/>
    </row>
    <row r="7" spans="1:14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9">
        <v>131700</v>
      </c>
      <c r="L7" s="190">
        <v>110000</v>
      </c>
      <c r="M7" s="236"/>
    </row>
    <row r="8" spans="1:14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9">
        <v>96525</v>
      </c>
      <c r="L8" s="190">
        <v>80000</v>
      </c>
      <c r="M8" s="155"/>
    </row>
    <row r="9" spans="1:14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9">
        <v>13700</v>
      </c>
      <c r="L9" s="190">
        <v>25000</v>
      </c>
      <c r="M9" s="217"/>
    </row>
    <row r="10" spans="1:14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9">
        <v>104297</v>
      </c>
      <c r="L10" s="190">
        <v>50000</v>
      </c>
      <c r="M10" s="217"/>
    </row>
    <row r="11" spans="1:14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9">
        <v>85200</v>
      </c>
      <c r="L11" s="190">
        <v>90000</v>
      </c>
      <c r="M11" s="155"/>
    </row>
    <row r="12" spans="1:14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9">
        <v>5455</v>
      </c>
      <c r="L12" s="190">
        <v>0</v>
      </c>
      <c r="M12" s="155"/>
    </row>
    <row r="13" spans="1:14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9">
        <v>0</v>
      </c>
      <c r="L13" s="190">
        <v>0</v>
      </c>
      <c r="M13" s="155"/>
    </row>
    <row r="14" spans="1:14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9">
        <v>29446</v>
      </c>
      <c r="L14" s="190">
        <v>15000</v>
      </c>
      <c r="M14" s="217"/>
    </row>
    <row r="15" spans="1:14" x14ac:dyDescent="0.3">
      <c r="A15" s="7" t="s">
        <v>29</v>
      </c>
      <c r="B15" s="39">
        <f t="shared" ref="B15:L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si="0"/>
        <v>621290</v>
      </c>
      <c r="K15" s="11">
        <f t="shared" si="0"/>
        <v>650124</v>
      </c>
      <c r="L15" s="191">
        <f t="shared" si="0"/>
        <v>580000</v>
      </c>
      <c r="M15" s="155"/>
    </row>
    <row r="16" spans="1:14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K16" s="111"/>
      <c r="L16" s="190"/>
      <c r="M16" s="155"/>
    </row>
    <row r="17" spans="1:15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K17" s="112"/>
      <c r="L17" s="190"/>
      <c r="M17" s="159"/>
      <c r="N17" s="159"/>
    </row>
    <row r="18" spans="1:15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9">
        <v>-134562</v>
      </c>
      <c r="L18" s="190">
        <v>-120000</v>
      </c>
      <c r="M18" s="155"/>
      <c r="N18" s="197"/>
      <c r="O18" s="55"/>
    </row>
    <row r="19" spans="1:15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9">
        <v>-201761</v>
      </c>
      <c r="L19" s="190">
        <v>-150000</v>
      </c>
      <c r="M19" s="157"/>
      <c r="N19" s="197"/>
    </row>
    <row r="20" spans="1:15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9">
        <v>-17887</v>
      </c>
      <c r="L20" s="190">
        <v>-10000</v>
      </c>
      <c r="M20" s="157"/>
      <c r="N20" s="197"/>
    </row>
    <row r="21" spans="1:15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9">
        <v>-38345</v>
      </c>
      <c r="L21" s="190">
        <v>-40000</v>
      </c>
      <c r="M21" s="155"/>
      <c r="N21" s="197"/>
    </row>
    <row r="22" spans="1:15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9">
        <v>-40515</v>
      </c>
      <c r="L22" s="190">
        <v>-15000</v>
      </c>
      <c r="M22" s="155"/>
      <c r="N22" s="197"/>
    </row>
    <row r="23" spans="1:15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9">
        <v>-76389</v>
      </c>
      <c r="L23" s="190">
        <v>-75000</v>
      </c>
      <c r="M23" s="157"/>
      <c r="N23" s="197"/>
    </row>
    <row r="24" spans="1:15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9">
        <v>-2500</v>
      </c>
      <c r="L24" s="190">
        <v>-4000</v>
      </c>
      <c r="M24" s="155"/>
      <c r="N24" s="197"/>
    </row>
    <row r="25" spans="1:15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9">
        <v>-23700</v>
      </c>
      <c r="L25" s="190">
        <v>-25000</v>
      </c>
      <c r="M25" s="157"/>
      <c r="N25" s="197"/>
    </row>
    <row r="26" spans="1:15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9">
        <v>-30550</v>
      </c>
      <c r="L26" s="190">
        <v>-30000</v>
      </c>
      <c r="M26" s="157"/>
      <c r="N26" s="197"/>
    </row>
    <row r="27" spans="1:15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9">
        <v>-14710</v>
      </c>
      <c r="L27" s="190">
        <v>-15000</v>
      </c>
      <c r="M27" s="155"/>
      <c r="N27" s="197"/>
    </row>
    <row r="28" spans="1:15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9">
        <v>-39400</v>
      </c>
      <c r="L28" s="190">
        <v>-20000</v>
      </c>
      <c r="M28" s="157"/>
      <c r="N28" s="197"/>
    </row>
    <row r="29" spans="1:15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9">
        <v>-10000</v>
      </c>
      <c r="L29" s="190">
        <v>-5000</v>
      </c>
      <c r="M29" s="157"/>
    </row>
    <row r="30" spans="1:15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9">
        <v>-3000</v>
      </c>
      <c r="L30" s="190">
        <v>-2000</v>
      </c>
      <c r="M30" s="157"/>
    </row>
    <row r="31" spans="1:15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9">
        <v>-90569</v>
      </c>
      <c r="L31" s="190">
        <v>-90000</v>
      </c>
      <c r="M31" s="155"/>
      <c r="N31" s="197"/>
    </row>
    <row r="32" spans="1:15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9">
        <v>0</v>
      </c>
      <c r="L32" s="190">
        <v>0</v>
      </c>
      <c r="M32" s="155"/>
      <c r="N32" s="197"/>
    </row>
    <row r="33" spans="1:15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9">
        <v>-11110</v>
      </c>
      <c r="L33" s="190">
        <v>-5000</v>
      </c>
      <c r="M33" s="155"/>
      <c r="N33" s="197"/>
    </row>
    <row r="34" spans="1:15" x14ac:dyDescent="0.3">
      <c r="A34" s="7" t="s">
        <v>47</v>
      </c>
      <c r="B34" s="39">
        <f>SUM(B18:B33)</f>
        <v>-218877</v>
      </c>
      <c r="C34" s="39">
        <f t="shared" ref="C34:H34" si="1">SUM(C18:C33)</f>
        <v>-258934</v>
      </c>
      <c r="D34" s="39">
        <f t="shared" si="1"/>
        <v>-187844</v>
      </c>
      <c r="E34" s="39">
        <f t="shared" si="1"/>
        <v>-247088.42</v>
      </c>
      <c r="F34" s="39">
        <f t="shared" si="1"/>
        <v>-325572.77</v>
      </c>
      <c r="G34" s="39">
        <f t="shared" si="1"/>
        <v>-457445</v>
      </c>
      <c r="H34" s="39">
        <f t="shared" si="1"/>
        <v>-467066</v>
      </c>
      <c r="I34" s="39">
        <f>SUM(I18:I33)</f>
        <v>-618159</v>
      </c>
      <c r="J34" s="39">
        <f>SUM(J18:J33)</f>
        <v>-584733</v>
      </c>
      <c r="K34" s="11">
        <f>SUM(K18:K33)</f>
        <v>-734998</v>
      </c>
      <c r="L34" s="191">
        <f>SUM(L18:L33)</f>
        <v>-606000</v>
      </c>
      <c r="M34" s="205"/>
      <c r="N34" s="206"/>
    </row>
    <row r="35" spans="1:15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113"/>
      <c r="L35" s="191"/>
      <c r="M35" s="158"/>
      <c r="N35" s="207"/>
    </row>
    <row r="36" spans="1:15" s="13" customFormat="1" x14ac:dyDescent="0.3">
      <c r="A36" s="7" t="s">
        <v>48</v>
      </c>
      <c r="B36" s="39">
        <f t="shared" ref="B36:K36" si="2">+B34+B15</f>
        <v>-24674</v>
      </c>
      <c r="C36" s="39">
        <f t="shared" si="2"/>
        <v>86791</v>
      </c>
      <c r="D36" s="39">
        <f t="shared" si="2"/>
        <v>32713</v>
      </c>
      <c r="E36" s="39">
        <f t="shared" si="2"/>
        <v>-5009.1400000000431</v>
      </c>
      <c r="F36" s="39">
        <f t="shared" si="2"/>
        <v>-25959.489999999991</v>
      </c>
      <c r="G36" s="39">
        <f t="shared" si="2"/>
        <v>-167525</v>
      </c>
      <c r="H36" s="39">
        <f t="shared" si="2"/>
        <v>13685</v>
      </c>
      <c r="I36" s="12">
        <f t="shared" si="2"/>
        <v>10177</v>
      </c>
      <c r="J36" s="12">
        <f t="shared" si="2"/>
        <v>36557</v>
      </c>
      <c r="K36" s="11">
        <f t="shared" si="2"/>
        <v>-84874</v>
      </c>
      <c r="L36" s="191">
        <f>L15+L34</f>
        <v>-26000</v>
      </c>
      <c r="M36" s="158"/>
      <c r="N36" s="207"/>
    </row>
    <row r="37" spans="1:15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1"/>
      <c r="L37" s="191"/>
      <c r="M37" s="158"/>
      <c r="N37" s="207"/>
    </row>
    <row r="38" spans="1:15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1">
        <v>0</v>
      </c>
      <c r="L38" s="191">
        <v>0</v>
      </c>
      <c r="M38" s="155"/>
      <c r="N38" s="206"/>
    </row>
    <row r="39" spans="1:15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1"/>
      <c r="L39" s="210"/>
      <c r="M39" s="205"/>
      <c r="N39" s="206"/>
    </row>
    <row r="40" spans="1:15" s="13" customFormat="1" ht="16.2" thickBot="1" x14ac:dyDescent="0.35">
      <c r="A40" s="7" t="s">
        <v>88</v>
      </c>
      <c r="B40" s="39">
        <f t="shared" ref="B40:K40" si="3">+B38+B36</f>
        <v>-34674</v>
      </c>
      <c r="C40" s="39">
        <f t="shared" si="3"/>
        <v>76791</v>
      </c>
      <c r="D40" s="39">
        <f t="shared" si="3"/>
        <v>22713</v>
      </c>
      <c r="E40" s="39">
        <f t="shared" si="3"/>
        <v>-15009.140000000043</v>
      </c>
      <c r="F40" s="39">
        <f t="shared" si="3"/>
        <v>-35959.489999999991</v>
      </c>
      <c r="G40" s="39">
        <f t="shared" si="3"/>
        <v>-181974</v>
      </c>
      <c r="H40" s="39">
        <f t="shared" si="3"/>
        <v>13685</v>
      </c>
      <c r="I40" s="12">
        <f t="shared" si="3"/>
        <v>10177</v>
      </c>
      <c r="J40" s="12">
        <f t="shared" si="3"/>
        <v>36557</v>
      </c>
      <c r="K40" s="154">
        <f t="shared" si="3"/>
        <v>-84874</v>
      </c>
      <c r="L40" s="192">
        <f>+L38+L36</f>
        <v>-26000</v>
      </c>
      <c r="M40" s="155"/>
      <c r="N40" s="208"/>
    </row>
    <row r="41" spans="1:15" s="13" customFormat="1" x14ac:dyDescent="0.3">
      <c r="A41" s="4"/>
      <c r="B41" s="4"/>
      <c r="C41" s="4"/>
      <c r="D41" s="4"/>
      <c r="E41" s="4"/>
      <c r="F41" s="4"/>
      <c r="G41" s="4"/>
      <c r="H41" s="4"/>
      <c r="L41" s="58"/>
      <c r="M41" s="196"/>
      <c r="N41" s="155"/>
    </row>
    <row r="47" spans="1:15" s="4" customFormat="1" x14ac:dyDescent="0.3">
      <c r="M47" s="196"/>
      <c r="N47" s="155"/>
      <c r="O47" s="1"/>
    </row>
    <row r="48" spans="1:15" s="4" customFormat="1" x14ac:dyDescent="0.3">
      <c r="M48" s="196"/>
      <c r="N48" s="155"/>
      <c r="O48" s="1"/>
    </row>
    <row r="49" spans="13:15" s="4" customFormat="1" x14ac:dyDescent="0.3">
      <c r="M49" s="196"/>
      <c r="N49" s="155"/>
      <c r="O49" s="1"/>
    </row>
    <row r="50" spans="13:15" s="4" customFormat="1" x14ac:dyDescent="0.3">
      <c r="M50" s="196"/>
      <c r="N50" s="155"/>
      <c r="O50" s="1"/>
    </row>
  </sheetData>
  <mergeCells count="1">
    <mergeCell ref="E1:G1"/>
  </mergeCells>
  <pageMargins left="0.7" right="0.7" top="0.75" bottom="0.75" header="0.3" footer="0.3"/>
  <pageSetup paperSize="9" scale="72" orientation="landscape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249977111117893"/>
    <pageSetUpPr fitToPage="1"/>
  </sheetPr>
  <dimension ref="A1:Q52"/>
  <sheetViews>
    <sheetView zoomScaleNormal="100" workbookViewId="0">
      <pane xSplit="1" ySplit="3" topLeftCell="F4" activePane="bottomRight" state="frozen"/>
      <selection pane="topRight" activeCell="B1" sqref="B1"/>
      <selection pane="bottomLeft" activeCell="A4" sqref="A4"/>
      <selection pane="bottomRight" activeCell="L1" sqref="L1:L1048576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1" width="16.44140625" style="1" customWidth="1"/>
    <col min="13" max="14" width="18.5546875" style="1" customWidth="1"/>
    <col min="15" max="15" width="27" style="196" customWidth="1"/>
    <col min="16" max="16" width="12" style="155" customWidth="1"/>
    <col min="17" max="16384" width="9.109375" style="1"/>
  </cols>
  <sheetData>
    <row r="1" spans="1:16" ht="31.8" thickBot="1" x14ac:dyDescent="0.65">
      <c r="A1" s="211" t="s">
        <v>486</v>
      </c>
      <c r="C1" s="224"/>
      <c r="D1" s="224"/>
      <c r="E1" s="295" t="s">
        <v>487</v>
      </c>
      <c r="F1" s="295"/>
      <c r="G1" s="295"/>
    </row>
    <row r="2" spans="1:16" ht="16.2" thickBot="1" x14ac:dyDescent="0.35"/>
    <row r="3" spans="1:16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227">
        <v>2017</v>
      </c>
      <c r="M3" s="253" t="s">
        <v>809</v>
      </c>
      <c r="N3" s="240" t="s">
        <v>2435</v>
      </c>
      <c r="O3" s="156"/>
      <c r="P3" s="156"/>
    </row>
    <row r="4" spans="1:16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110"/>
      <c r="M4" s="110">
        <v>43100</v>
      </c>
      <c r="N4" s="209"/>
      <c r="O4" s="156"/>
      <c r="P4" s="156"/>
    </row>
    <row r="5" spans="1:16" ht="16.2" thickBot="1" x14ac:dyDescent="0.35">
      <c r="A5" s="32" t="s">
        <v>19</v>
      </c>
      <c r="B5" s="10"/>
      <c r="C5" s="7"/>
      <c r="D5" s="7"/>
      <c r="I5" s="4"/>
      <c r="J5" s="4"/>
      <c r="K5" s="237"/>
      <c r="M5" s="111"/>
      <c r="N5" s="8"/>
      <c r="O5" s="155"/>
    </row>
    <row r="6" spans="1:16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9">
        <v>183801</v>
      </c>
      <c r="M6" s="249">
        <v>183801</v>
      </c>
      <c r="N6" s="190">
        <v>210000</v>
      </c>
      <c r="O6" s="217" t="s">
        <v>2451</v>
      </c>
    </row>
    <row r="7" spans="1:16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9">
        <v>131700</v>
      </c>
      <c r="M7" s="249">
        <v>131700</v>
      </c>
      <c r="N7" s="190">
        <v>110000</v>
      </c>
      <c r="O7" s="217" t="s">
        <v>2459</v>
      </c>
    </row>
    <row r="8" spans="1:16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9">
        <v>96525</v>
      </c>
      <c r="M8" s="249">
        <v>96525</v>
      </c>
      <c r="N8" s="190">
        <v>80000</v>
      </c>
      <c r="O8" s="155"/>
    </row>
    <row r="9" spans="1:16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9">
        <v>13700</v>
      </c>
      <c r="M9" s="249">
        <v>13700</v>
      </c>
      <c r="N9" s="190">
        <v>25000</v>
      </c>
      <c r="O9" s="217" t="s">
        <v>2442</v>
      </c>
    </row>
    <row r="10" spans="1:16" ht="42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9">
        <v>104297</v>
      </c>
      <c r="M10" s="249">
        <v>104297</v>
      </c>
      <c r="N10" s="190">
        <v>50000</v>
      </c>
      <c r="O10" s="217" t="s">
        <v>2452</v>
      </c>
    </row>
    <row r="11" spans="1:16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9">
        <v>85200</v>
      </c>
      <c r="M11" s="249">
        <v>85200</v>
      </c>
      <c r="N11" s="190">
        <v>90000</v>
      </c>
      <c r="O11" s="155"/>
    </row>
    <row r="12" spans="1:16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9">
        <v>5455</v>
      </c>
      <c r="M12" s="249">
        <v>5455</v>
      </c>
      <c r="N12" s="190">
        <v>0</v>
      </c>
      <c r="O12" s="155"/>
    </row>
    <row r="13" spans="1:16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9">
        <v>0</v>
      </c>
      <c r="M13" s="249">
        <v>0</v>
      </c>
      <c r="N13" s="190">
        <v>0</v>
      </c>
      <c r="O13" s="155"/>
    </row>
    <row r="14" spans="1:16" ht="21.6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9">
        <v>29446</v>
      </c>
      <c r="M14" s="249">
        <v>29446</v>
      </c>
      <c r="N14" s="190">
        <v>15000</v>
      </c>
      <c r="O14" s="217" t="s">
        <v>2453</v>
      </c>
    </row>
    <row r="15" spans="1:16" x14ac:dyDescent="0.3">
      <c r="A15" s="7" t="s">
        <v>29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 t="shared" si="0"/>
        <v>628336</v>
      </c>
      <c r="J15" s="39">
        <f t="shared" si="0"/>
        <v>621290</v>
      </c>
      <c r="K15" s="11">
        <f t="shared" si="0"/>
        <v>650124</v>
      </c>
      <c r="M15" s="250">
        <f t="shared" ref="M15" si="1">SUM(M6:M14)</f>
        <v>650124</v>
      </c>
      <c r="N15" s="191">
        <f>SUM(N6:N14)</f>
        <v>580000</v>
      </c>
      <c r="O15" s="155"/>
    </row>
    <row r="16" spans="1:16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K16" s="111"/>
      <c r="M16" s="249"/>
      <c r="N16" s="190"/>
      <c r="O16" s="155"/>
    </row>
    <row r="17" spans="1:17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K17" s="112"/>
      <c r="M17" s="249"/>
      <c r="N17" s="190"/>
      <c r="O17" s="159"/>
      <c r="P17" s="159"/>
    </row>
    <row r="18" spans="1:17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9">
        <v>-134562</v>
      </c>
      <c r="M18" s="249">
        <v>-134562</v>
      </c>
      <c r="N18" s="190">
        <v>-120000</v>
      </c>
      <c r="O18" s="155"/>
      <c r="P18" s="197"/>
      <c r="Q18" s="55"/>
    </row>
    <row r="19" spans="1:17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9">
        <v>-201761</v>
      </c>
      <c r="M19" s="249">
        <v>-201761</v>
      </c>
      <c r="N19" s="190">
        <v>-150000</v>
      </c>
      <c r="O19" s="157" t="s">
        <v>2454</v>
      </c>
      <c r="P19" s="197"/>
    </row>
    <row r="20" spans="1:17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9">
        <v>-17887</v>
      </c>
      <c r="M20" s="249">
        <v>-17887</v>
      </c>
      <c r="N20" s="190">
        <v>-10000</v>
      </c>
      <c r="O20" s="157" t="s">
        <v>2455</v>
      </c>
      <c r="P20" s="197"/>
    </row>
    <row r="21" spans="1:17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9">
        <v>-38345</v>
      </c>
      <c r="M21" s="249">
        <v>-38345</v>
      </c>
      <c r="N21" s="190">
        <v>-40000</v>
      </c>
      <c r="O21" s="155"/>
      <c r="P21" s="197"/>
    </row>
    <row r="22" spans="1:17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9">
        <v>-40515</v>
      </c>
      <c r="M22" s="249">
        <v>-40515</v>
      </c>
      <c r="N22" s="190">
        <v>-15000</v>
      </c>
      <c r="O22" s="157" t="s">
        <v>2449</v>
      </c>
      <c r="P22" s="197"/>
    </row>
    <row r="23" spans="1:17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9">
        <v>-76389</v>
      </c>
      <c r="M23" s="249">
        <v>-76389</v>
      </c>
      <c r="N23" s="190">
        <v>-75000</v>
      </c>
      <c r="O23" s="157" t="s">
        <v>2456</v>
      </c>
      <c r="P23" s="197"/>
    </row>
    <row r="24" spans="1:17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9">
        <v>-2500</v>
      </c>
      <c r="M24" s="249">
        <v>-2500</v>
      </c>
      <c r="N24" s="190">
        <v>-4000</v>
      </c>
      <c r="O24" s="155"/>
      <c r="P24" s="197"/>
    </row>
    <row r="25" spans="1:17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9">
        <v>-23700</v>
      </c>
      <c r="M25" s="249">
        <v>-23700</v>
      </c>
      <c r="N25" s="190">
        <v>-25000</v>
      </c>
      <c r="O25" s="157"/>
      <c r="P25" s="197"/>
    </row>
    <row r="26" spans="1:17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9">
        <v>-30550</v>
      </c>
      <c r="M26" s="249">
        <v>-30550</v>
      </c>
      <c r="N26" s="190">
        <v>-30000</v>
      </c>
      <c r="O26" s="157" t="s">
        <v>2450</v>
      </c>
      <c r="P26" s="197"/>
    </row>
    <row r="27" spans="1:17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9">
        <v>-14710</v>
      </c>
      <c r="M27" s="249">
        <v>-14710</v>
      </c>
      <c r="N27" s="190">
        <v>-15000</v>
      </c>
      <c r="O27" s="155"/>
      <c r="P27" s="197"/>
    </row>
    <row r="28" spans="1:17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9">
        <v>-39400</v>
      </c>
      <c r="M28" s="249">
        <v>-39400</v>
      </c>
      <c r="N28" s="190">
        <v>-20000</v>
      </c>
      <c r="O28" s="157" t="s">
        <v>2457</v>
      </c>
      <c r="P28" s="197"/>
    </row>
    <row r="29" spans="1:17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9">
        <v>-10000</v>
      </c>
      <c r="M29" s="249">
        <v>-10000</v>
      </c>
      <c r="N29" s="190">
        <v>-5000</v>
      </c>
      <c r="O29" s="157" t="s">
        <v>2458</v>
      </c>
    </row>
    <row r="30" spans="1:17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9">
        <v>-3000</v>
      </c>
      <c r="M30" s="249">
        <v>-3000</v>
      </c>
      <c r="N30" s="190">
        <v>-2000</v>
      </c>
      <c r="O30" s="157"/>
    </row>
    <row r="31" spans="1:17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9">
        <v>-90569</v>
      </c>
      <c r="M31" s="249">
        <v>-90569</v>
      </c>
      <c r="N31" s="190">
        <v>-90000</v>
      </c>
      <c r="O31" s="155"/>
      <c r="P31" s="197"/>
    </row>
    <row r="32" spans="1:17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9">
        <v>0</v>
      </c>
      <c r="M32" s="249">
        <v>0</v>
      </c>
      <c r="N32" s="190">
        <v>0</v>
      </c>
      <c r="O32" s="155"/>
      <c r="P32" s="197"/>
    </row>
    <row r="33" spans="1:17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9">
        <v>-11110</v>
      </c>
      <c r="M33" s="249">
        <v>-11110</v>
      </c>
      <c r="N33" s="190">
        <v>-5000</v>
      </c>
      <c r="O33" s="155"/>
      <c r="P33" s="197"/>
    </row>
    <row r="34" spans="1:17" x14ac:dyDescent="0.3">
      <c r="A34" s="7" t="s">
        <v>47</v>
      </c>
      <c r="B34" s="39">
        <f t="shared" ref="B34:K34" si="2">SUM(B18:B33)</f>
        <v>-218877</v>
      </c>
      <c r="C34" s="39">
        <f t="shared" si="2"/>
        <v>-258934</v>
      </c>
      <c r="D34" s="39">
        <f t="shared" si="2"/>
        <v>-187844</v>
      </c>
      <c r="E34" s="39">
        <f t="shared" si="2"/>
        <v>-247088.42</v>
      </c>
      <c r="F34" s="39">
        <f t="shared" si="2"/>
        <v>-325572.77</v>
      </c>
      <c r="G34" s="39">
        <f t="shared" si="2"/>
        <v>-457445</v>
      </c>
      <c r="H34" s="39">
        <f t="shared" si="2"/>
        <v>-467066</v>
      </c>
      <c r="I34" s="39">
        <f t="shared" si="2"/>
        <v>-618159</v>
      </c>
      <c r="J34" s="39">
        <f t="shared" si="2"/>
        <v>-584733</v>
      </c>
      <c r="K34" s="11">
        <f t="shared" si="2"/>
        <v>-734998</v>
      </c>
      <c r="M34" s="250">
        <f>SUM(M18:M33)</f>
        <v>-734998</v>
      </c>
      <c r="N34" s="191">
        <f>SUM(N18:N33)</f>
        <v>-606000</v>
      </c>
      <c r="O34" s="205"/>
      <c r="P34" s="206"/>
    </row>
    <row r="35" spans="1:17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113"/>
      <c r="M35" s="250"/>
      <c r="N35" s="191"/>
      <c r="O35" s="158"/>
      <c r="P35" s="207"/>
    </row>
    <row r="36" spans="1:17" s="13" customFormat="1" ht="38.25" customHeight="1" x14ac:dyDescent="0.3">
      <c r="A36" s="7" t="s">
        <v>48</v>
      </c>
      <c r="B36" s="39">
        <f t="shared" ref="B36:K36" si="3">+B34+B15</f>
        <v>-24674</v>
      </c>
      <c r="C36" s="39">
        <f t="shared" si="3"/>
        <v>86791</v>
      </c>
      <c r="D36" s="39">
        <f t="shared" si="3"/>
        <v>32713</v>
      </c>
      <c r="E36" s="39">
        <f t="shared" si="3"/>
        <v>-5009.1400000000431</v>
      </c>
      <c r="F36" s="39">
        <f t="shared" si="3"/>
        <v>-25959.489999999991</v>
      </c>
      <c r="G36" s="39">
        <f t="shared" si="3"/>
        <v>-167525</v>
      </c>
      <c r="H36" s="39">
        <f t="shared" si="3"/>
        <v>13685</v>
      </c>
      <c r="I36" s="12">
        <f t="shared" si="3"/>
        <v>10177</v>
      </c>
      <c r="J36" s="12">
        <f t="shared" si="3"/>
        <v>36557</v>
      </c>
      <c r="K36" s="11">
        <f t="shared" si="3"/>
        <v>-84874</v>
      </c>
      <c r="M36" s="250">
        <f>M15+M34</f>
        <v>-84874</v>
      </c>
      <c r="N36" s="191">
        <f>N15+N34</f>
        <v>-26000</v>
      </c>
      <c r="O36" s="158"/>
      <c r="P36" s="207"/>
    </row>
    <row r="37" spans="1:17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1"/>
      <c r="M37" s="250"/>
      <c r="N37" s="191"/>
      <c r="O37" s="158"/>
      <c r="P37" s="207"/>
    </row>
    <row r="38" spans="1:17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1">
        <v>0</v>
      </c>
      <c r="M38" s="250">
        <v>0</v>
      </c>
      <c r="N38" s="191">
        <v>0</v>
      </c>
      <c r="O38" s="155"/>
      <c r="P38" s="206"/>
    </row>
    <row r="39" spans="1:17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1"/>
      <c r="M39" s="251"/>
      <c r="N39" s="210"/>
      <c r="O39" s="205"/>
      <c r="P39" s="206"/>
    </row>
    <row r="40" spans="1:17" s="13" customFormat="1" ht="16.2" thickBot="1" x14ac:dyDescent="0.35">
      <c r="A40" s="7" t="s">
        <v>88</v>
      </c>
      <c r="B40" s="39">
        <f t="shared" ref="B40:K40" si="4">+B38+B36</f>
        <v>-34674</v>
      </c>
      <c r="C40" s="39">
        <f t="shared" si="4"/>
        <v>76791</v>
      </c>
      <c r="D40" s="39">
        <f t="shared" si="4"/>
        <v>22713</v>
      </c>
      <c r="E40" s="39">
        <f t="shared" si="4"/>
        <v>-15009.140000000043</v>
      </c>
      <c r="F40" s="39">
        <f t="shared" si="4"/>
        <v>-35959.489999999991</v>
      </c>
      <c r="G40" s="39">
        <f t="shared" si="4"/>
        <v>-181974</v>
      </c>
      <c r="H40" s="39">
        <f t="shared" si="4"/>
        <v>13685</v>
      </c>
      <c r="I40" s="12">
        <f t="shared" si="4"/>
        <v>10177</v>
      </c>
      <c r="J40" s="12">
        <f t="shared" si="4"/>
        <v>36557</v>
      </c>
      <c r="K40" s="154">
        <f t="shared" si="4"/>
        <v>-84874</v>
      </c>
      <c r="M40" s="252">
        <f>+M38+M36</f>
        <v>-84874</v>
      </c>
      <c r="N40" s="192">
        <f>+N38+N36</f>
        <v>-26000</v>
      </c>
      <c r="O40" s="155"/>
      <c r="P40" s="208"/>
    </row>
    <row r="41" spans="1:17" s="13" customFormat="1" x14ac:dyDescent="0.3">
      <c r="A41" s="4"/>
      <c r="B41" s="4"/>
      <c r="C41" s="4"/>
      <c r="D41" s="4"/>
      <c r="E41" s="4"/>
      <c r="F41" s="4"/>
      <c r="G41" s="4"/>
      <c r="H41" s="4"/>
      <c r="M41" s="58"/>
      <c r="N41" s="58"/>
      <c r="O41" s="196"/>
      <c r="P41" s="155"/>
    </row>
    <row r="43" spans="1:17" x14ac:dyDescent="0.3">
      <c r="M43" s="99"/>
    </row>
    <row r="44" spans="1:17" x14ac:dyDescent="0.3">
      <c r="M44" s="222"/>
    </row>
    <row r="45" spans="1:17" x14ac:dyDescent="0.3">
      <c r="M45" s="207"/>
    </row>
    <row r="46" spans="1:17" x14ac:dyDescent="0.3">
      <c r="M46" s="222"/>
    </row>
    <row r="47" spans="1:17" s="4" customFormat="1" x14ac:dyDescent="0.3">
      <c r="M47" s="99"/>
      <c r="O47" s="196"/>
      <c r="P47" s="155"/>
      <c r="Q47" s="1"/>
    </row>
    <row r="48" spans="1:17" s="4" customFormat="1" x14ac:dyDescent="0.3">
      <c r="M48" s="99"/>
      <c r="O48" s="196"/>
      <c r="P48" s="155"/>
      <c r="Q48" s="1"/>
    </row>
    <row r="49" spans="13:17" s="4" customFormat="1" x14ac:dyDescent="0.3">
      <c r="M49" s="99"/>
      <c r="O49" s="196"/>
      <c r="P49" s="155"/>
      <c r="Q49" s="1"/>
    </row>
    <row r="50" spans="13:17" s="4" customFormat="1" x14ac:dyDescent="0.3">
      <c r="M50" s="99"/>
      <c r="O50" s="196"/>
      <c r="P50" s="155"/>
      <c r="Q50" s="1"/>
    </row>
    <row r="51" spans="13:17" x14ac:dyDescent="0.3">
      <c r="M51" s="99"/>
    </row>
    <row r="52" spans="13:17" x14ac:dyDescent="0.3">
      <c r="M52" s="223"/>
    </row>
  </sheetData>
  <mergeCells count="1">
    <mergeCell ref="E1:G1"/>
  </mergeCells>
  <pageMargins left="0.7" right="0.7" top="0.75" bottom="0.75" header="0.3" footer="0.3"/>
  <pageSetup paperSize="9" scale="60" orientation="landscape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249977111117893"/>
    <pageSetUpPr fitToPage="1"/>
  </sheetPr>
  <dimension ref="A1:P52"/>
  <sheetViews>
    <sheetView zoomScaleNormal="100" workbookViewId="0">
      <pane xSplit="1" ySplit="3" topLeftCell="F4" activePane="bottomRight" state="frozen"/>
      <selection pane="topRight" activeCell="B1" sqref="B1"/>
      <selection pane="bottomLeft" activeCell="A4" sqref="A4"/>
      <selection pane="bottomRight" activeCell="L6" sqref="L6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1" width="16.44140625" style="1" customWidth="1"/>
    <col min="12" max="13" width="18.5546875" style="1" customWidth="1"/>
    <col min="14" max="14" width="27" style="196" customWidth="1"/>
    <col min="15" max="15" width="12" style="155" customWidth="1"/>
    <col min="16" max="16384" width="9.109375" style="1"/>
  </cols>
  <sheetData>
    <row r="1" spans="1:15" ht="31.8" thickBot="1" x14ac:dyDescent="0.65">
      <c r="A1" s="211" t="s">
        <v>486</v>
      </c>
      <c r="C1" s="224"/>
      <c r="D1" s="224"/>
      <c r="E1" s="295" t="s">
        <v>487</v>
      </c>
      <c r="F1" s="295"/>
      <c r="G1" s="295"/>
    </row>
    <row r="2" spans="1:15" ht="16.2" thickBot="1" x14ac:dyDescent="0.35"/>
    <row r="3" spans="1:15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227">
        <v>2017</v>
      </c>
      <c r="L3" s="253" t="s">
        <v>809</v>
      </c>
      <c r="M3" s="240" t="s">
        <v>2435</v>
      </c>
      <c r="N3" s="156"/>
      <c r="O3" s="156"/>
    </row>
    <row r="4" spans="1:15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110">
        <v>43017</v>
      </c>
      <c r="L4" s="110">
        <v>43100</v>
      </c>
      <c r="M4" s="209"/>
      <c r="N4" s="156"/>
      <c r="O4" s="156"/>
    </row>
    <row r="5" spans="1:15" ht="16.2" thickBot="1" x14ac:dyDescent="0.35">
      <c r="A5" s="32" t="s">
        <v>19</v>
      </c>
      <c r="B5" s="10"/>
      <c r="C5" s="7"/>
      <c r="D5" s="7"/>
      <c r="I5" s="4"/>
      <c r="J5" s="4"/>
      <c r="K5" s="237"/>
      <c r="L5" s="111"/>
      <c r="M5" s="8"/>
      <c r="N5" s="155"/>
    </row>
    <row r="6" spans="1:15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9">
        <v>145228</v>
      </c>
      <c r="L6" s="249">
        <v>185000</v>
      </c>
      <c r="M6" s="190">
        <v>210000</v>
      </c>
      <c r="N6" s="217" t="s">
        <v>2436</v>
      </c>
    </row>
    <row r="7" spans="1:15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9">
        <v>131700</v>
      </c>
      <c r="L7" s="249">
        <v>131700</v>
      </c>
      <c r="M7" s="190">
        <v>110000</v>
      </c>
      <c r="N7" s="236" t="s">
        <v>2447</v>
      </c>
    </row>
    <row r="8" spans="1:15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9">
        <v>81890</v>
      </c>
      <c r="L8" s="249">
        <v>95000</v>
      </c>
      <c r="M8" s="190">
        <v>80000</v>
      </c>
      <c r="N8" s="155"/>
    </row>
    <row r="9" spans="1:15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9">
        <v>13700</v>
      </c>
      <c r="L9" s="249">
        <v>15000</v>
      </c>
      <c r="M9" s="190">
        <v>25000</v>
      </c>
      <c r="N9" s="217" t="s">
        <v>2442</v>
      </c>
    </row>
    <row r="10" spans="1:15" ht="42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9">
        <v>103297</v>
      </c>
      <c r="L10" s="249">
        <v>105000</v>
      </c>
      <c r="M10" s="190">
        <v>50000</v>
      </c>
      <c r="N10" s="217" t="s">
        <v>2448</v>
      </c>
    </row>
    <row r="11" spans="1:15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9">
        <v>85200</v>
      </c>
      <c r="L11" s="249">
        <v>85200</v>
      </c>
      <c r="M11" s="190">
        <v>90000</v>
      </c>
      <c r="N11" s="155"/>
    </row>
    <row r="12" spans="1:15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9">
        <v>5455</v>
      </c>
      <c r="L12" s="249">
        <v>5455</v>
      </c>
      <c r="M12" s="190">
        <v>0</v>
      </c>
      <c r="N12" s="155"/>
    </row>
    <row r="13" spans="1:15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9">
        <v>0</v>
      </c>
      <c r="L13" s="249">
        <v>0</v>
      </c>
      <c r="M13" s="190">
        <v>0</v>
      </c>
      <c r="N13" s="155"/>
    </row>
    <row r="14" spans="1:15" ht="21.6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9">
        <v>12607</v>
      </c>
      <c r="L14" s="249">
        <v>15000</v>
      </c>
      <c r="M14" s="190">
        <v>15000</v>
      </c>
      <c r="N14" s="217" t="s">
        <v>2444</v>
      </c>
    </row>
    <row r="15" spans="1:15" x14ac:dyDescent="0.3">
      <c r="A15" s="7" t="s">
        <v>29</v>
      </c>
      <c r="B15" s="39">
        <f t="shared" ref="B15:M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1">
        <f t="shared" si="0"/>
        <v>579077</v>
      </c>
      <c r="L15" s="250">
        <f t="shared" ref="L15" si="2">SUM(L6:L14)</f>
        <v>637355</v>
      </c>
      <c r="M15" s="191">
        <f t="shared" si="0"/>
        <v>580000</v>
      </c>
      <c r="N15" s="155"/>
    </row>
    <row r="16" spans="1:15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K16" s="111"/>
      <c r="L16" s="249"/>
      <c r="M16" s="190"/>
      <c r="N16" s="155"/>
    </row>
    <row r="17" spans="1:16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K17" s="112"/>
      <c r="L17" s="249"/>
      <c r="M17" s="190"/>
      <c r="N17" s="159"/>
      <c r="O17" s="159"/>
    </row>
    <row r="18" spans="1:16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9">
        <v>-134562</v>
      </c>
      <c r="L18" s="249">
        <v>-134562</v>
      </c>
      <c r="M18" s="190">
        <v>-120000</v>
      </c>
      <c r="N18" s="155"/>
      <c r="O18" s="197"/>
      <c r="P18" s="55"/>
    </row>
    <row r="19" spans="1:16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9">
        <v>-206809</v>
      </c>
      <c r="L19" s="249">
        <v>-210000</v>
      </c>
      <c r="M19" s="190">
        <v>-150000</v>
      </c>
      <c r="N19" s="157" t="s">
        <v>2439</v>
      </c>
      <c r="O19" s="197"/>
    </row>
    <row r="20" spans="1:16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9">
        <v>-17887</v>
      </c>
      <c r="L20" s="249">
        <v>-18000</v>
      </c>
      <c r="M20" s="190">
        <v>-10000</v>
      </c>
      <c r="N20" s="157" t="s">
        <v>1603</v>
      </c>
      <c r="O20" s="197"/>
    </row>
    <row r="21" spans="1:16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9">
        <v>-14080</v>
      </c>
      <c r="L21" s="249">
        <v>-20000</v>
      </c>
      <c r="M21" s="190">
        <v>-40000</v>
      </c>
      <c r="N21" s="155"/>
      <c r="O21" s="197"/>
    </row>
    <row r="22" spans="1:16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9">
        <v>-39415</v>
      </c>
      <c r="L22" s="249">
        <v>-40000</v>
      </c>
      <c r="M22" s="190">
        <v>-15000</v>
      </c>
      <c r="N22" s="157" t="s">
        <v>2449</v>
      </c>
      <c r="O22" s="197"/>
    </row>
    <row r="23" spans="1:16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9">
        <v>-53138</v>
      </c>
      <c r="L23" s="249">
        <v>-75000</v>
      </c>
      <c r="M23" s="190">
        <v>-75000</v>
      </c>
      <c r="N23" s="157" t="s">
        <v>1352</v>
      </c>
      <c r="O23" s="197"/>
    </row>
    <row r="24" spans="1:16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9">
        <v>-2500</v>
      </c>
      <c r="L24" s="249">
        <v>-2500</v>
      </c>
      <c r="M24" s="190">
        <v>-4000</v>
      </c>
      <c r="N24" s="155"/>
      <c r="O24" s="197"/>
    </row>
    <row r="25" spans="1:1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9">
        <v>-19550</v>
      </c>
      <c r="L25" s="249">
        <v>-25000</v>
      </c>
      <c r="M25" s="190">
        <v>-25000</v>
      </c>
      <c r="N25" s="157"/>
      <c r="O25" s="197"/>
    </row>
    <row r="26" spans="1:16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9">
        <v>-21500</v>
      </c>
      <c r="L26" s="249">
        <v>-28000</v>
      </c>
      <c r="M26" s="190">
        <v>-30000</v>
      </c>
      <c r="N26" s="157" t="s">
        <v>2440</v>
      </c>
      <c r="O26" s="197"/>
    </row>
    <row r="27" spans="1:16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9">
        <v>-7200</v>
      </c>
      <c r="L27" s="249">
        <v>-15000</v>
      </c>
      <c r="M27" s="190">
        <v>-15000</v>
      </c>
      <c r="N27" s="155"/>
      <c r="O27" s="197"/>
    </row>
    <row r="28" spans="1:16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9">
        <v>-19400</v>
      </c>
      <c r="L28" s="249">
        <v>-40000</v>
      </c>
      <c r="M28" s="190">
        <v>-20000</v>
      </c>
      <c r="N28" s="157" t="s">
        <v>2445</v>
      </c>
      <c r="O28" s="197"/>
    </row>
    <row r="29" spans="1:16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9">
        <v>-5000</v>
      </c>
      <c r="L29" s="249">
        <v>-5000</v>
      </c>
      <c r="M29" s="190">
        <v>-5000</v>
      </c>
      <c r="N29" s="157" t="s">
        <v>2445</v>
      </c>
    </row>
    <row r="30" spans="1:16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9">
        <v>-3000</v>
      </c>
      <c r="L30" s="249">
        <v>-3000</v>
      </c>
      <c r="M30" s="190">
        <v>-2000</v>
      </c>
      <c r="N30" s="157"/>
    </row>
    <row r="31" spans="1:16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9">
        <v>-51400</v>
      </c>
      <c r="L31" s="249">
        <v>-85000</v>
      </c>
      <c r="M31" s="190">
        <v>-90000</v>
      </c>
      <c r="N31" s="155"/>
      <c r="O31" s="197"/>
    </row>
    <row r="32" spans="1:16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9">
        <v>0</v>
      </c>
      <c r="L32" s="249">
        <v>0</v>
      </c>
      <c r="M32" s="190">
        <v>0</v>
      </c>
      <c r="N32" s="155"/>
      <c r="O32" s="197"/>
    </row>
    <row r="33" spans="1:16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9">
        <v>-11110</v>
      </c>
      <c r="L33" s="249">
        <v>-15000</v>
      </c>
      <c r="M33" s="190">
        <v>-5000</v>
      </c>
      <c r="N33" s="155"/>
      <c r="O33" s="197"/>
    </row>
    <row r="34" spans="1:16" x14ac:dyDescent="0.3">
      <c r="A34" s="7" t="s">
        <v>47</v>
      </c>
      <c r="B34" s="39">
        <f>SUM(B18:B33)</f>
        <v>-218877</v>
      </c>
      <c r="C34" s="39">
        <f t="shared" ref="C34:H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>SUM(I18:I33)</f>
        <v>-618159</v>
      </c>
      <c r="J34" s="39">
        <f>SUM(J18:J33)</f>
        <v>-584733</v>
      </c>
      <c r="K34" s="11">
        <f>SUM(K18:K33)</f>
        <v>-606551</v>
      </c>
      <c r="L34" s="250">
        <f>SUM(L18:L33)</f>
        <v>-716062</v>
      </c>
      <c r="M34" s="191">
        <f>SUM(M18:M33)</f>
        <v>-606000</v>
      </c>
      <c r="N34" s="205"/>
      <c r="O34" s="206"/>
    </row>
    <row r="35" spans="1:16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113"/>
      <c r="L35" s="250"/>
      <c r="M35" s="191"/>
      <c r="N35" s="158"/>
      <c r="O35" s="207"/>
    </row>
    <row r="36" spans="1:16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1">
        <f t="shared" si="4"/>
        <v>-27474</v>
      </c>
      <c r="L36" s="250">
        <f>L15+L34</f>
        <v>-78707</v>
      </c>
      <c r="M36" s="191">
        <f>M15+M34</f>
        <v>-26000</v>
      </c>
      <c r="N36" s="158"/>
      <c r="O36" s="207"/>
    </row>
    <row r="37" spans="1:16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1"/>
      <c r="L37" s="250"/>
      <c r="M37" s="191"/>
      <c r="N37" s="158"/>
      <c r="O37" s="207"/>
    </row>
    <row r="38" spans="1:16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1">
        <v>0</v>
      </c>
      <c r="L38" s="250">
        <v>0</v>
      </c>
      <c r="M38" s="191">
        <v>0</v>
      </c>
      <c r="N38" s="155"/>
      <c r="O38" s="206"/>
    </row>
    <row r="39" spans="1:16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1"/>
      <c r="L39" s="251"/>
      <c r="M39" s="210"/>
      <c r="N39" s="205"/>
      <c r="O39" s="206"/>
    </row>
    <row r="40" spans="1:16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54">
        <f t="shared" si="5"/>
        <v>-27474</v>
      </c>
      <c r="L40" s="252">
        <f>+L38+L36</f>
        <v>-78707</v>
      </c>
      <c r="M40" s="192">
        <f>+M38+M36</f>
        <v>-26000</v>
      </c>
      <c r="N40" s="155"/>
      <c r="O40" s="208"/>
    </row>
    <row r="41" spans="1:16" s="13" customFormat="1" x14ac:dyDescent="0.3">
      <c r="A41" s="4"/>
      <c r="B41" s="4"/>
      <c r="C41" s="4"/>
      <c r="D41" s="4"/>
      <c r="E41" s="4"/>
      <c r="F41" s="4"/>
      <c r="G41" s="4"/>
      <c r="H41" s="4"/>
      <c r="L41" s="58"/>
      <c r="M41" s="58"/>
      <c r="N41" s="196"/>
      <c r="O41" s="155"/>
    </row>
    <row r="43" spans="1:16" x14ac:dyDescent="0.3">
      <c r="L43" s="99"/>
    </row>
    <row r="44" spans="1:16" x14ac:dyDescent="0.3">
      <c r="L44" s="222"/>
    </row>
    <row r="45" spans="1:16" x14ac:dyDescent="0.3">
      <c r="L45" s="207"/>
    </row>
    <row r="46" spans="1:16" x14ac:dyDescent="0.3">
      <c r="L46" s="222"/>
    </row>
    <row r="47" spans="1:16" s="4" customFormat="1" x14ac:dyDescent="0.3">
      <c r="L47" s="99"/>
      <c r="N47" s="196"/>
      <c r="O47" s="155"/>
      <c r="P47" s="1"/>
    </row>
    <row r="48" spans="1:16" s="4" customFormat="1" x14ac:dyDescent="0.3">
      <c r="L48" s="99"/>
      <c r="N48" s="196"/>
      <c r="O48" s="155"/>
      <c r="P48" s="1"/>
    </row>
    <row r="49" spans="12:16" s="4" customFormat="1" x14ac:dyDescent="0.3">
      <c r="L49" s="99"/>
      <c r="N49" s="196"/>
      <c r="O49" s="155"/>
      <c r="P49" s="1"/>
    </row>
    <row r="50" spans="12:16" s="4" customFormat="1" x14ac:dyDescent="0.3">
      <c r="L50" s="99"/>
      <c r="N50" s="196"/>
      <c r="O50" s="155"/>
      <c r="P50" s="1"/>
    </row>
    <row r="51" spans="12:16" x14ac:dyDescent="0.3">
      <c r="L51" s="99"/>
    </row>
    <row r="52" spans="12:16" x14ac:dyDescent="0.3">
      <c r="L52" s="223"/>
    </row>
  </sheetData>
  <mergeCells count="1">
    <mergeCell ref="E1:G1"/>
  </mergeCells>
  <pageMargins left="0.7" right="0.7" top="0.75" bottom="0.75" header="0.3" footer="0.3"/>
  <pageSetup paperSize="9" scale="60" orientation="landscape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-0.249977111117893"/>
    <pageSetUpPr fitToPage="1"/>
  </sheetPr>
  <dimension ref="A1:P52"/>
  <sheetViews>
    <sheetView zoomScaleNormal="100" workbookViewId="0">
      <pane xSplit="1" ySplit="3" topLeftCell="F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1" width="16.44140625" style="1" customWidth="1"/>
    <col min="12" max="13" width="18.5546875" style="1" customWidth="1"/>
    <col min="14" max="14" width="27" style="196" customWidth="1"/>
    <col min="15" max="15" width="12" style="155" customWidth="1"/>
    <col min="16" max="16384" width="9.109375" style="1"/>
  </cols>
  <sheetData>
    <row r="1" spans="1:15" ht="31.8" thickBot="1" x14ac:dyDescent="0.65">
      <c r="A1" s="211" t="s">
        <v>486</v>
      </c>
      <c r="C1" s="224"/>
      <c r="D1" s="224"/>
      <c r="E1" s="295" t="s">
        <v>487</v>
      </c>
      <c r="F1" s="295"/>
      <c r="G1" s="295"/>
    </row>
    <row r="2" spans="1:15" ht="16.2" thickBot="1" x14ac:dyDescent="0.35"/>
    <row r="3" spans="1:15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227">
        <v>2017</v>
      </c>
      <c r="L3" s="253" t="s">
        <v>809</v>
      </c>
      <c r="M3" s="240" t="s">
        <v>2435</v>
      </c>
      <c r="N3" s="156"/>
      <c r="O3" s="156"/>
    </row>
    <row r="4" spans="1:15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110">
        <v>42983</v>
      </c>
      <c r="L4" s="110">
        <v>43100</v>
      </c>
      <c r="M4" s="209"/>
      <c r="N4" s="156"/>
      <c r="O4" s="156"/>
    </row>
    <row r="5" spans="1:15" ht="16.2" thickBot="1" x14ac:dyDescent="0.35">
      <c r="A5" s="32" t="s">
        <v>19</v>
      </c>
      <c r="B5" s="10"/>
      <c r="C5" s="7"/>
      <c r="D5" s="7"/>
      <c r="I5" s="4"/>
      <c r="J5" s="4"/>
      <c r="K5" s="237"/>
      <c r="L5" s="111"/>
      <c r="M5" s="8"/>
      <c r="N5" s="155"/>
    </row>
    <row r="6" spans="1:15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9">
        <v>145228</v>
      </c>
      <c r="L6" s="249">
        <v>170000</v>
      </c>
      <c r="M6" s="190">
        <v>210000</v>
      </c>
      <c r="N6" s="217" t="s">
        <v>2436</v>
      </c>
    </row>
    <row r="7" spans="1:15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9">
        <v>131500</v>
      </c>
      <c r="L7" s="249">
        <v>131500</v>
      </c>
      <c r="M7" s="190">
        <v>110000</v>
      </c>
      <c r="N7" s="236" t="s">
        <v>2447</v>
      </c>
    </row>
    <row r="8" spans="1:15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9">
        <v>60454</v>
      </c>
      <c r="L8" s="249">
        <v>80000</v>
      </c>
      <c r="M8" s="190">
        <v>80000</v>
      </c>
      <c r="N8" s="155"/>
    </row>
    <row r="9" spans="1:15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9">
        <v>13700</v>
      </c>
      <c r="L9" s="249">
        <v>20000</v>
      </c>
      <c r="M9" s="190">
        <v>25000</v>
      </c>
      <c r="N9" s="217" t="s">
        <v>2442</v>
      </c>
    </row>
    <row r="10" spans="1:15" ht="42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9">
        <v>103297</v>
      </c>
      <c r="L10" s="249">
        <v>105000</v>
      </c>
      <c r="M10" s="190">
        <v>50000</v>
      </c>
      <c r="N10" s="217" t="s">
        <v>2448</v>
      </c>
    </row>
    <row r="11" spans="1:15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9">
        <v>85200</v>
      </c>
      <c r="L11" s="249">
        <v>85200</v>
      </c>
      <c r="M11" s="190">
        <v>90000</v>
      </c>
      <c r="N11" s="155"/>
    </row>
    <row r="12" spans="1:15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9">
        <v>5455</v>
      </c>
      <c r="L12" s="249">
        <v>5455</v>
      </c>
      <c r="M12" s="190">
        <v>0</v>
      </c>
      <c r="N12" s="155"/>
    </row>
    <row r="13" spans="1:15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9">
        <v>0</v>
      </c>
      <c r="L13" s="249">
        <v>0</v>
      </c>
      <c r="M13" s="190">
        <v>0</v>
      </c>
      <c r="N13" s="155"/>
    </row>
    <row r="14" spans="1:15" ht="21.6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9">
        <v>12607</v>
      </c>
      <c r="L14" s="249">
        <v>20000</v>
      </c>
      <c r="M14" s="190">
        <v>15000</v>
      </c>
      <c r="N14" s="217" t="s">
        <v>2444</v>
      </c>
    </row>
    <row r="15" spans="1:15" x14ac:dyDescent="0.3">
      <c r="A15" s="7" t="s">
        <v>29</v>
      </c>
      <c r="B15" s="39">
        <f t="shared" ref="B15:M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1">
        <f t="shared" si="0"/>
        <v>557441</v>
      </c>
      <c r="L15" s="250">
        <f t="shared" ref="L15" si="2">SUM(L6:L14)</f>
        <v>617155</v>
      </c>
      <c r="M15" s="191">
        <f t="shared" si="0"/>
        <v>580000</v>
      </c>
      <c r="N15" s="155"/>
    </row>
    <row r="16" spans="1:15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K16" s="111"/>
      <c r="L16" s="249"/>
      <c r="M16" s="190"/>
      <c r="N16" s="155"/>
    </row>
    <row r="17" spans="1:16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K17" s="112"/>
      <c r="L17" s="249"/>
      <c r="M17" s="190"/>
      <c r="N17" s="159"/>
      <c r="O17" s="159"/>
    </row>
    <row r="18" spans="1:16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9">
        <v>-67244</v>
      </c>
      <c r="L18" s="249">
        <v>-100000</v>
      </c>
      <c r="M18" s="190">
        <v>-120000</v>
      </c>
      <c r="N18" s="155"/>
      <c r="O18" s="197"/>
      <c r="P18" s="55"/>
    </row>
    <row r="19" spans="1:16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9">
        <v>-199669</v>
      </c>
      <c r="L19" s="249">
        <v>-210000</v>
      </c>
      <c r="M19" s="190">
        <v>-150000</v>
      </c>
      <c r="N19" s="157" t="s">
        <v>2439</v>
      </c>
      <c r="O19" s="197"/>
    </row>
    <row r="20" spans="1:16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9">
        <v>-17887</v>
      </c>
      <c r="L20" s="249">
        <v>-23000</v>
      </c>
      <c r="M20" s="190">
        <v>-10000</v>
      </c>
      <c r="N20" s="157" t="s">
        <v>1603</v>
      </c>
      <c r="O20" s="197"/>
    </row>
    <row r="21" spans="1:16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9">
        <v>-14080</v>
      </c>
      <c r="L21" s="249">
        <v>-20000</v>
      </c>
      <c r="M21" s="190">
        <v>-40000</v>
      </c>
      <c r="N21" s="155"/>
      <c r="O21" s="197"/>
    </row>
    <row r="22" spans="1:16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9">
        <v>-39415</v>
      </c>
      <c r="L22" s="249">
        <v>-40000</v>
      </c>
      <c r="M22" s="190">
        <v>-15000</v>
      </c>
      <c r="N22" s="157" t="s">
        <v>2449</v>
      </c>
      <c r="O22" s="197"/>
    </row>
    <row r="23" spans="1:16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9">
        <v>-42173</v>
      </c>
      <c r="L23" s="249">
        <v>-75000</v>
      </c>
      <c r="M23" s="190">
        <v>-75000</v>
      </c>
      <c r="N23" s="157" t="s">
        <v>1352</v>
      </c>
      <c r="O23" s="197"/>
    </row>
    <row r="24" spans="1:16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9">
        <v>0</v>
      </c>
      <c r="L24" s="249">
        <v>-3000</v>
      </c>
      <c r="M24" s="190">
        <v>-4000</v>
      </c>
      <c r="N24" s="155"/>
      <c r="O24" s="197"/>
    </row>
    <row r="25" spans="1:1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9">
        <v>-19550</v>
      </c>
      <c r="L25" s="249">
        <v>-25000</v>
      </c>
      <c r="M25" s="190">
        <v>-25000</v>
      </c>
      <c r="N25" s="157"/>
      <c r="O25" s="197"/>
    </row>
    <row r="26" spans="1:16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9">
        <v>-21500</v>
      </c>
      <c r="L26" s="249">
        <v>-30000</v>
      </c>
      <c r="M26" s="190">
        <v>-30000</v>
      </c>
      <c r="N26" s="157" t="s">
        <v>2440</v>
      </c>
      <c r="O26" s="197"/>
    </row>
    <row r="27" spans="1:16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9">
        <v>-7200</v>
      </c>
      <c r="L27" s="249">
        <v>-15000</v>
      </c>
      <c r="M27" s="190">
        <v>-15000</v>
      </c>
      <c r="N27" s="155"/>
      <c r="O27" s="197"/>
    </row>
    <row r="28" spans="1:16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9">
        <v>-19400</v>
      </c>
      <c r="L28" s="249">
        <v>-40000</v>
      </c>
      <c r="M28" s="190">
        <v>-20000</v>
      </c>
      <c r="N28" s="157" t="s">
        <v>2445</v>
      </c>
      <c r="O28" s="197"/>
    </row>
    <row r="29" spans="1:16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9">
        <v>-5000</v>
      </c>
      <c r="L29" s="249">
        <v>-5000</v>
      </c>
      <c r="M29" s="190">
        <v>-5000</v>
      </c>
      <c r="N29" s="157" t="s">
        <v>2445</v>
      </c>
    </row>
    <row r="30" spans="1:16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9">
        <v>-3000</v>
      </c>
      <c r="L30" s="249">
        <v>-3000</v>
      </c>
      <c r="M30" s="190">
        <v>-2000</v>
      </c>
      <c r="N30" s="157"/>
    </row>
    <row r="31" spans="1:16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9">
        <v>-51400</v>
      </c>
      <c r="L31" s="249">
        <v>-85000</v>
      </c>
      <c r="M31" s="190">
        <v>-90000</v>
      </c>
      <c r="N31" s="155"/>
      <c r="O31" s="197"/>
    </row>
    <row r="32" spans="1:16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9">
        <v>0</v>
      </c>
      <c r="L32" s="249">
        <v>0</v>
      </c>
      <c r="M32" s="190">
        <v>0</v>
      </c>
      <c r="N32" s="155"/>
      <c r="O32" s="197"/>
    </row>
    <row r="33" spans="1:16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9">
        <v>-11110</v>
      </c>
      <c r="L33" s="249">
        <v>-15000</v>
      </c>
      <c r="M33" s="190">
        <v>-5000</v>
      </c>
      <c r="N33" s="155"/>
      <c r="O33" s="197"/>
    </row>
    <row r="34" spans="1:16" x14ac:dyDescent="0.3">
      <c r="A34" s="7" t="s">
        <v>47</v>
      </c>
      <c r="B34" s="39">
        <f>SUM(B18:B33)</f>
        <v>-218877</v>
      </c>
      <c r="C34" s="39">
        <f t="shared" ref="C34:H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>SUM(I18:I33)</f>
        <v>-618159</v>
      </c>
      <c r="J34" s="39">
        <f>SUM(J18:J33)</f>
        <v>-584733</v>
      </c>
      <c r="K34" s="11">
        <f>SUM(K18:K33)</f>
        <v>-518628</v>
      </c>
      <c r="L34" s="250">
        <f>SUM(L18:L33)</f>
        <v>-689000</v>
      </c>
      <c r="M34" s="191">
        <f>SUM(M18:M33)</f>
        <v>-606000</v>
      </c>
      <c r="N34" s="205"/>
      <c r="O34" s="206"/>
    </row>
    <row r="35" spans="1:16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113"/>
      <c r="L35" s="250"/>
      <c r="M35" s="191"/>
      <c r="N35" s="158"/>
      <c r="O35" s="207"/>
    </row>
    <row r="36" spans="1:16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1">
        <f t="shared" si="4"/>
        <v>38813</v>
      </c>
      <c r="L36" s="250">
        <f>L15+L34</f>
        <v>-71845</v>
      </c>
      <c r="M36" s="191">
        <f>M15+M34</f>
        <v>-26000</v>
      </c>
      <c r="N36" s="158"/>
      <c r="O36" s="207"/>
    </row>
    <row r="37" spans="1:16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1"/>
      <c r="L37" s="250"/>
      <c r="M37" s="191"/>
      <c r="N37" s="158"/>
      <c r="O37" s="207"/>
    </row>
    <row r="38" spans="1:16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1">
        <v>0</v>
      </c>
      <c r="L38" s="250">
        <v>0</v>
      </c>
      <c r="M38" s="191">
        <v>0</v>
      </c>
      <c r="N38" s="155"/>
      <c r="O38" s="206"/>
    </row>
    <row r="39" spans="1:16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1"/>
      <c r="L39" s="251"/>
      <c r="M39" s="210"/>
      <c r="N39" s="205"/>
      <c r="O39" s="206"/>
    </row>
    <row r="40" spans="1:16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54">
        <f t="shared" si="5"/>
        <v>38813</v>
      </c>
      <c r="L40" s="252">
        <f>+L38+L36</f>
        <v>-71845</v>
      </c>
      <c r="M40" s="192">
        <f>+M38+M36</f>
        <v>-26000</v>
      </c>
      <c r="N40" s="155"/>
      <c r="O40" s="208"/>
    </row>
    <row r="41" spans="1:16" s="13" customFormat="1" x14ac:dyDescent="0.3">
      <c r="A41" s="4"/>
      <c r="B41" s="4"/>
      <c r="C41" s="4"/>
      <c r="D41" s="4"/>
      <c r="E41" s="4"/>
      <c r="F41" s="4"/>
      <c r="G41" s="4"/>
      <c r="H41" s="4"/>
      <c r="L41" s="58"/>
      <c r="M41" s="58"/>
      <c r="N41" s="196"/>
      <c r="O41" s="155"/>
    </row>
    <row r="43" spans="1:16" x14ac:dyDescent="0.3">
      <c r="L43" s="99"/>
    </row>
    <row r="44" spans="1:16" x14ac:dyDescent="0.3">
      <c r="L44" s="222"/>
    </row>
    <row r="45" spans="1:16" x14ac:dyDescent="0.3">
      <c r="L45" s="207"/>
    </row>
    <row r="46" spans="1:16" x14ac:dyDescent="0.3">
      <c r="L46" s="222"/>
    </row>
    <row r="47" spans="1:16" s="4" customFormat="1" x14ac:dyDescent="0.3">
      <c r="L47" s="99"/>
      <c r="N47" s="196"/>
      <c r="O47" s="155"/>
      <c r="P47" s="1"/>
    </row>
    <row r="48" spans="1:16" s="4" customFormat="1" x14ac:dyDescent="0.3">
      <c r="L48" s="99"/>
      <c r="N48" s="196"/>
      <c r="O48" s="155"/>
      <c r="P48" s="1"/>
    </row>
    <row r="49" spans="12:16" s="4" customFormat="1" x14ac:dyDescent="0.3">
      <c r="L49" s="99"/>
      <c r="N49" s="196"/>
      <c r="O49" s="155"/>
      <c r="P49" s="1"/>
    </row>
    <row r="50" spans="12:16" s="4" customFormat="1" x14ac:dyDescent="0.3">
      <c r="L50" s="99"/>
      <c r="N50" s="196"/>
      <c r="O50" s="155"/>
      <c r="P50" s="1"/>
    </row>
    <row r="51" spans="12:16" x14ac:dyDescent="0.3">
      <c r="L51" s="99"/>
    </row>
    <row r="52" spans="12:16" x14ac:dyDescent="0.3">
      <c r="L52" s="223"/>
    </row>
  </sheetData>
  <mergeCells count="1">
    <mergeCell ref="E1:G1"/>
  </mergeCells>
  <pageMargins left="0.7" right="0.7" top="0.75" bottom="0.75" header="0.3" footer="0.3"/>
  <pageSetup paperSize="9" scale="6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36CE2-2105-432F-B105-C332365467FD}">
  <sheetPr>
    <tabColor theme="5" tint="-0.249977111117893"/>
    <pageSetUpPr fitToPage="1"/>
  </sheetPr>
  <dimension ref="A1:X58"/>
  <sheetViews>
    <sheetView zoomScale="110" zoomScaleNormal="110" workbookViewId="0">
      <pane xSplit="1" ySplit="3" topLeftCell="O14" activePane="bottomRight" state="frozen"/>
      <selection pane="topRight" activeCell="B1" sqref="B1"/>
      <selection pane="bottomLeft" activeCell="A4" sqref="A4"/>
      <selection pane="bottomRight" activeCell="S4" sqref="S4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2" width="16.44140625" style="1" hidden="1" customWidth="1"/>
    <col min="13" max="13" width="18" style="1" hidden="1" customWidth="1"/>
    <col min="14" max="14" width="16.44140625" style="1" hidden="1" customWidth="1"/>
    <col min="15" max="18" width="16.44140625" style="1" customWidth="1"/>
    <col min="19" max="19" width="17.6640625" style="1" customWidth="1"/>
    <col min="20" max="21" width="18.5546875" style="1" customWidth="1"/>
    <col min="22" max="22" width="27" style="217" customWidth="1"/>
    <col min="23" max="23" width="15.88671875" style="155" customWidth="1"/>
    <col min="24" max="16384" width="9.109375" style="1"/>
  </cols>
  <sheetData>
    <row r="1" spans="1:23" ht="31.8" thickBot="1" x14ac:dyDescent="0.65">
      <c r="A1" s="211" t="s">
        <v>486</v>
      </c>
      <c r="C1" s="224"/>
      <c r="D1" s="224"/>
      <c r="I1" s="4"/>
      <c r="J1" s="4"/>
      <c r="K1" s="289"/>
      <c r="L1" s="289"/>
      <c r="M1" s="289"/>
      <c r="O1" s="290" t="s">
        <v>2786</v>
      </c>
      <c r="P1" s="290"/>
    </row>
    <row r="2" spans="1:23" ht="16.2" thickBot="1" x14ac:dyDescent="0.35"/>
    <row r="3" spans="1:23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37">
        <v>2023</v>
      </c>
      <c r="R3" s="37">
        <v>2024</v>
      </c>
      <c r="S3" s="227">
        <v>2025</v>
      </c>
      <c r="T3" s="253" t="s">
        <v>809</v>
      </c>
      <c r="U3" s="240" t="s">
        <v>2812</v>
      </c>
      <c r="V3" s="270"/>
      <c r="W3" s="156"/>
    </row>
    <row r="4" spans="1:23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42"/>
      <c r="R4" s="42"/>
      <c r="S4" s="110">
        <v>45781</v>
      </c>
      <c r="T4" s="110">
        <v>46022</v>
      </c>
      <c r="U4" s="209"/>
      <c r="V4" s="270"/>
      <c r="W4" s="156"/>
    </row>
    <row r="5" spans="1:23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56"/>
      <c r="R5" s="256"/>
      <c r="S5" s="237"/>
      <c r="T5" s="111"/>
      <c r="U5" s="8"/>
    </row>
    <row r="6" spans="1:23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10">
        <v>225734</v>
      </c>
      <c r="Q6" s="10">
        <v>252983</v>
      </c>
      <c r="R6" s="10">
        <v>209138</v>
      </c>
      <c r="S6" s="9">
        <v>53638</v>
      </c>
      <c r="T6" s="249">
        <v>210000</v>
      </c>
      <c r="U6" s="190">
        <v>210000</v>
      </c>
      <c r="V6" s="217" t="s">
        <v>2605</v>
      </c>
    </row>
    <row r="7" spans="1:23" ht="36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10">
        <v>187000</v>
      </c>
      <c r="Q7" s="10">
        <v>181250</v>
      </c>
      <c r="R7" s="10">
        <v>211575</v>
      </c>
      <c r="S7" s="9">
        <v>700</v>
      </c>
      <c r="T7" s="249">
        <v>210000</v>
      </c>
      <c r="U7" s="190">
        <v>210000</v>
      </c>
      <c r="V7" s="236" t="s">
        <v>2839</v>
      </c>
    </row>
    <row r="8" spans="1:23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10">
        <v>83434</v>
      </c>
      <c r="Q8" s="10">
        <v>177917</v>
      </c>
      <c r="R8" s="10">
        <v>112047</v>
      </c>
      <c r="S8" s="9">
        <v>1632</v>
      </c>
      <c r="T8" s="249">
        <v>115000</v>
      </c>
      <c r="U8" s="190">
        <v>115000</v>
      </c>
      <c r="V8" s="236"/>
    </row>
    <row r="9" spans="1:23" ht="21.6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10">
        <v>33422</v>
      </c>
      <c r="Q9" s="10">
        <v>14330</v>
      </c>
      <c r="R9" s="10">
        <v>27500</v>
      </c>
      <c r="S9" s="9">
        <v>75500</v>
      </c>
      <c r="T9" s="249">
        <v>112500</v>
      </c>
      <c r="U9" s="190">
        <v>105000</v>
      </c>
      <c r="V9" s="236" t="s">
        <v>2827</v>
      </c>
    </row>
    <row r="10" spans="1:23" ht="35.4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10">
        <v>109900</v>
      </c>
      <c r="Q10" s="10">
        <v>137850</v>
      </c>
      <c r="R10" s="10">
        <v>125900</v>
      </c>
      <c r="S10" s="9">
        <v>48000</v>
      </c>
      <c r="T10" s="249">
        <v>100000</v>
      </c>
      <c r="U10" s="190">
        <v>100000</v>
      </c>
      <c r="V10" s="236" t="s">
        <v>2840</v>
      </c>
    </row>
    <row r="11" spans="1:23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10">
        <v>145695</v>
      </c>
      <c r="Q11" s="10">
        <v>163300</v>
      </c>
      <c r="R11" s="10">
        <v>203280</v>
      </c>
      <c r="S11" s="9">
        <v>0</v>
      </c>
      <c r="T11" s="249">
        <v>200000</v>
      </c>
      <c r="U11" s="190">
        <v>200000</v>
      </c>
    </row>
    <row r="12" spans="1:23" x14ac:dyDescent="0.3">
      <c r="A12" s="4" t="s">
        <v>2823</v>
      </c>
      <c r="B12" s="38">
        <v>500</v>
      </c>
      <c r="C12" s="38">
        <v>85850</v>
      </c>
      <c r="D12" s="38">
        <v>62250</v>
      </c>
      <c r="E12" s="38">
        <v>66900</v>
      </c>
      <c r="F12" s="38">
        <v>91100</v>
      </c>
      <c r="G12" s="38">
        <v>83700</v>
      </c>
      <c r="H12" s="38">
        <v>94424</v>
      </c>
      <c r="I12" s="38">
        <f>99500</f>
        <v>99500</v>
      </c>
      <c r="J12" s="38">
        <f>81000</f>
        <v>81000</v>
      </c>
      <c r="K12" s="10">
        <v>85200</v>
      </c>
      <c r="L12" s="10">
        <v>69517</v>
      </c>
      <c r="M12" s="10">
        <v>89680</v>
      </c>
      <c r="N12" s="10">
        <v>95633</v>
      </c>
      <c r="O12" s="10"/>
      <c r="P12" s="10"/>
      <c r="Q12" s="10"/>
      <c r="R12" s="10"/>
      <c r="S12" s="9">
        <v>116564</v>
      </c>
      <c r="T12" s="249">
        <v>124000</v>
      </c>
      <c r="U12" s="190">
        <v>124000</v>
      </c>
    </row>
    <row r="13" spans="1:23" hidden="1" x14ac:dyDescent="0.3">
      <c r="A13" s="4" t="s">
        <v>2143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0</v>
      </c>
      <c r="G13" s="38">
        <v>0</v>
      </c>
      <c r="H13" s="38">
        <v>0</v>
      </c>
      <c r="I13" s="38">
        <v>0</v>
      </c>
      <c r="J13" s="38">
        <f>5750-1743-1743-1453-3486-4358-15750+10000+7640+840+1463+5660</f>
        <v>2820</v>
      </c>
      <c r="K13" s="10">
        <v>5455</v>
      </c>
      <c r="L13" s="10">
        <v>0</v>
      </c>
      <c r="M13" s="10">
        <v>0</v>
      </c>
      <c r="N13" s="10">
        <v>0</v>
      </c>
      <c r="O13" s="10"/>
      <c r="P13" s="10"/>
      <c r="Q13" s="10"/>
      <c r="R13" s="10"/>
      <c r="S13" s="9"/>
      <c r="T13" s="249">
        <v>0</v>
      </c>
      <c r="U13" s="190">
        <v>0</v>
      </c>
    </row>
    <row r="14" spans="1:23" x14ac:dyDescent="0.3">
      <c r="A14" s="4" t="s">
        <v>27</v>
      </c>
      <c r="B14" s="38">
        <v>2474</v>
      </c>
      <c r="C14" s="38">
        <v>239</v>
      </c>
      <c r="D14" s="38">
        <v>450</v>
      </c>
      <c r="E14" s="38">
        <v>2470.9899999999998</v>
      </c>
      <c r="F14" s="38">
        <v>1824.88</v>
      </c>
      <c r="G14" s="38">
        <v>514</v>
      </c>
      <c r="H14" s="38">
        <v>101</v>
      </c>
      <c r="I14" s="38">
        <v>13</v>
      </c>
      <c r="J14" s="38">
        <v>0</v>
      </c>
      <c r="K14" s="10">
        <v>0</v>
      </c>
      <c r="L14" s="10">
        <v>0</v>
      </c>
      <c r="M14" s="10">
        <v>0</v>
      </c>
      <c r="N14" s="10">
        <v>0</v>
      </c>
      <c r="O14" s="10"/>
      <c r="P14" s="10"/>
      <c r="Q14" s="10"/>
      <c r="R14" s="10">
        <v>6206</v>
      </c>
      <c r="S14" s="9">
        <v>0</v>
      </c>
      <c r="T14" s="249">
        <v>3000</v>
      </c>
      <c r="U14" s="190">
        <v>3000</v>
      </c>
    </row>
    <row r="15" spans="1:23" ht="21.6" x14ac:dyDescent="0.3">
      <c r="A15" s="4" t="s">
        <v>490</v>
      </c>
      <c r="B15" s="38">
        <f>3455+2000</f>
        <v>5455</v>
      </c>
      <c r="C15" s="38">
        <f>400+10000+12000</f>
        <v>22400</v>
      </c>
      <c r="D15" s="38">
        <v>4112</v>
      </c>
      <c r="E15" s="38">
        <f>4135+5600</f>
        <v>9735</v>
      </c>
      <c r="F15" s="38">
        <f>1987+4050</f>
        <v>6037</v>
      </c>
      <c r="G15" s="38">
        <v>1630</v>
      </c>
      <c r="H15" s="38">
        <v>16554</v>
      </c>
      <c r="I15" s="38">
        <f>28269-19125+4390+6756</f>
        <v>20290</v>
      </c>
      <c r="J15" s="38">
        <f>2914+5838+4950+240+1000+6365+1880+2390</f>
        <v>25577</v>
      </c>
      <c r="K15" s="10">
        <v>29446</v>
      </c>
      <c r="L15" s="10">
        <v>56040</v>
      </c>
      <c r="M15" s="10">
        <v>21304</v>
      </c>
      <c r="N15" s="10">
        <v>93807</v>
      </c>
      <c r="O15" s="10">
        <v>61627</v>
      </c>
      <c r="P15" s="10">
        <v>46439</v>
      </c>
      <c r="Q15" s="10">
        <v>11035</v>
      </c>
      <c r="R15" s="10">
        <v>17071</v>
      </c>
      <c r="S15" s="9">
        <v>16235</v>
      </c>
      <c r="T15" s="249">
        <v>15000</v>
      </c>
      <c r="U15" s="190">
        <v>15000</v>
      </c>
      <c r="V15" s="236" t="s">
        <v>2838</v>
      </c>
    </row>
    <row r="16" spans="1:23" x14ac:dyDescent="0.3">
      <c r="A16" s="7" t="s">
        <v>2554</v>
      </c>
      <c r="B16" s="39">
        <f t="shared" ref="B16:K16" si="0">SUM(B6:B15)</f>
        <v>194703</v>
      </c>
      <c r="C16" s="39">
        <f t="shared" si="0"/>
        <v>431575</v>
      </c>
      <c r="D16" s="39">
        <f t="shared" si="0"/>
        <v>282807</v>
      </c>
      <c r="E16" s="39">
        <f t="shared" si="0"/>
        <v>308979.27999999997</v>
      </c>
      <c r="F16" s="39">
        <f t="shared" si="0"/>
        <v>390713.28</v>
      </c>
      <c r="G16" s="39">
        <f t="shared" si="0"/>
        <v>373620</v>
      </c>
      <c r="H16" s="39">
        <f t="shared" si="0"/>
        <v>575175</v>
      </c>
      <c r="I16" s="39">
        <f>SUM(I6:I15)</f>
        <v>727836</v>
      </c>
      <c r="J16" s="39">
        <f t="shared" ref="J16" si="1">SUM(J6:J15)</f>
        <v>702290</v>
      </c>
      <c r="K16" s="12">
        <f t="shared" si="0"/>
        <v>735324</v>
      </c>
      <c r="L16" s="12">
        <f t="shared" ref="L16:R16" si="2">SUM(L6:L15)</f>
        <v>671628</v>
      </c>
      <c r="M16" s="12">
        <f t="shared" si="2"/>
        <v>717654</v>
      </c>
      <c r="N16" s="12">
        <f t="shared" si="2"/>
        <v>763533</v>
      </c>
      <c r="O16" s="12">
        <f t="shared" si="2"/>
        <v>701882</v>
      </c>
      <c r="P16" s="12">
        <f t="shared" si="2"/>
        <v>831624</v>
      </c>
      <c r="Q16" s="12">
        <f t="shared" si="2"/>
        <v>938665</v>
      </c>
      <c r="R16" s="12">
        <f t="shared" si="2"/>
        <v>912717</v>
      </c>
      <c r="S16" s="11">
        <f>SUM(S6:S15)</f>
        <v>312269</v>
      </c>
      <c r="T16" s="250">
        <f>SUM(T6:T15)</f>
        <v>1089500</v>
      </c>
      <c r="U16" s="191">
        <f>SUM(U6:U15)</f>
        <v>1082000</v>
      </c>
    </row>
    <row r="17" spans="1:24" ht="16.2" thickBot="1" x14ac:dyDescent="0.35">
      <c r="B17" s="38"/>
      <c r="C17" s="40"/>
      <c r="D17" s="40"/>
      <c r="E17" s="38"/>
      <c r="F17" s="40"/>
      <c r="G17" s="40"/>
      <c r="H17" s="40"/>
      <c r="I17" s="40"/>
      <c r="J17" s="40"/>
      <c r="S17" s="111"/>
      <c r="T17" s="249"/>
      <c r="U17" s="190"/>
    </row>
    <row r="18" spans="1:24" s="13" customFormat="1" ht="16.2" thickBot="1" x14ac:dyDescent="0.35">
      <c r="A18" s="32" t="s">
        <v>30</v>
      </c>
      <c r="B18" s="38"/>
      <c r="C18" s="41"/>
      <c r="D18" s="41"/>
      <c r="E18" s="38"/>
      <c r="F18" s="41"/>
      <c r="G18" s="41"/>
      <c r="H18" s="41"/>
      <c r="I18" s="41"/>
      <c r="J18" s="41"/>
      <c r="S18" s="112"/>
      <c r="T18" s="249"/>
      <c r="U18" s="190"/>
      <c r="V18" s="271"/>
      <c r="W18" s="159"/>
    </row>
    <row r="19" spans="1:24" ht="46.2" customHeight="1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10">
        <v>-70226</v>
      </c>
      <c r="M19" s="10">
        <v>-120875</v>
      </c>
      <c r="N19" s="10">
        <v>-81372</v>
      </c>
      <c r="O19" s="10">
        <v>-159842</v>
      </c>
      <c r="P19" s="10">
        <v>-181432</v>
      </c>
      <c r="Q19" s="10">
        <v>-220492</v>
      </c>
      <c r="R19" s="10">
        <v>-95687</v>
      </c>
      <c r="S19" s="9">
        <v>-27673</v>
      </c>
      <c r="T19" s="249">
        <v>-130000</v>
      </c>
      <c r="U19" s="190">
        <v>-130000</v>
      </c>
      <c r="V19" s="236" t="s">
        <v>2835</v>
      </c>
      <c r="W19" s="276" t="s">
        <v>2836</v>
      </c>
    </row>
    <row r="20" spans="1:24" x14ac:dyDescent="0.3">
      <c r="A20" s="4" t="s">
        <v>45</v>
      </c>
      <c r="B20" s="38">
        <v>-32646</v>
      </c>
      <c r="C20" s="38">
        <v>-42437</v>
      </c>
      <c r="D20" s="38">
        <v>-26923</v>
      </c>
      <c r="E20" s="38">
        <v>-32572</v>
      </c>
      <c r="F20" s="38">
        <v>-50743</v>
      </c>
      <c r="G20" s="38">
        <v>-52811</v>
      </c>
      <c r="H20" s="38">
        <v>-126816</v>
      </c>
      <c r="I20" s="38">
        <f>-953-23023-1120-3576-498-29220-3576-3576-48894</f>
        <v>-114436</v>
      </c>
      <c r="J20" s="38">
        <f>-975-3576-25151+2412-26894-7152-45412</f>
        <v>-106748</v>
      </c>
      <c r="K20" s="10">
        <v>-134562</v>
      </c>
      <c r="L20" s="10">
        <v>-150140</v>
      </c>
      <c r="M20" s="10">
        <v>-104717</v>
      </c>
      <c r="N20" s="10">
        <v>-122818</v>
      </c>
      <c r="O20" s="10">
        <v>-100638</v>
      </c>
      <c r="P20" s="10">
        <v>-133504</v>
      </c>
      <c r="Q20" s="10">
        <v>-140769</v>
      </c>
      <c r="R20" s="10">
        <v>-121835</v>
      </c>
      <c r="S20" s="9">
        <v>-17239</v>
      </c>
      <c r="T20" s="249">
        <v>-120000</v>
      </c>
      <c r="U20" s="190">
        <v>-120000</v>
      </c>
      <c r="W20" s="197"/>
      <c r="X20" s="55"/>
    </row>
    <row r="21" spans="1:24" x14ac:dyDescent="0.3">
      <c r="A21" s="4" t="s">
        <v>508</v>
      </c>
      <c r="B21" s="38">
        <v>-11755</v>
      </c>
      <c r="C21" s="38">
        <v>-20024</v>
      </c>
      <c r="D21" s="38">
        <v>-13297</v>
      </c>
      <c r="E21" s="38">
        <v>-14853.42</v>
      </c>
      <c r="F21" s="38">
        <v>-18717</v>
      </c>
      <c r="G21" s="38">
        <v>-4027</v>
      </c>
      <c r="H21" s="38">
        <v>-20624</v>
      </c>
      <c r="I21" s="38">
        <f>-3208-5440+2557-5729-1907+1985-874-1767-2130-3432-789-9120-114-867-1407-1435-38-5807-8282</f>
        <v>-47804</v>
      </c>
      <c r="J21" s="38">
        <f>-3760-1277-3685+3685-2253-17843-2444-4021-349-5145-111-368-279-322</f>
        <v>-38172</v>
      </c>
      <c r="K21" s="10">
        <v>-17887</v>
      </c>
      <c r="L21" s="10">
        <v>-4522</v>
      </c>
      <c r="M21" s="10">
        <v>0</v>
      </c>
      <c r="N21" s="10">
        <v>-469</v>
      </c>
      <c r="O21" s="10">
        <v>-225</v>
      </c>
      <c r="P21" s="10">
        <v>-519</v>
      </c>
      <c r="Q21" s="10">
        <v>-58306</v>
      </c>
      <c r="R21" s="10">
        <v>-29423</v>
      </c>
      <c r="S21" s="9">
        <v>-174</v>
      </c>
      <c r="T21" s="249">
        <v>-45000</v>
      </c>
      <c r="U21" s="190">
        <v>-45000</v>
      </c>
      <c r="V21" s="217" t="s">
        <v>2828</v>
      </c>
      <c r="W21" s="197"/>
    </row>
    <row r="22" spans="1:24" ht="21.6" x14ac:dyDescent="0.3">
      <c r="A22" s="4" t="s">
        <v>1633</v>
      </c>
      <c r="B22" s="38">
        <v>-4800</v>
      </c>
      <c r="C22" s="38">
        <v>-3398</v>
      </c>
      <c r="D22" s="38">
        <v>0</v>
      </c>
      <c r="E22" s="38">
        <v>-7138</v>
      </c>
      <c r="F22" s="38">
        <v>-3450</v>
      </c>
      <c r="G22" s="38">
        <v>-8100</v>
      </c>
      <c r="H22" s="38">
        <v>-6790</v>
      </c>
      <c r="I22" s="38">
        <f>-2940-7000-2500-2800-185+23111-23111-31150-1700-495-1000</f>
        <v>-49770</v>
      </c>
      <c r="J22" s="38">
        <f>-2100-1969-5000-500-15500-1440-629-7355</f>
        <v>-34493</v>
      </c>
      <c r="K22" s="10">
        <v>-38345</v>
      </c>
      <c r="L22" s="10">
        <v>-52120</v>
      </c>
      <c r="M22" s="10">
        <v>-70704</v>
      </c>
      <c r="N22" s="10">
        <v>-10498</v>
      </c>
      <c r="O22" s="10">
        <v>-17059</v>
      </c>
      <c r="P22" s="10">
        <v>-29952</v>
      </c>
      <c r="Q22" s="10">
        <v>-42358</v>
      </c>
      <c r="R22" s="10">
        <v>-52555</v>
      </c>
      <c r="S22" s="9">
        <v>-20599</v>
      </c>
      <c r="T22" s="249">
        <v>-50000</v>
      </c>
      <c r="U22" s="190">
        <v>-50000</v>
      </c>
      <c r="V22" s="217" t="s">
        <v>2834</v>
      </c>
      <c r="W22" s="197"/>
    </row>
    <row r="23" spans="1:24" ht="33.6" customHeight="1" x14ac:dyDescent="0.3">
      <c r="A23" s="4" t="s">
        <v>940</v>
      </c>
      <c r="B23" s="38">
        <v>0</v>
      </c>
      <c r="C23" s="38">
        <v>-1700</v>
      </c>
      <c r="D23" s="38">
        <v>0</v>
      </c>
      <c r="E23" s="38">
        <v>-3400</v>
      </c>
      <c r="F23" s="38">
        <v>-3900</v>
      </c>
      <c r="G23" s="38">
        <v>-4550</v>
      </c>
      <c r="H23" s="38">
        <v>-7520</v>
      </c>
      <c r="I23" s="38">
        <f>-4500-4000-682-4000-1110</f>
        <v>-14292</v>
      </c>
      <c r="J23" s="38">
        <f>-4000-5500-4000-407</f>
        <v>-13907</v>
      </c>
      <c r="K23" s="10">
        <v>-40515</v>
      </c>
      <c r="L23" s="10">
        <v>-23150</v>
      </c>
      <c r="M23" s="10">
        <v>-39500</v>
      </c>
      <c r="N23" s="10">
        <v>-35192</v>
      </c>
      <c r="O23" s="10">
        <v>-26250</v>
      </c>
      <c r="P23" s="10">
        <v>-92029</v>
      </c>
      <c r="Q23" s="10">
        <v>-99926</v>
      </c>
      <c r="R23" s="10">
        <v>-108845</v>
      </c>
      <c r="S23" s="9">
        <v>-20718</v>
      </c>
      <c r="T23" s="249">
        <v>-110000</v>
      </c>
      <c r="U23" s="190">
        <v>-110000</v>
      </c>
      <c r="V23" s="217" t="s">
        <v>2833</v>
      </c>
      <c r="W23" s="197"/>
    </row>
    <row r="24" spans="1:24" ht="28.2" customHeight="1" x14ac:dyDescent="0.3">
      <c r="A24" s="4" t="s">
        <v>39</v>
      </c>
      <c r="B24" s="38">
        <v>-18016</v>
      </c>
      <c r="C24" s="38">
        <v>-18105</v>
      </c>
      <c r="D24" s="38">
        <v>-14387</v>
      </c>
      <c r="E24" s="38">
        <v>-7915</v>
      </c>
      <c r="F24" s="38">
        <v>-13828</v>
      </c>
      <c r="G24" s="38">
        <v>-24118</v>
      </c>
      <c r="H24" s="38">
        <v>-30770</v>
      </c>
      <c r="I24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4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4" s="10">
        <v>-76389</v>
      </c>
      <c r="L24" s="10">
        <v>-81515</v>
      </c>
      <c r="M24" s="10">
        <v>-88679</v>
      </c>
      <c r="N24" s="10">
        <v>-72732</v>
      </c>
      <c r="O24" s="10">
        <v>-58100</v>
      </c>
      <c r="P24" s="10">
        <v>-79144</v>
      </c>
      <c r="Q24" s="10">
        <v>-104788</v>
      </c>
      <c r="R24" s="10">
        <v>-88174</v>
      </c>
      <c r="S24" s="9">
        <v>-6850</v>
      </c>
      <c r="T24" s="249">
        <v>-95000</v>
      </c>
      <c r="U24" s="190">
        <v>-95000</v>
      </c>
      <c r="V24" s="236" t="s">
        <v>2829</v>
      </c>
      <c r="W24" s="197"/>
    </row>
    <row r="25" spans="1:24" x14ac:dyDescent="0.3">
      <c r="A25" s="4" t="s">
        <v>40</v>
      </c>
      <c r="B25" s="38">
        <v>0</v>
      </c>
      <c r="C25" s="38">
        <v>-850</v>
      </c>
      <c r="D25" s="38">
        <v>-625</v>
      </c>
      <c r="E25" s="38">
        <v>-8200</v>
      </c>
      <c r="F25" s="38">
        <v>0</v>
      </c>
      <c r="G25" s="38">
        <v>0</v>
      </c>
      <c r="H25" s="38">
        <v>-2100</v>
      </c>
      <c r="I25" s="38">
        <f>-3950</f>
        <v>-3950</v>
      </c>
      <c r="J25" s="38">
        <f>-2750</f>
        <v>-2750</v>
      </c>
      <c r="K25" s="10">
        <v>-2500</v>
      </c>
      <c r="L25" s="10">
        <v>-3050</v>
      </c>
      <c r="M25" s="10">
        <v>-3860</v>
      </c>
      <c r="N25" s="10">
        <v>-7420</v>
      </c>
      <c r="O25" s="10">
        <v>-4750</v>
      </c>
      <c r="P25" s="10">
        <v>-1231</v>
      </c>
      <c r="Q25" s="10">
        <v>-13700</v>
      </c>
      <c r="R25" s="10">
        <v>-14628</v>
      </c>
      <c r="S25" s="9">
        <v>-4775</v>
      </c>
      <c r="T25" s="249">
        <v>-15000</v>
      </c>
      <c r="U25" s="190">
        <v>-15000</v>
      </c>
      <c r="W25" s="197"/>
    </row>
    <row r="26" spans="1:24" ht="26.4" customHeight="1" x14ac:dyDescent="0.3">
      <c r="A26" s="4" t="s">
        <v>36</v>
      </c>
      <c r="B26" s="38">
        <v>-5000</v>
      </c>
      <c r="C26" s="38">
        <v>-350</v>
      </c>
      <c r="D26" s="38">
        <v>0</v>
      </c>
      <c r="E26" s="38">
        <v>-3550</v>
      </c>
      <c r="F26" s="38">
        <v>-10190</v>
      </c>
      <c r="G26" s="38">
        <v>-27295</v>
      </c>
      <c r="H26" s="38">
        <v>-13550</v>
      </c>
      <c r="I26" s="38">
        <f>-1400-1400-2700-3000-1500-1200-1400-1000-1200-1300-1500-800-1200-1400-1400-1190</f>
        <v>-23590</v>
      </c>
      <c r="J26" s="38">
        <f>-800-1200-1100-3350-1400-1000-2000-1000-1400-300-1200-1400-1800-1500-1500-1600-1400-1400</f>
        <v>-25350</v>
      </c>
      <c r="K26" s="10">
        <v>-23700</v>
      </c>
      <c r="L26" s="10">
        <v>-23490</v>
      </c>
      <c r="M26" s="10">
        <v>-20500</v>
      </c>
      <c r="N26" s="10">
        <v>-6700</v>
      </c>
      <c r="O26" s="10">
        <v>-4050</v>
      </c>
      <c r="P26" s="10">
        <v>-22800</v>
      </c>
      <c r="Q26" s="10">
        <v>-34900</v>
      </c>
      <c r="R26" s="10">
        <v>-31665</v>
      </c>
      <c r="S26" s="9">
        <v>-15900</v>
      </c>
      <c r="T26" s="249">
        <v>-30000</v>
      </c>
      <c r="U26" s="190">
        <v>-30000</v>
      </c>
      <c r="V26" s="217" t="s">
        <v>2832</v>
      </c>
      <c r="W26" s="197"/>
    </row>
    <row r="27" spans="1:24" ht="22.8" customHeight="1" x14ac:dyDescent="0.3">
      <c r="A27" s="4" t="s">
        <v>154</v>
      </c>
      <c r="B27" s="38">
        <v>-19050</v>
      </c>
      <c r="C27" s="38">
        <f>-13250-1750</f>
        <v>-15000</v>
      </c>
      <c r="D27" s="38">
        <v>-19650</v>
      </c>
      <c r="E27" s="38">
        <v>-15750</v>
      </c>
      <c r="F27" s="38">
        <v>-21750</v>
      </c>
      <c r="G27" s="38">
        <v>-30300</v>
      </c>
      <c r="H27" s="38">
        <v>-23520</v>
      </c>
      <c r="I27" s="38">
        <f>950+4008-3900-500-15200+1000-500-1000-2000+1000-250-7000-600-7500</f>
        <v>-31492</v>
      </c>
      <c r="J27" s="38">
        <f>-1000-3000-6600-9700-4500-1900-1200-2000-2400-2000-400-500-2000</f>
        <v>-37200</v>
      </c>
      <c r="K27" s="10">
        <v>-30550</v>
      </c>
      <c r="L27" s="10">
        <v>-32750</v>
      </c>
      <c r="M27" s="10">
        <v>-41400</v>
      </c>
      <c r="N27" s="10">
        <v>-35920</v>
      </c>
      <c r="O27" s="10">
        <v>-14840</v>
      </c>
      <c r="P27" s="10">
        <v>-30440</v>
      </c>
      <c r="Q27" s="10">
        <v>-32200</v>
      </c>
      <c r="R27" s="10">
        <v>-24300</v>
      </c>
      <c r="S27" s="9">
        <v>0</v>
      </c>
      <c r="T27" s="249">
        <v>-25000</v>
      </c>
      <c r="U27" s="190">
        <v>-25000</v>
      </c>
      <c r="V27" s="217" t="s">
        <v>2824</v>
      </c>
      <c r="W27" s="197"/>
    </row>
    <row r="28" spans="1:24" x14ac:dyDescent="0.3">
      <c r="A28" s="4" t="s">
        <v>43</v>
      </c>
      <c r="B28" s="38">
        <v>-14470</v>
      </c>
      <c r="C28" s="38">
        <v>-10300</v>
      </c>
      <c r="D28" s="38">
        <v>-4860</v>
      </c>
      <c r="E28" s="38">
        <v>0</v>
      </c>
      <c r="F28" s="38">
        <v>-18405</v>
      </c>
      <c r="G28" s="38">
        <v>-10950</v>
      </c>
      <c r="H28" s="38">
        <v>-9515</v>
      </c>
      <c r="I28" s="38">
        <f>-300-8900+850-1250-3500</f>
        <v>-13100</v>
      </c>
      <c r="J28" s="38">
        <f>-4700-2390-8400</f>
        <v>-15490</v>
      </c>
      <c r="K28" s="10">
        <v>-14710</v>
      </c>
      <c r="L28" s="10">
        <v>-18980</v>
      </c>
      <c r="M28" s="10">
        <v>-15500</v>
      </c>
      <c r="N28" s="10">
        <v>-14350</v>
      </c>
      <c r="O28" s="10">
        <v>-15370</v>
      </c>
      <c r="P28" s="10">
        <v>-5340</v>
      </c>
      <c r="Q28" s="10">
        <v>-4080</v>
      </c>
      <c r="R28" s="10">
        <v>-23540</v>
      </c>
      <c r="S28" s="9">
        <v>-4000</v>
      </c>
      <c r="T28" s="249">
        <v>-10000</v>
      </c>
      <c r="U28" s="190">
        <v>-10000</v>
      </c>
      <c r="V28" s="217" t="s">
        <v>2825</v>
      </c>
      <c r="W28" s="197"/>
    </row>
    <row r="29" spans="1:24" ht="34.799999999999997" customHeight="1" x14ac:dyDescent="0.3">
      <c r="A29" s="4" t="s">
        <v>44</v>
      </c>
      <c r="B29" s="38">
        <v>-25000</v>
      </c>
      <c r="C29" s="38">
        <v>-15000</v>
      </c>
      <c r="D29" s="38">
        <v>-17500</v>
      </c>
      <c r="E29" s="38">
        <v>-30416</v>
      </c>
      <c r="F29" s="38">
        <v>-16000</v>
      </c>
      <c r="G29" s="38">
        <v>-34000</v>
      </c>
      <c r="H29" s="38">
        <v>-27000</v>
      </c>
      <c r="I29" s="38">
        <f>-12500-1000-2000-5000-3000</f>
        <v>-23500</v>
      </c>
      <c r="J29" s="38">
        <f>-1500-10000-500-4000</f>
        <v>-16000</v>
      </c>
      <c r="K29" s="10">
        <v>-39400</v>
      </c>
      <c r="L29" s="10">
        <v>-28600</v>
      </c>
      <c r="M29" s="10">
        <v>-18000</v>
      </c>
      <c r="N29" s="10">
        <v>-25600</v>
      </c>
      <c r="O29" s="10">
        <v>-53500</v>
      </c>
      <c r="P29" s="10">
        <f>-55750</f>
        <v>-55750</v>
      </c>
      <c r="Q29" s="10">
        <v>-66350</v>
      </c>
      <c r="R29" s="10">
        <v>-80025</v>
      </c>
      <c r="S29" s="9">
        <v>-8075</v>
      </c>
      <c r="T29" s="249">
        <v>-80000</v>
      </c>
      <c r="U29" s="190">
        <v>-80000</v>
      </c>
      <c r="V29" s="217" t="s">
        <v>2831</v>
      </c>
      <c r="W29" s="197"/>
    </row>
    <row r="30" spans="1:24" ht="27" customHeight="1" x14ac:dyDescent="0.3">
      <c r="A30" s="4" t="s">
        <v>56</v>
      </c>
      <c r="B30" s="38">
        <v>-4459</v>
      </c>
      <c r="C30" s="38">
        <v>-12173</v>
      </c>
      <c r="D30" s="38">
        <v>0</v>
      </c>
      <c r="E30" s="38">
        <v>-180</v>
      </c>
      <c r="F30" s="38">
        <v>-1887</v>
      </c>
      <c r="G30" s="38">
        <v>0</v>
      </c>
      <c r="H30" s="38">
        <v>0</v>
      </c>
      <c r="I30" s="38">
        <v>0</v>
      </c>
      <c r="J30" s="38">
        <f>-500-2500-500-1000</f>
        <v>-4500</v>
      </c>
      <c r="K30" s="10">
        <v>-10000</v>
      </c>
      <c r="L30" s="10">
        <v>-14500</v>
      </c>
      <c r="M30" s="10">
        <v>-12500</v>
      </c>
      <c r="N30" s="10">
        <v>-14000</v>
      </c>
      <c r="O30" s="10">
        <v>-9500</v>
      </c>
      <c r="P30" s="10">
        <f>-19000-4000</f>
        <v>-23000</v>
      </c>
      <c r="Q30" s="10">
        <v>-19850</v>
      </c>
      <c r="R30" s="10">
        <v>-27630</v>
      </c>
      <c r="S30" s="9">
        <v>0</v>
      </c>
      <c r="T30" s="249">
        <v>-36000</v>
      </c>
      <c r="U30" s="190">
        <v>-36000</v>
      </c>
      <c r="V30" s="217" t="s">
        <v>2826</v>
      </c>
    </row>
    <row r="31" spans="1:24" x14ac:dyDescent="0.3">
      <c r="A31" s="4" t="s">
        <v>32</v>
      </c>
      <c r="B31" s="38">
        <f>-2650-3100-1600</f>
        <v>-7350</v>
      </c>
      <c r="C31" s="38">
        <f>-250-2500-1842</f>
        <v>-4592</v>
      </c>
      <c r="D31" s="38">
        <f>-250-4500-1899</f>
        <v>-6649</v>
      </c>
      <c r="E31" s="38">
        <v>-6338</v>
      </c>
      <c r="F31" s="38">
        <v>-6643</v>
      </c>
      <c r="G31" s="38">
        <v>-3530</v>
      </c>
      <c r="H31" s="38">
        <v>-1024</v>
      </c>
      <c r="I31" s="38">
        <f>-774-250</f>
        <v>-1024</v>
      </c>
      <c r="J31" s="38">
        <f>-771-500</f>
        <v>-1271</v>
      </c>
      <c r="K31" s="10">
        <v>-3000</v>
      </c>
      <c r="L31" s="10">
        <v>-500</v>
      </c>
      <c r="M31" s="10">
        <v>-500</v>
      </c>
      <c r="N31" s="10">
        <v>-500</v>
      </c>
      <c r="O31" s="10">
        <v>-500</v>
      </c>
      <c r="P31" s="10">
        <v>-500</v>
      </c>
      <c r="Q31" s="10">
        <v>-500</v>
      </c>
      <c r="R31" s="10">
        <v>-500</v>
      </c>
      <c r="S31" s="9">
        <v>-500</v>
      </c>
      <c r="T31" s="249">
        <v>-500</v>
      </c>
      <c r="U31" s="190">
        <v>-500</v>
      </c>
    </row>
    <row r="32" spans="1:24" x14ac:dyDescent="0.3">
      <c r="A32" s="4" t="s">
        <v>491</v>
      </c>
      <c r="B32" s="38">
        <v>0</v>
      </c>
      <c r="C32" s="38">
        <f>-75994-6425</f>
        <v>-82419</v>
      </c>
      <c r="D32" s="38">
        <f>-29362-12800</f>
        <v>-42162</v>
      </c>
      <c r="E32" s="38">
        <v>0</v>
      </c>
      <c r="F32" s="38">
        <v>0</v>
      </c>
      <c r="G32" s="38">
        <v>-102305</v>
      </c>
      <c r="H32" s="38">
        <v>-94393</v>
      </c>
      <c r="I32" s="38">
        <f>-1824-(23*800)-34400-1130-45448</f>
        <v>-101202</v>
      </c>
      <c r="J32" s="38">
        <f>-268-800-800-800-800-800-800-800-800-800-800-800-800-800-800-800-800-800-264-800-800-28998-800-800-800-36777</f>
        <v>-83907</v>
      </c>
      <c r="K32" s="10">
        <v>-90569</v>
      </c>
      <c r="L32" s="10">
        <v>-87302</v>
      </c>
      <c r="M32" s="10">
        <v>-94382</v>
      </c>
      <c r="N32" s="10">
        <v>-111217</v>
      </c>
      <c r="O32" s="10">
        <v>-128246</v>
      </c>
      <c r="P32" s="10">
        <v>-166907</v>
      </c>
      <c r="Q32" s="10">
        <v>-161843</v>
      </c>
      <c r="R32" s="10">
        <v>-202575</v>
      </c>
      <c r="S32" s="9">
        <v>0</v>
      </c>
      <c r="T32" s="249">
        <v>-200000</v>
      </c>
      <c r="U32" s="190">
        <v>-200000</v>
      </c>
      <c r="V32" s="217" t="s">
        <v>2649</v>
      </c>
      <c r="W32" s="197"/>
    </row>
    <row r="33" spans="1:23" x14ac:dyDescent="0.3">
      <c r="A33" s="4" t="s">
        <v>2830</v>
      </c>
      <c r="B33" s="38">
        <v>0</v>
      </c>
      <c r="C33" s="38">
        <f>-75994-6425</f>
        <v>-82419</v>
      </c>
      <c r="D33" s="38">
        <f>-29362-12800</f>
        <v>-42162</v>
      </c>
      <c r="E33" s="38">
        <v>0</v>
      </c>
      <c r="F33" s="38">
        <v>0</v>
      </c>
      <c r="G33" s="38">
        <v>-102305</v>
      </c>
      <c r="H33" s="38">
        <v>-94393</v>
      </c>
      <c r="I33" s="38">
        <f>-1824-(23*800)-34400-1130-45448</f>
        <v>-101202</v>
      </c>
      <c r="J33" s="38">
        <f>-268-800-800-800-800-800-800-800-800-800-800-800-800-800-800-800-800-800-264-800-800-28998-800-800-800-36777</f>
        <v>-83907</v>
      </c>
      <c r="K33" s="10">
        <v>-90569</v>
      </c>
      <c r="L33" s="10">
        <v>-87302</v>
      </c>
      <c r="M33" s="10">
        <v>-94382</v>
      </c>
      <c r="N33" s="10">
        <v>-111217</v>
      </c>
      <c r="O33" s="10"/>
      <c r="P33" s="10"/>
      <c r="Q33" s="10"/>
      <c r="R33" s="10"/>
      <c r="S33" s="9">
        <v>0</v>
      </c>
      <c r="T33" s="249">
        <v>-120000</v>
      </c>
      <c r="U33" s="190">
        <v>-120000</v>
      </c>
      <c r="V33" s="217" t="s">
        <v>2649</v>
      </c>
      <c r="W33" s="197"/>
    </row>
    <row r="34" spans="1:23" hidden="1" x14ac:dyDescent="0.3">
      <c r="A34" s="4" t="s">
        <v>33</v>
      </c>
      <c r="B34" s="38">
        <v>0</v>
      </c>
      <c r="C34" s="38">
        <v>0</v>
      </c>
      <c r="D34" s="38">
        <v>0</v>
      </c>
      <c r="E34" s="38">
        <v>-741</v>
      </c>
      <c r="F34" s="38">
        <v>-547</v>
      </c>
      <c r="G34" s="38">
        <v>-154</v>
      </c>
      <c r="H34" s="38">
        <v>-510</v>
      </c>
      <c r="I34" s="38">
        <v>0</v>
      </c>
      <c r="J34" s="38">
        <f>-160</f>
        <v>-160</v>
      </c>
      <c r="K34" s="10">
        <v>0</v>
      </c>
      <c r="L34" s="10">
        <v>0</v>
      </c>
      <c r="M34" s="10">
        <v>0</v>
      </c>
      <c r="N34" s="10">
        <v>0</v>
      </c>
      <c r="O34" s="10"/>
      <c r="P34" s="10"/>
      <c r="Q34" s="10"/>
      <c r="R34" s="10"/>
      <c r="S34" s="9"/>
      <c r="T34" s="249">
        <v>0</v>
      </c>
      <c r="U34" s="190">
        <v>0</v>
      </c>
      <c r="W34" s="197"/>
    </row>
    <row r="35" spans="1:23" ht="31.2" customHeight="1" x14ac:dyDescent="0.3">
      <c r="A35" s="4" t="s">
        <v>493</v>
      </c>
      <c r="B35" s="38">
        <f>-635-7900</f>
        <v>-8535</v>
      </c>
      <c r="C35" s="38">
        <f>-1500-935-3800-2859-81</f>
        <v>-9175</v>
      </c>
      <c r="D35" s="38">
        <f>-755-1100</f>
        <v>-1855</v>
      </c>
      <c r="E35" s="38">
        <f>-2424-5850</f>
        <v>-8274</v>
      </c>
      <c r="F35" s="38">
        <v>-4637.7700000000004</v>
      </c>
      <c r="G35" s="38">
        <f>-2261-14329</f>
        <v>-16590</v>
      </c>
      <c r="H35" s="38">
        <v>-8129</v>
      </c>
      <c r="I35" s="38">
        <f>-469-740+140+140-4815-234</f>
        <v>-5978</v>
      </c>
      <c r="J35" s="38">
        <f>140-1170-608-2080-341</f>
        <v>-4059</v>
      </c>
      <c r="K35" s="10">
        <v>-11110</v>
      </c>
      <c r="L35" s="10">
        <f>-1688+-1553</f>
        <v>-3241</v>
      </c>
      <c r="M35" s="10">
        <f>-6416-763</f>
        <v>-7179</v>
      </c>
      <c r="N35" s="10">
        <f>-2226-250-4352</f>
        <v>-6828</v>
      </c>
      <c r="O35" s="10">
        <f>-2835-250-1000</f>
        <v>-4085</v>
      </c>
      <c r="P35" s="10">
        <v>-5059</v>
      </c>
      <c r="Q35" s="10">
        <f>-750-1134-300-1094-78-365-350-711-1000-295-148</f>
        <v>-6225</v>
      </c>
      <c r="R35" s="244">
        <f>-750-65-1368-1000-308-1600-90-74-1368-187-130-75-500-800-100-132-500</f>
        <v>-9047</v>
      </c>
      <c r="S35" s="9">
        <f>-7536</f>
        <v>-7536</v>
      </c>
      <c r="T35" s="249">
        <v>-10000</v>
      </c>
      <c r="U35" s="190">
        <v>-5000</v>
      </c>
      <c r="V35" s="217" t="s">
        <v>2772</v>
      </c>
      <c r="W35" s="197"/>
    </row>
    <row r="36" spans="1:23" x14ac:dyDescent="0.3">
      <c r="A36" s="7" t="s">
        <v>2555</v>
      </c>
      <c r="B36" s="39">
        <f t="shared" ref="B36:S36" si="3">SUM(B19:B35)</f>
        <v>-218877</v>
      </c>
      <c r="C36" s="39">
        <f t="shared" si="3"/>
        <v>-341353</v>
      </c>
      <c r="D36" s="39">
        <f t="shared" si="3"/>
        <v>-230006</v>
      </c>
      <c r="E36" s="39">
        <f t="shared" si="3"/>
        <v>-247088.42</v>
      </c>
      <c r="F36" s="39">
        <f t="shared" si="3"/>
        <v>-325572.77</v>
      </c>
      <c r="G36" s="39">
        <f t="shared" si="3"/>
        <v>-559750</v>
      </c>
      <c r="H36" s="39">
        <f t="shared" si="3"/>
        <v>-561459</v>
      </c>
      <c r="I36" s="39">
        <f t="shared" si="3"/>
        <v>-719361</v>
      </c>
      <c r="J36" s="39">
        <f t="shared" si="3"/>
        <v>-668640</v>
      </c>
      <c r="K36" s="12">
        <f t="shared" si="3"/>
        <v>-825567</v>
      </c>
      <c r="L36" s="12">
        <f t="shared" si="3"/>
        <v>-681388</v>
      </c>
      <c r="M36" s="12">
        <f t="shared" si="3"/>
        <v>-732678</v>
      </c>
      <c r="N36" s="12">
        <f t="shared" si="3"/>
        <v>-656833</v>
      </c>
      <c r="O36" s="12">
        <f t="shared" ref="O36" si="4">SUM(O19:O35)</f>
        <v>-596955</v>
      </c>
      <c r="P36" s="12">
        <f t="shared" si="3"/>
        <v>-827607</v>
      </c>
      <c r="Q36" s="12">
        <f t="shared" ref="Q36:R36" si="5">SUM(Q19:Q35)</f>
        <v>-1006287</v>
      </c>
      <c r="R36" s="12">
        <f t="shared" si="5"/>
        <v>-910429</v>
      </c>
      <c r="S36" s="11">
        <f t="shared" si="3"/>
        <v>-134039</v>
      </c>
      <c r="T36" s="250">
        <f>SUM(T19:T35)</f>
        <v>-1076500</v>
      </c>
      <c r="U36" s="191">
        <f>SUM(U19:U35)</f>
        <v>-1071500</v>
      </c>
      <c r="V36" s="272"/>
      <c r="W36" s="206"/>
    </row>
    <row r="37" spans="1:23" hidden="1" x14ac:dyDescent="0.3">
      <c r="A37" s="7"/>
      <c r="B37" s="41"/>
      <c r="C37" s="41"/>
      <c r="D37" s="41"/>
      <c r="E37" s="39"/>
      <c r="F37" s="39"/>
      <c r="G37" s="39"/>
      <c r="H37" s="39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113"/>
      <c r="T37" s="250"/>
      <c r="U37" s="191"/>
      <c r="W37" s="207"/>
    </row>
    <row r="38" spans="1:23" s="13" customFormat="1" ht="38.25" hidden="1" customHeight="1" x14ac:dyDescent="0.3">
      <c r="A38" s="7" t="s">
        <v>48</v>
      </c>
      <c r="B38" s="39">
        <f t="shared" ref="B38:S38" si="6">+B36+B16</f>
        <v>-24174</v>
      </c>
      <c r="C38" s="39">
        <f t="shared" si="6"/>
        <v>90222</v>
      </c>
      <c r="D38" s="39">
        <f t="shared" si="6"/>
        <v>52801</v>
      </c>
      <c r="E38" s="39">
        <f t="shared" si="6"/>
        <v>61890.859999999957</v>
      </c>
      <c r="F38" s="39">
        <f t="shared" si="6"/>
        <v>65140.510000000009</v>
      </c>
      <c r="G38" s="39">
        <f t="shared" si="6"/>
        <v>-186130</v>
      </c>
      <c r="H38" s="39">
        <f t="shared" si="6"/>
        <v>13716</v>
      </c>
      <c r="I38" s="12">
        <f t="shared" si="6"/>
        <v>8475</v>
      </c>
      <c r="J38" s="12">
        <f t="shared" si="6"/>
        <v>33650</v>
      </c>
      <c r="K38" s="12">
        <f t="shared" si="6"/>
        <v>-90243</v>
      </c>
      <c r="L38" s="12">
        <f t="shared" si="6"/>
        <v>-9760</v>
      </c>
      <c r="M38" s="12">
        <f t="shared" si="6"/>
        <v>-15024</v>
      </c>
      <c r="N38" s="12">
        <f t="shared" si="6"/>
        <v>106700</v>
      </c>
      <c r="O38" s="12">
        <f t="shared" si="6"/>
        <v>104927</v>
      </c>
      <c r="P38" s="12">
        <f t="shared" si="6"/>
        <v>4017</v>
      </c>
      <c r="Q38" s="12">
        <f t="shared" si="6"/>
        <v>-67622</v>
      </c>
      <c r="R38" s="12">
        <f t="shared" si="6"/>
        <v>2288</v>
      </c>
      <c r="S38" s="11">
        <f t="shared" si="6"/>
        <v>178230</v>
      </c>
      <c r="T38" s="250">
        <f>T16+T36</f>
        <v>13000</v>
      </c>
      <c r="U38" s="191">
        <f>U16+U36</f>
        <v>10500</v>
      </c>
      <c r="V38" s="217"/>
      <c r="W38" s="207"/>
    </row>
    <row r="39" spans="1:23" s="13" customFormat="1" hidden="1" x14ac:dyDescent="0.3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1"/>
      <c r="T39" s="250"/>
      <c r="U39" s="191"/>
      <c r="V39" s="217"/>
      <c r="W39" s="207"/>
    </row>
    <row r="40" spans="1:23" s="13" customFormat="1" hidden="1" x14ac:dyDescent="0.3">
      <c r="A40" s="7" t="s">
        <v>1530</v>
      </c>
      <c r="B40" s="39">
        <v>-10000</v>
      </c>
      <c r="C40" s="39">
        <v>-10000</v>
      </c>
      <c r="D40" s="39">
        <v>-10000</v>
      </c>
      <c r="E40" s="39">
        <v>-10000</v>
      </c>
      <c r="F40" s="39">
        <v>-10000</v>
      </c>
      <c r="G40" s="39">
        <v>-14449</v>
      </c>
      <c r="H40" s="39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1">
        <v>0</v>
      </c>
      <c r="T40" s="250">
        <v>0</v>
      </c>
      <c r="U40" s="191">
        <v>0</v>
      </c>
      <c r="V40" s="217"/>
      <c r="W40" s="206"/>
    </row>
    <row r="41" spans="1:23" s="13" customFormat="1" ht="16.2" thickBot="1" x14ac:dyDescent="0.35">
      <c r="A41" s="7"/>
      <c r="B41" s="41"/>
      <c r="C41" s="41"/>
      <c r="D41" s="41"/>
      <c r="E41" s="39"/>
      <c r="F41" s="39"/>
      <c r="G41" s="39"/>
      <c r="H41" s="39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4"/>
      <c r="T41" s="251"/>
      <c r="U41" s="210"/>
      <c r="V41" s="272"/>
      <c r="W41" s="206"/>
    </row>
    <row r="42" spans="1:23" s="13" customFormat="1" ht="16.2" thickBot="1" x14ac:dyDescent="0.35">
      <c r="A42" s="7" t="s">
        <v>2557</v>
      </c>
      <c r="B42" s="39">
        <f t="shared" ref="B42:T42" si="7">+B40+B38</f>
        <v>-34174</v>
      </c>
      <c r="C42" s="39">
        <f t="shared" si="7"/>
        <v>80222</v>
      </c>
      <c r="D42" s="39">
        <f t="shared" si="7"/>
        <v>42801</v>
      </c>
      <c r="E42" s="39">
        <f t="shared" si="7"/>
        <v>51890.859999999957</v>
      </c>
      <c r="F42" s="39">
        <f t="shared" si="7"/>
        <v>55140.510000000009</v>
      </c>
      <c r="G42" s="39">
        <f t="shared" si="7"/>
        <v>-200579</v>
      </c>
      <c r="H42" s="39">
        <f t="shared" si="7"/>
        <v>13716</v>
      </c>
      <c r="I42" s="12">
        <f t="shared" si="7"/>
        <v>8475</v>
      </c>
      <c r="J42" s="12">
        <f>+J40+J38</f>
        <v>33650</v>
      </c>
      <c r="K42" s="12">
        <f t="shared" si="7"/>
        <v>-90243</v>
      </c>
      <c r="L42" s="12">
        <f t="shared" si="7"/>
        <v>-9760</v>
      </c>
      <c r="M42" s="12">
        <f t="shared" si="7"/>
        <v>-15024</v>
      </c>
      <c r="N42" s="12">
        <f t="shared" si="7"/>
        <v>106700</v>
      </c>
      <c r="O42" s="12">
        <f t="shared" si="7"/>
        <v>104927</v>
      </c>
      <c r="P42" s="12">
        <f t="shared" si="7"/>
        <v>4017</v>
      </c>
      <c r="Q42" s="12">
        <f t="shared" si="7"/>
        <v>-67622</v>
      </c>
      <c r="R42" s="12">
        <f t="shared" si="7"/>
        <v>2288</v>
      </c>
      <c r="S42" s="154">
        <f t="shared" si="7"/>
        <v>178230</v>
      </c>
      <c r="T42" s="252">
        <f t="shared" si="7"/>
        <v>13000</v>
      </c>
      <c r="U42" s="192">
        <f>+U40+U38</f>
        <v>10500</v>
      </c>
      <c r="V42" s="217"/>
      <c r="W42" s="208"/>
    </row>
    <row r="43" spans="1:23" s="13" customFormat="1" x14ac:dyDescent="0.3">
      <c r="A43" s="4"/>
      <c r="B43" s="4"/>
      <c r="C43" s="4"/>
      <c r="D43" s="4"/>
      <c r="E43" s="4"/>
      <c r="F43" s="4"/>
      <c r="G43" s="4"/>
      <c r="H43" s="4"/>
      <c r="T43" s="58"/>
      <c r="U43" s="58"/>
      <c r="V43" s="217"/>
      <c r="W43" s="155"/>
    </row>
    <row r="44" spans="1:23" s="13" customFormat="1" x14ac:dyDescent="0.3">
      <c r="A44" s="4"/>
      <c r="B44" s="4"/>
      <c r="C44" s="4"/>
      <c r="D44" s="4"/>
      <c r="E44" s="4"/>
      <c r="F44" s="4"/>
      <c r="G44" s="4"/>
      <c r="H44" s="4"/>
      <c r="Q44" s="281"/>
      <c r="R44" s="281"/>
      <c r="S44" s="1"/>
      <c r="T44" s="278"/>
      <c r="U44" s="1"/>
      <c r="V44" s="282"/>
      <c r="W44" s="157"/>
    </row>
    <row r="45" spans="1:23" x14ac:dyDescent="0.3">
      <c r="O45" s="13"/>
      <c r="Q45" s="281"/>
      <c r="R45" s="281"/>
      <c r="T45" s="278"/>
      <c r="V45" s="282"/>
    </row>
    <row r="46" spans="1:23" x14ac:dyDescent="0.3">
      <c r="Q46" s="281"/>
      <c r="R46" s="281"/>
      <c r="T46" s="278"/>
      <c r="V46" s="282"/>
    </row>
    <row r="47" spans="1:23" x14ac:dyDescent="0.3">
      <c r="Q47" s="281"/>
      <c r="R47" s="281"/>
      <c r="T47" s="278"/>
      <c r="V47" s="282"/>
    </row>
    <row r="48" spans="1:23" x14ac:dyDescent="0.3">
      <c r="Q48" s="283"/>
      <c r="R48" s="283"/>
      <c r="V48" s="284"/>
    </row>
    <row r="49" spans="16:24" x14ac:dyDescent="0.3">
      <c r="Q49" s="285"/>
      <c r="R49" s="285"/>
      <c r="T49" s="281"/>
      <c r="U49" s="4"/>
    </row>
    <row r="50" spans="16:24" s="4" customFormat="1" x14ac:dyDescent="0.3">
      <c r="P50" s="1"/>
      <c r="S50" s="1"/>
      <c r="T50" s="283"/>
      <c r="V50" s="282"/>
      <c r="W50" s="155"/>
      <c r="X50" s="1"/>
    </row>
    <row r="51" spans="16:24" s="4" customFormat="1" x14ac:dyDescent="0.3">
      <c r="S51" s="1"/>
      <c r="T51" s="283"/>
      <c r="V51" s="282"/>
      <c r="W51" s="155"/>
      <c r="X51" s="1"/>
    </row>
    <row r="52" spans="16:24" s="4" customFormat="1" x14ac:dyDescent="0.3">
      <c r="S52" s="1"/>
      <c r="T52" s="283"/>
      <c r="V52" s="282"/>
      <c r="W52" s="155"/>
      <c r="X52" s="1"/>
    </row>
    <row r="53" spans="16:24" s="4" customFormat="1" x14ac:dyDescent="0.3">
      <c r="Q53" s="1"/>
      <c r="R53" s="1"/>
      <c r="S53" s="1"/>
      <c r="T53" s="283"/>
      <c r="U53" s="1"/>
      <c r="V53" s="282"/>
      <c r="W53" s="155"/>
      <c r="X53" s="1"/>
    </row>
    <row r="54" spans="16:24" x14ac:dyDescent="0.3">
      <c r="T54" s="286"/>
      <c r="V54" s="282"/>
    </row>
    <row r="55" spans="16:24" x14ac:dyDescent="0.3">
      <c r="T55" s="286"/>
      <c r="V55" s="282"/>
    </row>
    <row r="56" spans="16:24" x14ac:dyDescent="0.3">
      <c r="V56" s="282"/>
    </row>
    <row r="57" spans="16:24" x14ac:dyDescent="0.3">
      <c r="V57" s="282"/>
    </row>
    <row r="58" spans="16:24" x14ac:dyDescent="0.3">
      <c r="V58" s="284"/>
    </row>
  </sheetData>
  <mergeCells count="2">
    <mergeCell ref="K1:M1"/>
    <mergeCell ref="O1:P1"/>
  </mergeCells>
  <pageMargins left="0.7" right="0.7" top="0.75" bottom="0.75" header="0.3" footer="0.3"/>
  <pageSetup paperSize="9" scale="58" orientation="landscape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-0.249977111117893"/>
    <pageSetUpPr fitToPage="1"/>
  </sheetPr>
  <dimension ref="A1:P52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L9" sqref="L9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1" width="16.44140625" style="1" customWidth="1"/>
    <col min="12" max="13" width="18.5546875" style="1" customWidth="1"/>
    <col min="14" max="14" width="27" style="196" customWidth="1"/>
    <col min="15" max="15" width="12" style="155" customWidth="1"/>
    <col min="16" max="16384" width="9.109375" style="1"/>
  </cols>
  <sheetData>
    <row r="1" spans="1:15" ht="31.8" thickBot="1" x14ac:dyDescent="0.65">
      <c r="A1" s="211" t="s">
        <v>486</v>
      </c>
      <c r="C1" s="224"/>
      <c r="D1" s="224"/>
      <c r="E1" s="295" t="s">
        <v>487</v>
      </c>
      <c r="F1" s="295"/>
      <c r="G1" s="295"/>
    </row>
    <row r="2" spans="1:15" ht="16.2" thickBot="1" x14ac:dyDescent="0.35"/>
    <row r="3" spans="1:15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227">
        <v>2017</v>
      </c>
      <c r="L3" s="253" t="s">
        <v>809</v>
      </c>
      <c r="M3" s="240" t="s">
        <v>2435</v>
      </c>
      <c r="N3" s="156"/>
      <c r="O3" s="156"/>
    </row>
    <row r="4" spans="1:15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110">
        <v>42944</v>
      </c>
      <c r="L4" s="110">
        <v>43100</v>
      </c>
      <c r="M4" s="209"/>
      <c r="N4" s="156"/>
      <c r="O4" s="156"/>
    </row>
    <row r="5" spans="1:15" ht="16.2" thickBot="1" x14ac:dyDescent="0.35">
      <c r="A5" s="32" t="s">
        <v>19</v>
      </c>
      <c r="B5" s="10"/>
      <c r="C5" s="7"/>
      <c r="D5" s="7"/>
      <c r="I5" s="4"/>
      <c r="J5" s="4"/>
      <c r="K5" s="237"/>
      <c r="L5" s="111"/>
      <c r="M5" s="8"/>
      <c r="N5" s="155"/>
    </row>
    <row r="6" spans="1:15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9">
        <v>78711</v>
      </c>
      <c r="L6" s="249">
        <v>210000</v>
      </c>
      <c r="M6" s="190">
        <v>210000</v>
      </c>
      <c r="N6" s="217" t="s">
        <v>2436</v>
      </c>
    </row>
    <row r="7" spans="1:15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9">
        <v>124550</v>
      </c>
      <c r="L7" s="249">
        <v>125000</v>
      </c>
      <c r="M7" s="190">
        <v>110000</v>
      </c>
      <c r="N7" s="236" t="s">
        <v>2447</v>
      </c>
    </row>
    <row r="8" spans="1:15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9">
        <v>52675</v>
      </c>
      <c r="L8" s="249">
        <v>80000</v>
      </c>
      <c r="M8" s="190">
        <v>80000</v>
      </c>
      <c r="N8" s="155"/>
    </row>
    <row r="9" spans="1:15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9">
        <v>13700</v>
      </c>
      <c r="L9" s="249">
        <v>20000</v>
      </c>
      <c r="M9" s="190">
        <v>25000</v>
      </c>
      <c r="N9" s="217" t="s">
        <v>2442</v>
      </c>
    </row>
    <row r="10" spans="1:15" ht="21.6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9">
        <v>78797</v>
      </c>
      <c r="L10" s="249">
        <v>100000</v>
      </c>
      <c r="M10" s="190">
        <v>50000</v>
      </c>
      <c r="N10" s="217" t="s">
        <v>2446</v>
      </c>
    </row>
    <row r="11" spans="1:15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9">
        <v>85200</v>
      </c>
      <c r="L11" s="249">
        <v>85200</v>
      </c>
      <c r="M11" s="190">
        <v>90000</v>
      </c>
      <c r="N11" s="155"/>
    </row>
    <row r="12" spans="1:15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9">
        <v>0</v>
      </c>
      <c r="L12" s="249">
        <v>0</v>
      </c>
      <c r="M12" s="190">
        <v>0</v>
      </c>
      <c r="N12" s="155"/>
    </row>
    <row r="13" spans="1:15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9">
        <v>0</v>
      </c>
      <c r="L13" s="249">
        <v>0</v>
      </c>
      <c r="M13" s="190">
        <v>0</v>
      </c>
      <c r="N13" s="155"/>
    </row>
    <row r="14" spans="1:15" ht="21.6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9">
        <v>12607</v>
      </c>
      <c r="L14" s="249">
        <v>20000</v>
      </c>
      <c r="M14" s="190">
        <v>15000</v>
      </c>
      <c r="N14" s="217" t="s">
        <v>2444</v>
      </c>
    </row>
    <row r="15" spans="1:15" x14ac:dyDescent="0.3">
      <c r="A15" s="7" t="s">
        <v>29</v>
      </c>
      <c r="B15" s="39">
        <f t="shared" ref="B15:M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1">
        <f t="shared" si="0"/>
        <v>446240</v>
      </c>
      <c r="L15" s="250">
        <f t="shared" ref="L15" si="2">SUM(L6:L14)</f>
        <v>640200</v>
      </c>
      <c r="M15" s="191">
        <f t="shared" si="0"/>
        <v>580000</v>
      </c>
      <c r="N15" s="155"/>
    </row>
    <row r="16" spans="1:15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K16" s="111"/>
      <c r="L16" s="249"/>
      <c r="M16" s="190"/>
      <c r="N16" s="155"/>
    </row>
    <row r="17" spans="1:16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K17" s="112"/>
      <c r="L17" s="249"/>
      <c r="M17" s="190"/>
      <c r="N17" s="159"/>
      <c r="O17" s="159"/>
    </row>
    <row r="18" spans="1:16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9">
        <v>-67244</v>
      </c>
      <c r="L18" s="249">
        <v>-120000</v>
      </c>
      <c r="M18" s="190">
        <v>-120000</v>
      </c>
      <c r="N18" s="155"/>
      <c r="O18" s="197"/>
      <c r="P18" s="55"/>
    </row>
    <row r="19" spans="1:16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9">
        <v>-196810</v>
      </c>
      <c r="L19" s="249">
        <v>-220000</v>
      </c>
      <c r="M19" s="190">
        <v>-150000</v>
      </c>
      <c r="N19" s="157" t="s">
        <v>2439</v>
      </c>
      <c r="O19" s="197"/>
    </row>
    <row r="20" spans="1:16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9">
        <v>-17887</v>
      </c>
      <c r="L20" s="249">
        <v>-25000</v>
      </c>
      <c r="M20" s="190">
        <v>-10000</v>
      </c>
      <c r="N20" s="157" t="s">
        <v>1603</v>
      </c>
      <c r="O20" s="197"/>
    </row>
    <row r="21" spans="1:16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9">
        <v>-5080</v>
      </c>
      <c r="L21" s="249">
        <v>-20000</v>
      </c>
      <c r="M21" s="190">
        <v>-40000</v>
      </c>
      <c r="N21" s="155"/>
      <c r="O21" s="197"/>
    </row>
    <row r="22" spans="1:16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9">
        <v>-17065</v>
      </c>
      <c r="L22" s="249">
        <v>-23000</v>
      </c>
      <c r="M22" s="190">
        <v>-15000</v>
      </c>
      <c r="N22" s="155"/>
      <c r="O22" s="197"/>
    </row>
    <row r="23" spans="1:16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9">
        <v>-32331</v>
      </c>
      <c r="L23" s="249">
        <v>-75000</v>
      </c>
      <c r="M23" s="190">
        <v>-75000</v>
      </c>
      <c r="N23" s="157" t="s">
        <v>1352</v>
      </c>
      <c r="O23" s="197"/>
    </row>
    <row r="24" spans="1:16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9">
        <v>0</v>
      </c>
      <c r="L24" s="249">
        <v>-3000</v>
      </c>
      <c r="M24" s="190">
        <v>-4000</v>
      </c>
      <c r="N24" s="155"/>
      <c r="O24" s="197"/>
    </row>
    <row r="25" spans="1:1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9">
        <v>-19550</v>
      </c>
      <c r="L25" s="249">
        <v>-25000</v>
      </c>
      <c r="M25" s="190">
        <v>-25000</v>
      </c>
      <c r="N25" s="157"/>
      <c r="O25" s="197"/>
    </row>
    <row r="26" spans="1:16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9">
        <v>-21500</v>
      </c>
      <c r="L26" s="249">
        <v>-30000</v>
      </c>
      <c r="M26" s="190">
        <v>-30000</v>
      </c>
      <c r="N26" s="157" t="s">
        <v>2440</v>
      </c>
      <c r="O26" s="197"/>
    </row>
    <row r="27" spans="1:16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9">
        <v>-7200</v>
      </c>
      <c r="L27" s="249">
        <v>-15000</v>
      </c>
      <c r="M27" s="190">
        <v>-15000</v>
      </c>
      <c r="N27" s="155"/>
      <c r="O27" s="197"/>
    </row>
    <row r="28" spans="1:16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9">
        <v>-19400</v>
      </c>
      <c r="L28" s="249">
        <v>-40000</v>
      </c>
      <c r="M28" s="190">
        <v>-20000</v>
      </c>
      <c r="N28" s="157" t="s">
        <v>2445</v>
      </c>
      <c r="O28" s="197"/>
    </row>
    <row r="29" spans="1:16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9">
        <v>-5000</v>
      </c>
      <c r="L29" s="249">
        <v>-5000</v>
      </c>
      <c r="M29" s="190">
        <v>-5000</v>
      </c>
      <c r="N29" s="157" t="s">
        <v>2445</v>
      </c>
    </row>
    <row r="30" spans="1:16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9">
        <v>-500</v>
      </c>
      <c r="L30" s="249">
        <v>-1000</v>
      </c>
      <c r="M30" s="190">
        <v>-2000</v>
      </c>
      <c r="N30" s="157"/>
    </row>
    <row r="31" spans="1:16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9">
        <v>-51400</v>
      </c>
      <c r="L31" s="249">
        <v>-85000</v>
      </c>
      <c r="M31" s="190">
        <v>-90000</v>
      </c>
      <c r="N31" s="155"/>
      <c r="O31" s="197"/>
    </row>
    <row r="32" spans="1:16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9">
        <v>0</v>
      </c>
      <c r="L32" s="249">
        <v>0</v>
      </c>
      <c r="M32" s="190">
        <v>0</v>
      </c>
      <c r="N32" s="155"/>
      <c r="O32" s="197"/>
    </row>
    <row r="33" spans="1:16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9">
        <v>-11110</v>
      </c>
      <c r="L33" s="249">
        <v>-15000</v>
      </c>
      <c r="M33" s="190">
        <v>-5000</v>
      </c>
      <c r="N33" s="155"/>
      <c r="O33" s="197"/>
    </row>
    <row r="34" spans="1:16" x14ac:dyDescent="0.3">
      <c r="A34" s="7" t="s">
        <v>47</v>
      </c>
      <c r="B34" s="39">
        <f>SUM(B18:B33)</f>
        <v>-218877</v>
      </c>
      <c r="C34" s="39">
        <f t="shared" ref="C34:H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>SUM(I18:I33)</f>
        <v>-618159</v>
      </c>
      <c r="J34" s="39">
        <f>SUM(J18:J33)</f>
        <v>-584733</v>
      </c>
      <c r="K34" s="11">
        <f>SUM(K18:K33)</f>
        <v>-472077</v>
      </c>
      <c r="L34" s="250">
        <f>SUM(L18:L33)</f>
        <v>-702000</v>
      </c>
      <c r="M34" s="191">
        <f>SUM(M18:M33)</f>
        <v>-606000</v>
      </c>
      <c r="N34" s="205"/>
      <c r="O34" s="206"/>
    </row>
    <row r="35" spans="1:16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113"/>
      <c r="L35" s="250"/>
      <c r="M35" s="191"/>
      <c r="N35" s="158"/>
      <c r="O35" s="207"/>
    </row>
    <row r="36" spans="1:16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1">
        <f t="shared" si="4"/>
        <v>-25837</v>
      </c>
      <c r="L36" s="250">
        <f>L15+L34</f>
        <v>-61800</v>
      </c>
      <c r="M36" s="191">
        <f>M15+M34</f>
        <v>-26000</v>
      </c>
      <c r="N36" s="158"/>
      <c r="O36" s="207"/>
    </row>
    <row r="37" spans="1:16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1"/>
      <c r="L37" s="250"/>
      <c r="M37" s="191"/>
      <c r="N37" s="158"/>
      <c r="O37" s="207"/>
    </row>
    <row r="38" spans="1:16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1">
        <v>0</v>
      </c>
      <c r="L38" s="250">
        <v>0</v>
      </c>
      <c r="M38" s="191">
        <v>0</v>
      </c>
      <c r="N38" s="155"/>
      <c r="O38" s="206"/>
    </row>
    <row r="39" spans="1:16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1"/>
      <c r="L39" s="251"/>
      <c r="M39" s="210"/>
      <c r="N39" s="205"/>
      <c r="O39" s="206"/>
    </row>
    <row r="40" spans="1:16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54">
        <f t="shared" si="5"/>
        <v>-25837</v>
      </c>
      <c r="L40" s="252">
        <f>+L38+L36</f>
        <v>-61800</v>
      </c>
      <c r="M40" s="192">
        <f>+M38+M36</f>
        <v>-26000</v>
      </c>
      <c r="N40" s="155"/>
      <c r="O40" s="208"/>
    </row>
    <row r="41" spans="1:16" s="13" customFormat="1" x14ac:dyDescent="0.3">
      <c r="A41" s="4"/>
      <c r="B41" s="4"/>
      <c r="C41" s="4"/>
      <c r="D41" s="4"/>
      <c r="E41" s="4"/>
      <c r="F41" s="4"/>
      <c r="G41" s="4"/>
      <c r="H41" s="4"/>
      <c r="L41" s="58"/>
      <c r="M41" s="58"/>
      <c r="N41" s="196"/>
      <c r="O41" s="155"/>
    </row>
    <row r="43" spans="1:16" x14ac:dyDescent="0.3">
      <c r="L43" s="99"/>
    </row>
    <row r="44" spans="1:16" x14ac:dyDescent="0.3">
      <c r="L44" s="222"/>
    </row>
    <row r="45" spans="1:16" x14ac:dyDescent="0.3">
      <c r="L45" s="207"/>
    </row>
    <row r="46" spans="1:16" x14ac:dyDescent="0.3">
      <c r="L46" s="222"/>
    </row>
    <row r="47" spans="1:16" s="4" customFormat="1" x14ac:dyDescent="0.3">
      <c r="L47" s="99"/>
      <c r="N47" s="196"/>
      <c r="O47" s="155"/>
      <c r="P47" s="1"/>
    </row>
    <row r="48" spans="1:16" s="4" customFormat="1" x14ac:dyDescent="0.3">
      <c r="L48" s="99"/>
      <c r="N48" s="196"/>
      <c r="O48" s="155"/>
      <c r="P48" s="1"/>
    </row>
    <row r="49" spans="12:16" s="4" customFormat="1" x14ac:dyDescent="0.3">
      <c r="L49" s="99"/>
      <c r="N49" s="196"/>
      <c r="O49" s="155"/>
      <c r="P49" s="1"/>
    </row>
    <row r="50" spans="12:16" s="4" customFormat="1" x14ac:dyDescent="0.3">
      <c r="L50" s="99"/>
      <c r="N50" s="196"/>
      <c r="O50" s="155"/>
      <c r="P50" s="1"/>
    </row>
    <row r="51" spans="12:16" x14ac:dyDescent="0.3">
      <c r="L51" s="99"/>
    </row>
    <row r="52" spans="12:16" x14ac:dyDescent="0.3">
      <c r="L52" s="223"/>
    </row>
  </sheetData>
  <mergeCells count="1">
    <mergeCell ref="E1:G1"/>
  </mergeCells>
  <pageMargins left="0.7" right="0.7" top="0.75" bottom="0.75" header="0.3" footer="0.3"/>
  <pageSetup paperSize="9" scale="62" orientation="landscape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-0.249977111117893"/>
    <pageSetUpPr fitToPage="1"/>
  </sheetPr>
  <dimension ref="A1:P52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bestFit="1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1" width="16.44140625" style="1" customWidth="1"/>
    <col min="12" max="13" width="18.5546875" style="1" bestFit="1" customWidth="1"/>
    <col min="14" max="14" width="27" style="196" customWidth="1"/>
    <col min="15" max="15" width="12" style="155" customWidth="1"/>
    <col min="16" max="16384" width="9.109375" style="1"/>
  </cols>
  <sheetData>
    <row r="1" spans="1:15" ht="31.8" thickBot="1" x14ac:dyDescent="0.65">
      <c r="A1" s="211" t="s">
        <v>486</v>
      </c>
      <c r="C1" s="224"/>
      <c r="D1" s="224"/>
      <c r="E1" s="295" t="s">
        <v>487</v>
      </c>
      <c r="F1" s="295"/>
      <c r="G1" s="295"/>
    </row>
    <row r="2" spans="1:15" ht="16.2" thickBot="1" x14ac:dyDescent="0.35"/>
    <row r="3" spans="1:15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227">
        <v>2017</v>
      </c>
      <c r="L3" s="253" t="s">
        <v>809</v>
      </c>
      <c r="M3" s="240" t="s">
        <v>2435</v>
      </c>
      <c r="N3" s="156"/>
      <c r="O3" s="156"/>
    </row>
    <row r="4" spans="1:15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110">
        <v>42870</v>
      </c>
      <c r="L4" s="110">
        <v>43100</v>
      </c>
      <c r="M4" s="209"/>
      <c r="N4" s="156"/>
      <c r="O4" s="156"/>
    </row>
    <row r="5" spans="1:15" ht="16.2" thickBot="1" x14ac:dyDescent="0.35">
      <c r="A5" s="32" t="s">
        <v>19</v>
      </c>
      <c r="B5" s="10"/>
      <c r="C5" s="7"/>
      <c r="D5" s="7"/>
      <c r="I5" s="4"/>
      <c r="J5" s="4"/>
      <c r="K5" s="237"/>
      <c r="L5" s="111"/>
      <c r="M5" s="8"/>
      <c r="N5" s="155"/>
    </row>
    <row r="6" spans="1:15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9">
        <v>78711</v>
      </c>
      <c r="L6" s="249">
        <v>210000</v>
      </c>
      <c r="M6" s="190">
        <v>210000</v>
      </c>
      <c r="N6" s="217" t="s">
        <v>2436</v>
      </c>
    </row>
    <row r="7" spans="1:15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9">
        <v>79750</v>
      </c>
      <c r="L7" s="249">
        <v>110000</v>
      </c>
      <c r="M7" s="190">
        <v>110000</v>
      </c>
      <c r="N7" s="236" t="s">
        <v>2441</v>
      </c>
    </row>
    <row r="8" spans="1:15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9">
        <v>7014</v>
      </c>
      <c r="L8" s="249">
        <v>80000</v>
      </c>
      <c r="M8" s="190">
        <v>80000</v>
      </c>
      <c r="N8" s="155"/>
    </row>
    <row r="9" spans="1:15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9">
        <v>13700</v>
      </c>
      <c r="L9" s="249">
        <v>25000</v>
      </c>
      <c r="M9" s="190">
        <v>25000</v>
      </c>
      <c r="N9" s="217" t="s">
        <v>2442</v>
      </c>
    </row>
    <row r="10" spans="1:15" ht="21.6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9">
        <v>69897</v>
      </c>
      <c r="L10" s="249">
        <v>80000</v>
      </c>
      <c r="M10" s="190">
        <v>50000</v>
      </c>
      <c r="N10" s="217" t="s">
        <v>2443</v>
      </c>
    </row>
    <row r="11" spans="1:15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9">
        <v>0</v>
      </c>
      <c r="L11" s="249">
        <v>90000</v>
      </c>
      <c r="M11" s="190">
        <v>90000</v>
      </c>
      <c r="N11" s="155"/>
    </row>
    <row r="12" spans="1:15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9">
        <v>0</v>
      </c>
      <c r="L12" s="249">
        <v>0</v>
      </c>
      <c r="M12" s="190">
        <v>0</v>
      </c>
      <c r="N12" s="155"/>
    </row>
    <row r="13" spans="1:15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9">
        <v>0</v>
      </c>
      <c r="L13" s="249">
        <v>0</v>
      </c>
      <c r="M13" s="190">
        <v>0</v>
      </c>
      <c r="N13" s="155"/>
    </row>
    <row r="14" spans="1:15" ht="21.6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9">
        <v>10215</v>
      </c>
      <c r="L14" s="249">
        <v>20000</v>
      </c>
      <c r="M14" s="190">
        <v>15000</v>
      </c>
      <c r="N14" s="217" t="s">
        <v>2444</v>
      </c>
    </row>
    <row r="15" spans="1:15" x14ac:dyDescent="0.3">
      <c r="A15" s="7" t="s">
        <v>29</v>
      </c>
      <c r="B15" s="39">
        <f t="shared" ref="B15:M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1">
        <f t="shared" si="0"/>
        <v>259287</v>
      </c>
      <c r="L15" s="250">
        <f t="shared" ref="L15" si="2">SUM(L6:L14)</f>
        <v>615000</v>
      </c>
      <c r="M15" s="191">
        <f t="shared" si="0"/>
        <v>580000</v>
      </c>
      <c r="N15" s="155"/>
    </row>
    <row r="16" spans="1:15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K16" s="111"/>
      <c r="L16" s="249"/>
      <c r="M16" s="190"/>
      <c r="N16" s="155"/>
    </row>
    <row r="17" spans="1:16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K17" s="112"/>
      <c r="L17" s="249"/>
      <c r="M17" s="190"/>
      <c r="N17" s="159"/>
      <c r="O17" s="159"/>
    </row>
    <row r="18" spans="1:16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9">
        <v>-35487</v>
      </c>
      <c r="L18" s="249">
        <v>-120000</v>
      </c>
      <c r="M18" s="190">
        <v>-120000</v>
      </c>
      <c r="N18" s="155"/>
      <c r="O18" s="197"/>
      <c r="P18" s="55"/>
    </row>
    <row r="19" spans="1:16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9">
        <v>-74369</v>
      </c>
      <c r="L19" s="249">
        <v>-170000</v>
      </c>
      <c r="M19" s="190">
        <v>-150000</v>
      </c>
      <c r="N19" s="157" t="s">
        <v>2439</v>
      </c>
      <c r="O19" s="197"/>
    </row>
    <row r="20" spans="1:16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9">
        <v>-6579</v>
      </c>
      <c r="L20" s="249">
        <v>-10000</v>
      </c>
      <c r="M20" s="190">
        <v>-10000</v>
      </c>
      <c r="N20" s="157" t="s">
        <v>1603</v>
      </c>
      <c r="O20" s="197"/>
    </row>
    <row r="21" spans="1:16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9">
        <v>-5080</v>
      </c>
      <c r="L21" s="249">
        <v>-40000</v>
      </c>
      <c r="M21" s="190">
        <v>-40000</v>
      </c>
      <c r="N21" s="155"/>
      <c r="O21" s="197"/>
    </row>
    <row r="22" spans="1:16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9">
        <v>-9065</v>
      </c>
      <c r="L22" s="249">
        <v>-15000</v>
      </c>
      <c r="M22" s="190">
        <v>-15000</v>
      </c>
      <c r="N22" s="155"/>
      <c r="O22" s="197"/>
    </row>
    <row r="23" spans="1:16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9">
        <v>-14658</v>
      </c>
      <c r="L23" s="249">
        <v>-75000</v>
      </c>
      <c r="M23" s="190">
        <v>-75000</v>
      </c>
      <c r="N23" s="157" t="s">
        <v>1352</v>
      </c>
      <c r="O23" s="197"/>
    </row>
    <row r="24" spans="1:16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9">
        <v>0</v>
      </c>
      <c r="L24" s="249">
        <v>-4000</v>
      </c>
      <c r="M24" s="190">
        <v>-4000</v>
      </c>
      <c r="N24" s="155"/>
      <c r="O24" s="197"/>
    </row>
    <row r="25" spans="1:1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9">
        <v>-10800</v>
      </c>
      <c r="L25" s="249">
        <v>-25000</v>
      </c>
      <c r="M25" s="190">
        <v>-25000</v>
      </c>
      <c r="N25" s="157"/>
      <c r="O25" s="197"/>
    </row>
    <row r="26" spans="1:16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9">
        <v>-21500</v>
      </c>
      <c r="L26" s="249">
        <v>-30000</v>
      </c>
      <c r="M26" s="190">
        <v>-30000</v>
      </c>
      <c r="N26" s="157" t="s">
        <v>2440</v>
      </c>
      <c r="O26" s="197"/>
    </row>
    <row r="27" spans="1:16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9">
        <v>0</v>
      </c>
      <c r="L27" s="249">
        <v>-15000</v>
      </c>
      <c r="M27" s="190">
        <v>-15000</v>
      </c>
      <c r="N27" s="155"/>
      <c r="O27" s="197"/>
    </row>
    <row r="28" spans="1:16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9">
        <v>0</v>
      </c>
      <c r="L28" s="249">
        <v>-20000</v>
      </c>
      <c r="M28" s="190">
        <v>-20000</v>
      </c>
      <c r="N28" s="157" t="s">
        <v>2445</v>
      </c>
      <c r="O28" s="197"/>
    </row>
    <row r="29" spans="1:16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9">
        <v>0</v>
      </c>
      <c r="L29" s="249">
        <v>-5000</v>
      </c>
      <c r="M29" s="190">
        <v>-5000</v>
      </c>
      <c r="N29" s="157" t="s">
        <v>2445</v>
      </c>
    </row>
    <row r="30" spans="1:16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9">
        <v>-500</v>
      </c>
      <c r="L30" s="249">
        <v>-2000</v>
      </c>
      <c r="M30" s="190">
        <v>-2000</v>
      </c>
      <c r="N30" s="157"/>
    </row>
    <row r="31" spans="1:16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9">
        <v>0</v>
      </c>
      <c r="L31" s="249">
        <v>-90000</v>
      </c>
      <c r="M31" s="190">
        <v>-90000</v>
      </c>
      <c r="N31" s="155"/>
      <c r="O31" s="197"/>
    </row>
    <row r="32" spans="1:16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9">
        <v>0</v>
      </c>
      <c r="L32" s="249">
        <v>0</v>
      </c>
      <c r="M32" s="190">
        <v>0</v>
      </c>
      <c r="N32" s="155"/>
      <c r="O32" s="197"/>
    </row>
    <row r="33" spans="1:16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9">
        <v>-10697</v>
      </c>
      <c r="L33" s="249">
        <v>-15000</v>
      </c>
      <c r="M33" s="190">
        <v>-5000</v>
      </c>
      <c r="N33" s="155"/>
      <c r="O33" s="197"/>
    </row>
    <row r="34" spans="1:16" x14ac:dyDescent="0.3">
      <c r="A34" s="7" t="s">
        <v>47</v>
      </c>
      <c r="B34" s="39">
        <f>SUM(B18:B33)</f>
        <v>-218877</v>
      </c>
      <c r="C34" s="39">
        <f t="shared" ref="C34:H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>SUM(I18:I33)</f>
        <v>-618159</v>
      </c>
      <c r="J34" s="39">
        <f>SUM(J18:J33)</f>
        <v>-584733</v>
      </c>
      <c r="K34" s="11">
        <f>SUM(K18:K33)</f>
        <v>-188735</v>
      </c>
      <c r="L34" s="250">
        <f>SUM(L18:L33)</f>
        <v>-636000</v>
      </c>
      <c r="M34" s="191">
        <f>SUM(M18:M33)</f>
        <v>-606000</v>
      </c>
      <c r="N34" s="205"/>
      <c r="O34" s="206"/>
    </row>
    <row r="35" spans="1:16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113"/>
      <c r="L35" s="250"/>
      <c r="M35" s="191"/>
      <c r="N35" s="158"/>
      <c r="O35" s="207"/>
    </row>
    <row r="36" spans="1:16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1">
        <f t="shared" si="4"/>
        <v>70552</v>
      </c>
      <c r="L36" s="250">
        <f>L15+L34</f>
        <v>-21000</v>
      </c>
      <c r="M36" s="191">
        <f>M15+M34</f>
        <v>-26000</v>
      </c>
      <c r="N36" s="158"/>
      <c r="O36" s="207"/>
    </row>
    <row r="37" spans="1:16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1"/>
      <c r="L37" s="250"/>
      <c r="M37" s="191"/>
      <c r="N37" s="158"/>
      <c r="O37" s="207"/>
    </row>
    <row r="38" spans="1:16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1">
        <v>0</v>
      </c>
      <c r="L38" s="250">
        <v>0</v>
      </c>
      <c r="M38" s="191">
        <v>0</v>
      </c>
      <c r="N38" s="155"/>
      <c r="O38" s="206"/>
    </row>
    <row r="39" spans="1:16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1"/>
      <c r="L39" s="251"/>
      <c r="M39" s="210"/>
      <c r="N39" s="205"/>
      <c r="O39" s="206"/>
    </row>
    <row r="40" spans="1:16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54">
        <f t="shared" si="5"/>
        <v>70552</v>
      </c>
      <c r="L40" s="252">
        <f>+L38+L36</f>
        <v>-21000</v>
      </c>
      <c r="M40" s="192">
        <f>+M38+M36</f>
        <v>-26000</v>
      </c>
      <c r="N40" s="155"/>
      <c r="O40" s="208"/>
    </row>
    <row r="41" spans="1:16" s="13" customFormat="1" x14ac:dyDescent="0.3">
      <c r="A41" s="4"/>
      <c r="B41" s="4"/>
      <c r="C41" s="4"/>
      <c r="D41" s="4"/>
      <c r="E41" s="4"/>
      <c r="F41" s="4"/>
      <c r="G41" s="4"/>
      <c r="H41" s="4"/>
      <c r="L41" s="58"/>
      <c r="M41" s="58"/>
      <c r="N41" s="196"/>
      <c r="O41" s="155"/>
    </row>
    <row r="43" spans="1:16" x14ac:dyDescent="0.3">
      <c r="L43" s="99"/>
    </row>
    <row r="44" spans="1:16" x14ac:dyDescent="0.3">
      <c r="L44" s="222"/>
    </row>
    <row r="45" spans="1:16" x14ac:dyDescent="0.3">
      <c r="L45" s="207"/>
    </row>
    <row r="46" spans="1:16" x14ac:dyDescent="0.3">
      <c r="L46" s="222"/>
    </row>
    <row r="47" spans="1:16" s="4" customFormat="1" x14ac:dyDescent="0.3">
      <c r="L47" s="99"/>
      <c r="N47" s="196"/>
      <c r="O47" s="155"/>
      <c r="P47" s="1"/>
    </row>
    <row r="48" spans="1:16" s="4" customFormat="1" x14ac:dyDescent="0.3">
      <c r="L48" s="99"/>
      <c r="N48" s="196"/>
      <c r="O48" s="155"/>
      <c r="P48" s="1"/>
    </row>
    <row r="49" spans="12:16" s="4" customFormat="1" x14ac:dyDescent="0.3">
      <c r="L49" s="99"/>
      <c r="N49" s="196"/>
      <c r="O49" s="155"/>
      <c r="P49" s="1"/>
    </row>
    <row r="50" spans="12:16" s="4" customFormat="1" x14ac:dyDescent="0.3">
      <c r="L50" s="99"/>
      <c r="N50" s="196"/>
      <c r="O50" s="155"/>
      <c r="P50" s="1"/>
    </row>
    <row r="51" spans="12:16" x14ac:dyDescent="0.3">
      <c r="L51" s="99"/>
    </row>
    <row r="52" spans="12:16" x14ac:dyDescent="0.3">
      <c r="L52" s="223"/>
    </row>
  </sheetData>
  <mergeCells count="1">
    <mergeCell ref="E1:G1"/>
  </mergeCells>
  <pageMargins left="0.7" right="0.7" top="0.75" bottom="0.75" header="0.3" footer="0.3"/>
  <pageSetup paperSize="9" scale="62" orientation="landscape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-0.249977111117893"/>
    <pageSetUpPr fitToPage="1"/>
  </sheetPr>
  <dimension ref="A1:P52"/>
  <sheetViews>
    <sheetView zoomScale="90" zoomScaleNormal="90" workbookViewId="0">
      <pane xSplit="1" ySplit="3" topLeftCell="F4" activePane="bottomRight" state="frozen"/>
      <selection pane="topRight" activeCell="B1" sqref="B1"/>
      <selection pane="bottomLeft" activeCell="A4" sqref="A4"/>
      <selection pane="bottomRight" activeCell="K4" sqref="K4"/>
    </sheetView>
  </sheetViews>
  <sheetFormatPr defaultColWidth="9.109375" defaultRowHeight="15.6" x14ac:dyDescent="0.3"/>
  <cols>
    <col min="1" max="1" width="30.6640625" style="4" bestFit="1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1" width="16.44140625" style="1" customWidth="1"/>
    <col min="12" max="13" width="18.5546875" style="1" bestFit="1" customWidth="1"/>
    <col min="14" max="14" width="27" style="196" customWidth="1"/>
    <col min="15" max="15" width="12" style="155" customWidth="1"/>
    <col min="16" max="16384" width="9.109375" style="1"/>
  </cols>
  <sheetData>
    <row r="1" spans="1:15" ht="31.8" thickBot="1" x14ac:dyDescent="0.65">
      <c r="A1" s="211" t="s">
        <v>486</v>
      </c>
      <c r="C1" s="224"/>
      <c r="D1" s="224"/>
      <c r="E1" s="295" t="s">
        <v>487</v>
      </c>
      <c r="F1" s="295"/>
      <c r="G1" s="295"/>
    </row>
    <row r="2" spans="1:15" ht="16.2" thickBot="1" x14ac:dyDescent="0.35"/>
    <row r="3" spans="1:15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227">
        <v>2017</v>
      </c>
      <c r="L3" s="253" t="s">
        <v>809</v>
      </c>
      <c r="M3" s="240" t="s">
        <v>2435</v>
      </c>
      <c r="N3" s="156"/>
      <c r="O3" s="156"/>
    </row>
    <row r="4" spans="1:15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110">
        <v>42814</v>
      </c>
      <c r="L4" s="110">
        <v>43100</v>
      </c>
      <c r="M4" s="209"/>
      <c r="N4" s="156"/>
      <c r="O4" s="156"/>
    </row>
    <row r="5" spans="1:15" ht="16.2" thickBot="1" x14ac:dyDescent="0.35">
      <c r="A5" s="32" t="s">
        <v>19</v>
      </c>
      <c r="B5" s="10"/>
      <c r="C5" s="7"/>
      <c r="D5" s="7"/>
      <c r="I5" s="4"/>
      <c r="J5" s="4"/>
      <c r="K5" s="237"/>
      <c r="L5" s="111"/>
      <c r="M5" s="8"/>
      <c r="N5" s="155"/>
    </row>
    <row r="6" spans="1:15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9">
        <v>51932</v>
      </c>
      <c r="L6" s="249">
        <v>210000</v>
      </c>
      <c r="M6" s="190">
        <v>210000</v>
      </c>
      <c r="N6" s="217" t="s">
        <v>2436</v>
      </c>
    </row>
    <row r="7" spans="1:15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9">
        <v>0</v>
      </c>
      <c r="L7" s="249">
        <v>110000</v>
      </c>
      <c r="M7" s="190">
        <v>110000</v>
      </c>
      <c r="N7" s="236" t="s">
        <v>2437</v>
      </c>
    </row>
    <row r="8" spans="1:15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9">
        <v>4291</v>
      </c>
      <c r="L8" s="249">
        <v>80000</v>
      </c>
      <c r="M8" s="190">
        <v>80000</v>
      </c>
      <c r="N8" s="155"/>
    </row>
    <row r="9" spans="1:15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9">
        <v>8660</v>
      </c>
      <c r="L9" s="249">
        <v>25000</v>
      </c>
      <c r="M9" s="190">
        <v>25000</v>
      </c>
      <c r="N9" s="217"/>
    </row>
    <row r="10" spans="1:15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9">
        <v>34000</v>
      </c>
      <c r="L10" s="249">
        <v>75000</v>
      </c>
      <c r="M10" s="190">
        <v>50000</v>
      </c>
      <c r="N10" s="217"/>
    </row>
    <row r="11" spans="1:15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9">
        <v>0</v>
      </c>
      <c r="L11" s="249">
        <v>90000</v>
      </c>
      <c r="M11" s="190">
        <v>90000</v>
      </c>
      <c r="N11" s="155"/>
    </row>
    <row r="12" spans="1:15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9">
        <v>0</v>
      </c>
      <c r="L12" s="249">
        <v>0</v>
      </c>
      <c r="M12" s="190">
        <v>0</v>
      </c>
      <c r="N12" s="155"/>
    </row>
    <row r="13" spans="1:15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9">
        <v>0</v>
      </c>
      <c r="L13" s="249">
        <v>0</v>
      </c>
      <c r="M13" s="190">
        <v>0</v>
      </c>
      <c r="N13" s="155"/>
    </row>
    <row r="14" spans="1:15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9">
        <v>10215</v>
      </c>
      <c r="L14" s="249">
        <v>20000</v>
      </c>
      <c r="M14" s="190">
        <v>15000</v>
      </c>
      <c r="N14" s="217" t="s">
        <v>2438</v>
      </c>
    </row>
    <row r="15" spans="1:15" x14ac:dyDescent="0.3">
      <c r="A15" s="7" t="s">
        <v>29</v>
      </c>
      <c r="B15" s="39">
        <f t="shared" ref="B15:M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1">
        <f t="shared" si="0"/>
        <v>109098</v>
      </c>
      <c r="L15" s="250">
        <f t="shared" ref="L15" si="2">SUM(L6:L14)</f>
        <v>610000</v>
      </c>
      <c r="M15" s="191">
        <f t="shared" si="0"/>
        <v>580000</v>
      </c>
      <c r="N15" s="155"/>
    </row>
    <row r="16" spans="1:15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K16" s="111"/>
      <c r="L16" s="249"/>
      <c r="M16" s="190"/>
      <c r="N16" s="155"/>
    </row>
    <row r="17" spans="1:16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K17" s="112"/>
      <c r="L17" s="249"/>
      <c r="M17" s="190"/>
      <c r="N17" s="159"/>
      <c r="O17" s="159"/>
    </row>
    <row r="18" spans="1:16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9">
        <v>0</v>
      </c>
      <c r="L18" s="249">
        <v>-120000</v>
      </c>
      <c r="M18" s="190">
        <v>-120000</v>
      </c>
      <c r="N18" s="155"/>
      <c r="O18" s="197"/>
      <c r="P18" s="55"/>
    </row>
    <row r="19" spans="1:16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9">
        <v>-7864</v>
      </c>
      <c r="L19" s="249">
        <v>-150000</v>
      </c>
      <c r="M19" s="190">
        <v>-150000</v>
      </c>
      <c r="N19" s="157" t="s">
        <v>2439</v>
      </c>
      <c r="O19" s="197"/>
    </row>
    <row r="20" spans="1:16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9">
        <v>-2644</v>
      </c>
      <c r="L20" s="249">
        <v>-10000</v>
      </c>
      <c r="M20" s="190">
        <v>-10000</v>
      </c>
      <c r="N20" s="157" t="s">
        <v>1603</v>
      </c>
      <c r="O20" s="197"/>
    </row>
    <row r="21" spans="1:16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9">
        <v>0</v>
      </c>
      <c r="L21" s="249">
        <v>-40000</v>
      </c>
      <c r="M21" s="190">
        <v>-40000</v>
      </c>
      <c r="N21" s="155"/>
      <c r="O21" s="197"/>
    </row>
    <row r="22" spans="1:16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9">
        <v>-2065</v>
      </c>
      <c r="L22" s="249">
        <v>-15000</v>
      </c>
      <c r="M22" s="190">
        <v>-15000</v>
      </c>
      <c r="N22" s="155"/>
      <c r="O22" s="197"/>
    </row>
    <row r="23" spans="1:16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9">
        <v>-7546</v>
      </c>
      <c r="L23" s="249">
        <v>-75000</v>
      </c>
      <c r="M23" s="190">
        <v>-75000</v>
      </c>
      <c r="N23" s="157" t="s">
        <v>1352</v>
      </c>
      <c r="O23" s="197"/>
    </row>
    <row r="24" spans="1:16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9">
        <v>0</v>
      </c>
      <c r="L24" s="249">
        <v>-4000</v>
      </c>
      <c r="M24" s="190">
        <v>-4000</v>
      </c>
      <c r="N24" s="155"/>
      <c r="O24" s="197"/>
    </row>
    <row r="25" spans="1:1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9">
        <v>-9800</v>
      </c>
      <c r="L25" s="249">
        <v>-25000</v>
      </c>
      <c r="M25" s="190">
        <v>-25000</v>
      </c>
      <c r="N25" s="157"/>
      <c r="O25" s="197"/>
    </row>
    <row r="26" spans="1:16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9">
        <v>-1000</v>
      </c>
      <c r="L26" s="249">
        <v>-30000</v>
      </c>
      <c r="M26" s="190">
        <v>-30000</v>
      </c>
      <c r="N26" s="157" t="s">
        <v>2440</v>
      </c>
      <c r="O26" s="197"/>
    </row>
    <row r="27" spans="1:16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9">
        <v>0</v>
      </c>
      <c r="L27" s="249">
        <v>-15000</v>
      </c>
      <c r="M27" s="190">
        <v>-15000</v>
      </c>
      <c r="N27" s="155"/>
      <c r="O27" s="197"/>
    </row>
    <row r="28" spans="1:16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9">
        <v>0</v>
      </c>
      <c r="L28" s="249">
        <v>-20000</v>
      </c>
      <c r="M28" s="190">
        <v>-20000</v>
      </c>
      <c r="N28" s="157" t="s">
        <v>1605</v>
      </c>
      <c r="O28" s="197"/>
    </row>
    <row r="29" spans="1:16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9">
        <v>0</v>
      </c>
      <c r="L29" s="249">
        <v>-5000</v>
      </c>
      <c r="M29" s="190">
        <v>-5000</v>
      </c>
      <c r="N29" s="157" t="s">
        <v>1605</v>
      </c>
    </row>
    <row r="30" spans="1:16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9">
        <v>-500</v>
      </c>
      <c r="L30" s="249">
        <v>-2000</v>
      </c>
      <c r="M30" s="190">
        <v>-2000</v>
      </c>
      <c r="N30" s="157"/>
    </row>
    <row r="31" spans="1:16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9">
        <v>0</v>
      </c>
      <c r="L31" s="249">
        <v>-90000</v>
      </c>
      <c r="M31" s="190">
        <v>-90000</v>
      </c>
      <c r="N31" s="155"/>
      <c r="O31" s="197"/>
    </row>
    <row r="32" spans="1:16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9">
        <v>0</v>
      </c>
      <c r="L32" s="249">
        <v>0</v>
      </c>
      <c r="M32" s="190">
        <v>0</v>
      </c>
      <c r="N32" s="155"/>
      <c r="O32" s="197"/>
    </row>
    <row r="33" spans="1:16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9">
        <v>-6710</v>
      </c>
      <c r="L33" s="249">
        <v>-10000</v>
      </c>
      <c r="M33" s="190">
        <v>-5000</v>
      </c>
      <c r="N33" s="155"/>
      <c r="O33" s="197"/>
    </row>
    <row r="34" spans="1:16" x14ac:dyDescent="0.3">
      <c r="A34" s="7" t="s">
        <v>47</v>
      </c>
      <c r="B34" s="39">
        <f>SUM(B18:B33)</f>
        <v>-218877</v>
      </c>
      <c r="C34" s="39">
        <f t="shared" ref="C34:H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>SUM(I18:I33)</f>
        <v>-618159</v>
      </c>
      <c r="J34" s="39">
        <f>SUM(J18:J33)</f>
        <v>-584733</v>
      </c>
      <c r="K34" s="11">
        <f>SUM(K18:K33)</f>
        <v>-38129</v>
      </c>
      <c r="L34" s="250">
        <f>SUM(L18:L33)</f>
        <v>-611000</v>
      </c>
      <c r="M34" s="191">
        <f>SUM(M18:M33)</f>
        <v>-606000</v>
      </c>
      <c r="N34" s="205"/>
      <c r="O34" s="206"/>
    </row>
    <row r="35" spans="1:16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113"/>
      <c r="L35" s="250"/>
      <c r="M35" s="191"/>
      <c r="N35" s="158"/>
      <c r="O35" s="207"/>
    </row>
    <row r="36" spans="1:16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1">
        <f t="shared" si="4"/>
        <v>70969</v>
      </c>
      <c r="L36" s="250">
        <f>L15+L34</f>
        <v>-1000</v>
      </c>
      <c r="M36" s="191">
        <f>M15+M34</f>
        <v>-26000</v>
      </c>
      <c r="N36" s="158"/>
      <c r="O36" s="207"/>
    </row>
    <row r="37" spans="1:16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1"/>
      <c r="L37" s="250"/>
      <c r="M37" s="191"/>
      <c r="N37" s="158"/>
      <c r="O37" s="207"/>
    </row>
    <row r="38" spans="1:16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1">
        <v>0</v>
      </c>
      <c r="L38" s="250">
        <v>0</v>
      </c>
      <c r="M38" s="191">
        <v>0</v>
      </c>
      <c r="N38" s="155"/>
      <c r="O38" s="206"/>
    </row>
    <row r="39" spans="1:16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1"/>
      <c r="L39" s="251"/>
      <c r="M39" s="210"/>
      <c r="N39" s="205"/>
      <c r="O39" s="206"/>
    </row>
    <row r="40" spans="1:16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54">
        <f t="shared" si="5"/>
        <v>70969</v>
      </c>
      <c r="L40" s="252">
        <f>+L38+L36</f>
        <v>-1000</v>
      </c>
      <c r="M40" s="192">
        <f>+M38+M36</f>
        <v>-26000</v>
      </c>
      <c r="N40" s="155"/>
      <c r="O40" s="208"/>
    </row>
    <row r="41" spans="1:16" s="13" customFormat="1" x14ac:dyDescent="0.3">
      <c r="A41" s="4"/>
      <c r="B41" s="4"/>
      <c r="C41" s="4"/>
      <c r="D41" s="4"/>
      <c r="E41" s="4"/>
      <c r="F41" s="4"/>
      <c r="G41" s="4"/>
      <c r="H41" s="4"/>
      <c r="L41" s="58"/>
      <c r="M41" s="58"/>
      <c r="N41" s="196"/>
      <c r="O41" s="155"/>
    </row>
    <row r="43" spans="1:16" x14ac:dyDescent="0.3">
      <c r="L43" s="99"/>
    </row>
    <row r="44" spans="1:16" x14ac:dyDescent="0.3">
      <c r="L44" s="222"/>
    </row>
    <row r="45" spans="1:16" x14ac:dyDescent="0.3">
      <c r="L45" s="207"/>
    </row>
    <row r="46" spans="1:16" x14ac:dyDescent="0.3">
      <c r="L46" s="222"/>
    </row>
    <row r="47" spans="1:16" s="4" customFormat="1" x14ac:dyDescent="0.3">
      <c r="L47" s="99"/>
      <c r="N47" s="196"/>
      <c r="O47" s="155"/>
      <c r="P47" s="1"/>
    </row>
    <row r="48" spans="1:16" s="4" customFormat="1" x14ac:dyDescent="0.3">
      <c r="L48" s="99"/>
      <c r="N48" s="196"/>
      <c r="O48" s="155"/>
      <c r="P48" s="1"/>
    </row>
    <row r="49" spans="12:16" s="4" customFormat="1" x14ac:dyDescent="0.3">
      <c r="L49" s="99"/>
      <c r="N49" s="196"/>
      <c r="O49" s="155"/>
      <c r="P49" s="1"/>
    </row>
    <row r="50" spans="12:16" s="4" customFormat="1" x14ac:dyDescent="0.3">
      <c r="L50" s="99"/>
      <c r="N50" s="196"/>
      <c r="O50" s="155"/>
      <c r="P50" s="1"/>
    </row>
    <row r="51" spans="12:16" x14ac:dyDescent="0.3">
      <c r="L51" s="99"/>
    </row>
    <row r="52" spans="12:16" x14ac:dyDescent="0.3">
      <c r="L52" s="223"/>
    </row>
  </sheetData>
  <mergeCells count="1">
    <mergeCell ref="E1:G1"/>
  </mergeCells>
  <pageMargins left="0.7" right="0.7" top="0.75" bottom="0.75" header="0.3" footer="0.3"/>
  <pageSetup paperSize="9" scale="62" orientation="landscape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-0.249977111117893"/>
    <pageSetUpPr fitToPage="1"/>
  </sheetPr>
  <dimension ref="A1:N50"/>
  <sheetViews>
    <sheetView zoomScale="90" zoomScaleNormal="90" workbookViewId="0">
      <pane xSplit="1" ySplit="3" topLeftCell="F24" activePane="bottomRight" state="frozen"/>
      <selection pane="topRight" activeCell="B1" sqref="B1"/>
      <selection pane="bottomLeft" activeCell="A4" sqref="A4"/>
      <selection pane="bottomRight" activeCell="K3" sqref="K3:K40"/>
    </sheetView>
  </sheetViews>
  <sheetFormatPr defaultColWidth="9.109375" defaultRowHeight="15.6" x14ac:dyDescent="0.3"/>
  <cols>
    <col min="1" max="1" width="30.6640625" style="4" bestFit="1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0" width="16.44140625" style="1" customWidth="1"/>
    <col min="11" max="11" width="18.5546875" style="1" bestFit="1" customWidth="1"/>
    <col min="12" max="12" width="27" style="196" customWidth="1"/>
    <col min="13" max="13" width="12" style="155" customWidth="1"/>
    <col min="14" max="16384" width="9.109375" style="1"/>
  </cols>
  <sheetData>
    <row r="1" spans="1:13" ht="31.8" thickBot="1" x14ac:dyDescent="0.65">
      <c r="A1" s="211" t="s">
        <v>486</v>
      </c>
      <c r="C1" s="224"/>
      <c r="D1" s="224"/>
      <c r="E1" s="295" t="s">
        <v>487</v>
      </c>
      <c r="F1" s="295"/>
      <c r="G1" s="295"/>
    </row>
    <row r="2" spans="1:13" ht="16.2" thickBot="1" x14ac:dyDescent="0.35"/>
    <row r="3" spans="1:13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241">
        <v>2016</v>
      </c>
      <c r="K3" s="240" t="s">
        <v>2435</v>
      </c>
      <c r="L3" s="156"/>
      <c r="M3" s="156"/>
    </row>
    <row r="4" spans="1:13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242"/>
      <c r="K4" s="209"/>
      <c r="L4" s="156"/>
      <c r="M4" s="156"/>
    </row>
    <row r="5" spans="1:13" ht="16.2" thickBot="1" x14ac:dyDescent="0.35">
      <c r="A5" s="32" t="s">
        <v>19</v>
      </c>
      <c r="B5" s="10"/>
      <c r="C5" s="7"/>
      <c r="D5" s="7"/>
      <c r="I5" s="4"/>
      <c r="J5" s="243"/>
      <c r="K5" s="8"/>
      <c r="L5" s="155"/>
    </row>
    <row r="6" spans="1:13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244">
        <f>52238+27694+85834+43522</f>
        <v>209288</v>
      </c>
      <c r="K6" s="190">
        <v>210000</v>
      </c>
      <c r="L6" s="217"/>
    </row>
    <row r="7" spans="1:13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244">
        <f>10400+10800+8100+9200+9600+5400+4000+800+400+7500+10200+900+13200+7800-1200+800+400-400+400+200+225+150+6000+2800+2875</f>
        <v>110550</v>
      </c>
      <c r="K7" s="190">
        <v>110000</v>
      </c>
      <c r="L7" s="236"/>
    </row>
    <row r="8" spans="1:13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244">
        <f>650+3276+2520+29769+8260+395+6493+11012+10000+1310+342+345+2260-1880+16765</f>
        <v>91517</v>
      </c>
      <c r="K8" s="190">
        <v>80000</v>
      </c>
      <c r="L8" s="155"/>
    </row>
    <row r="9" spans="1:13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244">
        <f>5080+5080+5080+25240-25000+5080-5000+3000+3000+5080</f>
        <v>26640</v>
      </c>
      <c r="K9" s="190">
        <v>25000</v>
      </c>
      <c r="L9" s="217"/>
    </row>
    <row r="10" spans="1:13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244">
        <f>30000+10650+24230+36000-24230+3000-3000-2752</f>
        <v>73898</v>
      </c>
      <c r="K10" s="190">
        <v>50000</v>
      </c>
      <c r="L10" s="217"/>
    </row>
    <row r="11" spans="1:13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244">
        <f>81000</f>
        <v>81000</v>
      </c>
      <c r="K11" s="190">
        <v>90000</v>
      </c>
      <c r="L11" s="155"/>
    </row>
    <row r="12" spans="1:13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244">
        <f>5750-1743-1743-1453-3486-4358-15750+10000+7640+840+1463+5660</f>
        <v>2820</v>
      </c>
      <c r="K12" s="190">
        <v>0</v>
      </c>
      <c r="L12" s="155"/>
    </row>
    <row r="13" spans="1:13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244">
        <v>0</v>
      </c>
      <c r="K13" s="190">
        <v>0</v>
      </c>
      <c r="L13" s="155"/>
    </row>
    <row r="14" spans="1:13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244">
        <f>2914+5838+4950+240+1000+6365+1880+2390</f>
        <v>25577</v>
      </c>
      <c r="K14" s="190">
        <v>15000</v>
      </c>
      <c r="L14" s="217"/>
    </row>
    <row r="15" spans="1:13" x14ac:dyDescent="0.3">
      <c r="A15" s="7" t="s">
        <v>29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245">
        <f t="shared" si="0"/>
        <v>621290</v>
      </c>
      <c r="K15" s="191">
        <f t="shared" si="0"/>
        <v>580000</v>
      </c>
      <c r="L15" s="155"/>
    </row>
    <row r="16" spans="1:13" ht="16.2" thickBot="1" x14ac:dyDescent="0.35">
      <c r="B16" s="38"/>
      <c r="C16" s="40"/>
      <c r="D16" s="40"/>
      <c r="E16" s="38"/>
      <c r="F16" s="40"/>
      <c r="G16" s="40"/>
      <c r="H16" s="40"/>
      <c r="I16" s="40"/>
      <c r="J16" s="136"/>
      <c r="K16" s="190"/>
      <c r="L16" s="155"/>
    </row>
    <row r="17" spans="1:14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246"/>
      <c r="K17" s="190"/>
      <c r="L17" s="159"/>
      <c r="M17" s="159"/>
    </row>
    <row r="18" spans="1:14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244">
        <f>-975-3576-25151+2412-26894-7152-45412</f>
        <v>-106748</v>
      </c>
      <c r="K18" s="190">
        <v>-120000</v>
      </c>
      <c r="L18" s="155"/>
      <c r="M18" s="197"/>
      <c r="N18" s="55"/>
    </row>
    <row r="19" spans="1:14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244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90">
        <v>-150000</v>
      </c>
      <c r="L19" s="157"/>
      <c r="M19" s="197"/>
    </row>
    <row r="20" spans="1:14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244">
        <f>-3760-1277-3685+3685-2253-17843-2444-4021-349-5145-111-368-279-322</f>
        <v>-38172</v>
      </c>
      <c r="K20" s="190">
        <v>-10000</v>
      </c>
      <c r="L20" s="157"/>
      <c r="M20" s="197"/>
    </row>
    <row r="21" spans="1:14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244">
        <f>-2100-1969-5000-500-15500-1440-629-7355</f>
        <v>-34493</v>
      </c>
      <c r="K21" s="190">
        <v>-40000</v>
      </c>
      <c r="L21" s="155"/>
      <c r="M21" s="197"/>
    </row>
    <row r="22" spans="1:14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244">
        <f>-4000-5500-4000-407</f>
        <v>-13907</v>
      </c>
      <c r="K22" s="190">
        <v>-15000</v>
      </c>
      <c r="L22" s="155"/>
      <c r="M22" s="197"/>
    </row>
    <row r="23" spans="1:14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244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90">
        <v>-75000</v>
      </c>
      <c r="L23" s="157"/>
      <c r="M23" s="197"/>
    </row>
    <row r="24" spans="1:14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244">
        <f>-2750</f>
        <v>-2750</v>
      </c>
      <c r="K24" s="190">
        <v>-4000</v>
      </c>
      <c r="L24" s="155"/>
      <c r="M24" s="197"/>
    </row>
    <row r="25" spans="1:14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244">
        <f>-800-1200-1100-3350-1400-1000-2000-1000-1400-300-1200-1400-1800-1500-1500-1600-1400-1400</f>
        <v>-25350</v>
      </c>
      <c r="K25" s="190">
        <v>-25000</v>
      </c>
      <c r="L25" s="157"/>
      <c r="M25" s="197"/>
    </row>
    <row r="26" spans="1:14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244">
        <f>-1000-3000-6600-9700-4500-1900-1200-2000-2400-2000-400-500-2000</f>
        <v>-37200</v>
      </c>
      <c r="K26" s="190">
        <v>-30000</v>
      </c>
      <c r="L26" s="157"/>
      <c r="M26" s="197"/>
    </row>
    <row r="27" spans="1:14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244">
        <f>-4700-2390-8400</f>
        <v>-15490</v>
      </c>
      <c r="K27" s="190">
        <v>-15000</v>
      </c>
      <c r="L27" s="155"/>
      <c r="M27" s="197"/>
    </row>
    <row r="28" spans="1:14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244">
        <f>-1500-10000-500-4000</f>
        <v>-16000</v>
      </c>
      <c r="K28" s="190">
        <v>-20000</v>
      </c>
      <c r="L28" s="157"/>
      <c r="M28" s="197"/>
    </row>
    <row r="29" spans="1:14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244">
        <f>-500-2500-500-1000</f>
        <v>-4500</v>
      </c>
      <c r="K29" s="190">
        <v>-5000</v>
      </c>
      <c r="L29" s="157"/>
    </row>
    <row r="30" spans="1:14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244">
        <f>-771-500</f>
        <v>-1271</v>
      </c>
      <c r="K30" s="190">
        <v>-2000</v>
      </c>
      <c r="L30" s="157"/>
    </row>
    <row r="31" spans="1:14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244">
        <f>-268-800-800-800-800-800-800-800-800-800-800-800-800-800-800-800-800-800-264-800-800-28998-800-800-800-36777</f>
        <v>-83907</v>
      </c>
      <c r="K31" s="190">
        <v>-90000</v>
      </c>
      <c r="L31" s="155"/>
      <c r="M31" s="197"/>
    </row>
    <row r="32" spans="1:14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244">
        <f>-160</f>
        <v>-160</v>
      </c>
      <c r="K32" s="190">
        <v>0</v>
      </c>
      <c r="L32" s="155"/>
      <c r="M32" s="197"/>
    </row>
    <row r="33" spans="1:14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244">
        <f>140-1170-608-2080-341</f>
        <v>-4059</v>
      </c>
      <c r="K33" s="190">
        <v>-5000</v>
      </c>
      <c r="L33" s="155"/>
      <c r="M33" s="197"/>
    </row>
    <row r="34" spans="1:14" x14ac:dyDescent="0.3">
      <c r="A34" s="7" t="s">
        <v>47</v>
      </c>
      <c r="B34" s="39">
        <f>SUM(B18:B33)</f>
        <v>-218877</v>
      </c>
      <c r="C34" s="39">
        <f t="shared" ref="C34:H34" si="1">SUM(C18:C33)</f>
        <v>-258934</v>
      </c>
      <c r="D34" s="39">
        <f t="shared" si="1"/>
        <v>-187844</v>
      </c>
      <c r="E34" s="39">
        <f t="shared" si="1"/>
        <v>-247088.42</v>
      </c>
      <c r="F34" s="39">
        <f t="shared" si="1"/>
        <v>-325572.77</v>
      </c>
      <c r="G34" s="39">
        <f t="shared" si="1"/>
        <v>-457445</v>
      </c>
      <c r="H34" s="39">
        <f t="shared" si="1"/>
        <v>-467066</v>
      </c>
      <c r="I34" s="39">
        <f>SUM(I18:I33)</f>
        <v>-618159</v>
      </c>
      <c r="J34" s="245">
        <f>SUM(J18:J33)</f>
        <v>-584733</v>
      </c>
      <c r="K34" s="191">
        <f>SUM(K18:K33)</f>
        <v>-606000</v>
      </c>
      <c r="L34" s="205"/>
      <c r="M34" s="206"/>
    </row>
    <row r="35" spans="1:14" x14ac:dyDescent="0.3">
      <c r="A35" s="7"/>
      <c r="B35" s="41"/>
      <c r="C35" s="41"/>
      <c r="D35" s="41"/>
      <c r="E35" s="39"/>
      <c r="F35" s="39"/>
      <c r="G35" s="39"/>
      <c r="H35" s="39"/>
      <c r="I35" s="46"/>
      <c r="J35" s="247"/>
      <c r="K35" s="191"/>
      <c r="L35" s="158"/>
      <c r="M35" s="207"/>
    </row>
    <row r="36" spans="1:14" s="13" customFormat="1" x14ac:dyDescent="0.3">
      <c r="A36" s="7" t="s">
        <v>48</v>
      </c>
      <c r="B36" s="39">
        <f t="shared" ref="B36:J36" si="2">+B34+B15</f>
        <v>-24674</v>
      </c>
      <c r="C36" s="39">
        <f t="shared" si="2"/>
        <v>86791</v>
      </c>
      <c r="D36" s="39">
        <f t="shared" si="2"/>
        <v>32713</v>
      </c>
      <c r="E36" s="39">
        <f t="shared" si="2"/>
        <v>-5009.1400000000431</v>
      </c>
      <c r="F36" s="39">
        <f t="shared" si="2"/>
        <v>-25959.489999999991</v>
      </c>
      <c r="G36" s="39">
        <f t="shared" si="2"/>
        <v>-167525</v>
      </c>
      <c r="H36" s="39">
        <f t="shared" si="2"/>
        <v>13685</v>
      </c>
      <c r="I36" s="12">
        <f t="shared" si="2"/>
        <v>10177</v>
      </c>
      <c r="J36" s="245">
        <f t="shared" si="2"/>
        <v>36557</v>
      </c>
      <c r="K36" s="191">
        <f>K15+K34</f>
        <v>-26000</v>
      </c>
      <c r="L36" s="158"/>
      <c r="M36" s="207"/>
    </row>
    <row r="37" spans="1:14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245"/>
      <c r="K37" s="191"/>
      <c r="L37" s="158"/>
      <c r="M37" s="207"/>
    </row>
    <row r="38" spans="1:14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245">
        <v>0</v>
      </c>
      <c r="K38" s="191">
        <v>0</v>
      </c>
      <c r="L38" s="155"/>
      <c r="M38" s="206"/>
    </row>
    <row r="39" spans="1:14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245"/>
      <c r="K39" s="210"/>
      <c r="L39" s="205"/>
      <c r="M39" s="206"/>
    </row>
    <row r="40" spans="1:14" s="13" customFormat="1" ht="16.2" thickBot="1" x14ac:dyDescent="0.35">
      <c r="A40" s="7" t="s">
        <v>88</v>
      </c>
      <c r="B40" s="39">
        <f t="shared" ref="B40:J40" si="3">+B38+B36</f>
        <v>-34674</v>
      </c>
      <c r="C40" s="39">
        <f t="shared" si="3"/>
        <v>76791</v>
      </c>
      <c r="D40" s="39">
        <f t="shared" si="3"/>
        <v>22713</v>
      </c>
      <c r="E40" s="39">
        <f t="shared" si="3"/>
        <v>-15009.140000000043</v>
      </c>
      <c r="F40" s="248">
        <f t="shared" si="3"/>
        <v>-35959.489999999991</v>
      </c>
      <c r="G40" s="248">
        <f t="shared" si="3"/>
        <v>-181974</v>
      </c>
      <c r="H40" s="248">
        <f t="shared" si="3"/>
        <v>13685</v>
      </c>
      <c r="I40" s="154">
        <f t="shared" si="3"/>
        <v>10177</v>
      </c>
      <c r="J40" s="154">
        <f t="shared" si="3"/>
        <v>36557</v>
      </c>
      <c r="K40" s="192">
        <f>+K38+K36</f>
        <v>-26000</v>
      </c>
      <c r="L40" s="155"/>
      <c r="M40" s="208"/>
    </row>
    <row r="41" spans="1:14" s="13" customFormat="1" x14ac:dyDescent="0.3">
      <c r="A41" s="4"/>
      <c r="B41" s="4"/>
      <c r="C41" s="4"/>
      <c r="D41" s="4"/>
      <c r="E41" s="4"/>
      <c r="F41" s="4"/>
      <c r="G41" s="4"/>
      <c r="H41" s="4"/>
      <c r="K41" s="58"/>
      <c r="L41" s="196"/>
      <c r="M41" s="155"/>
    </row>
    <row r="47" spans="1:14" s="4" customFormat="1" x14ac:dyDescent="0.3">
      <c r="L47" s="196"/>
      <c r="M47" s="155"/>
      <c r="N47" s="1"/>
    </row>
    <row r="48" spans="1:14" s="4" customFormat="1" x14ac:dyDescent="0.3">
      <c r="L48" s="196"/>
      <c r="M48" s="155"/>
      <c r="N48" s="1"/>
    </row>
    <row r="49" spans="12:14" s="4" customFormat="1" x14ac:dyDescent="0.3">
      <c r="L49" s="196"/>
      <c r="M49" s="155"/>
      <c r="N49" s="1"/>
    </row>
    <row r="50" spans="12:14" s="4" customFormat="1" x14ac:dyDescent="0.3">
      <c r="L50" s="196"/>
      <c r="M50" s="155"/>
      <c r="N50" s="1"/>
    </row>
  </sheetData>
  <mergeCells count="1">
    <mergeCell ref="E1:G1"/>
  </mergeCells>
  <pageMargins left="0.7" right="0.7" top="0.75" bottom="0.75" header="0.3" footer="0.3"/>
  <pageSetup paperSize="9" scale="72" orientation="landscape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  <pageSetUpPr fitToPage="1"/>
  </sheetPr>
  <dimension ref="A1:N50"/>
  <sheetViews>
    <sheetView zoomScale="90" zoomScaleNormal="90" workbookViewId="0">
      <pane xSplit="1" ySplit="3" topLeftCell="F4" activePane="bottomRight" state="frozen"/>
      <selection pane="topRight" activeCell="B1" sqref="B1"/>
      <selection pane="bottomLeft" activeCell="A4" sqref="A4"/>
      <selection pane="bottomRight" activeCell="K18" sqref="K18"/>
    </sheetView>
  </sheetViews>
  <sheetFormatPr defaultColWidth="9.109375" defaultRowHeight="15.6" x14ac:dyDescent="0.3"/>
  <cols>
    <col min="1" max="1" width="30.6640625" style="4" bestFit="1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0" width="16.44140625" style="1" customWidth="1"/>
    <col min="11" max="11" width="18.5546875" style="1" bestFit="1" customWidth="1"/>
    <col min="12" max="12" width="27" style="196" customWidth="1"/>
    <col min="13" max="13" width="12" style="155" customWidth="1"/>
    <col min="14" max="16384" width="9.109375" style="1"/>
  </cols>
  <sheetData>
    <row r="1" spans="1:13" ht="31.8" thickBot="1" x14ac:dyDescent="0.65">
      <c r="A1" s="211" t="s">
        <v>486</v>
      </c>
      <c r="C1" s="224"/>
      <c r="D1" s="224"/>
      <c r="E1" s="295" t="s">
        <v>487</v>
      </c>
      <c r="F1" s="295"/>
      <c r="G1" s="295"/>
    </row>
    <row r="2" spans="1:13" ht="16.2" thickBot="1" x14ac:dyDescent="0.35"/>
    <row r="3" spans="1:13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227">
        <v>2016</v>
      </c>
      <c r="K3" s="239" t="s">
        <v>1346</v>
      </c>
      <c r="L3" s="156"/>
      <c r="M3" s="156"/>
    </row>
    <row r="4" spans="1:13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110"/>
      <c r="K4" s="209"/>
      <c r="L4" s="156"/>
      <c r="M4" s="156"/>
    </row>
    <row r="5" spans="1:13" ht="16.2" thickBot="1" x14ac:dyDescent="0.35">
      <c r="A5" s="32" t="s">
        <v>19</v>
      </c>
      <c r="B5" s="10"/>
      <c r="C5" s="7"/>
      <c r="D5" s="7"/>
      <c r="I5" s="4"/>
      <c r="J5" s="237"/>
      <c r="K5" s="8"/>
      <c r="L5" s="155"/>
    </row>
    <row r="6" spans="1:13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9">
        <f>52238+27694+85834+43522</f>
        <v>209288</v>
      </c>
      <c r="K6" s="190">
        <v>12000</v>
      </c>
      <c r="L6" s="217" t="s">
        <v>2347</v>
      </c>
    </row>
    <row r="7" spans="1:13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9">
        <f>10400+10800+8100+9200+9600+5400+4000+800+400+7500+10200+900+13200+7800-1200+800+400-400+400+200+225+150+6000+2800+2875</f>
        <v>110550</v>
      </c>
      <c r="K7" s="190">
        <v>13000</v>
      </c>
      <c r="L7" s="236" t="s">
        <v>2417</v>
      </c>
    </row>
    <row r="8" spans="1:13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9">
        <f>650+3276+2520+29769+8260+395+6493+11012+10000+1310+342+345+2260-1880+16765</f>
        <v>91517</v>
      </c>
      <c r="K8" s="190">
        <v>6000</v>
      </c>
      <c r="L8" s="155"/>
    </row>
    <row r="9" spans="1:13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9">
        <f>5080+5080+5080+25240-25000+5080-5000+3000+3000+5080</f>
        <v>26640</v>
      </c>
      <c r="K9" s="190">
        <v>11000</v>
      </c>
      <c r="L9" s="217" t="s">
        <v>2434</v>
      </c>
    </row>
    <row r="10" spans="1:13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9">
        <f>30000+10650+24230+36000-24230+3000-3000-2752</f>
        <v>73898</v>
      </c>
      <c r="K10" s="190">
        <v>0</v>
      </c>
      <c r="L10" s="217"/>
    </row>
    <row r="11" spans="1:13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9">
        <f>81000</f>
        <v>81000</v>
      </c>
      <c r="K11" s="190">
        <v>0</v>
      </c>
      <c r="L11" s="155"/>
    </row>
    <row r="12" spans="1:13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9">
        <f>5750-1743-1743-1453-3486-4358-15750+10000+7640+840+1463+5660</f>
        <v>2820</v>
      </c>
      <c r="K12" s="190">
        <v>0</v>
      </c>
      <c r="L12" s="155"/>
    </row>
    <row r="13" spans="1:13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9">
        <v>0</v>
      </c>
      <c r="K13" s="190">
        <v>0</v>
      </c>
      <c r="L13" s="155"/>
    </row>
    <row r="14" spans="1:13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9">
        <f>2914+5838+4950+240+1000+6365+1880+2390</f>
        <v>25577</v>
      </c>
      <c r="K14" s="190">
        <v>11875</v>
      </c>
      <c r="L14" s="217" t="s">
        <v>2429</v>
      </c>
    </row>
    <row r="15" spans="1:13" x14ac:dyDescent="0.3">
      <c r="A15" s="7" t="s">
        <v>29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11">
        <f t="shared" si="0"/>
        <v>621290</v>
      </c>
      <c r="K15" s="191">
        <f t="shared" si="0"/>
        <v>53875</v>
      </c>
      <c r="L15" s="155"/>
    </row>
    <row r="16" spans="1:13" ht="16.2" thickBot="1" x14ac:dyDescent="0.35">
      <c r="B16" s="38"/>
      <c r="C16" s="40"/>
      <c r="D16" s="40"/>
      <c r="E16" s="38"/>
      <c r="F16" s="40"/>
      <c r="G16" s="40"/>
      <c r="H16" s="40"/>
      <c r="I16" s="40"/>
      <c r="J16" s="111"/>
      <c r="K16" s="190"/>
      <c r="L16" s="155"/>
    </row>
    <row r="17" spans="1:14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112"/>
      <c r="K17" s="190"/>
      <c r="L17" s="159"/>
      <c r="M17" s="159"/>
    </row>
    <row r="18" spans="1:14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9">
        <f>-975-3576-25151+2412-26894-7152-45412</f>
        <v>-106748</v>
      </c>
      <c r="K18" s="190">
        <v>-18670</v>
      </c>
      <c r="L18" s="155"/>
      <c r="M18" s="197"/>
      <c r="N18" s="55"/>
    </row>
    <row r="19" spans="1:14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9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90">
        <v>-30859</v>
      </c>
      <c r="L19" s="157" t="s">
        <v>2428</v>
      </c>
      <c r="M19" s="197"/>
    </row>
    <row r="20" spans="1:14" ht="24.6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9">
        <f>-3760-1277-3685+3685-2253-17843-2444-4021-349-5145-111-368-279-322</f>
        <v>-38172</v>
      </c>
      <c r="K20" s="190">
        <v>-1000</v>
      </c>
      <c r="L20" s="157" t="s">
        <v>1777</v>
      </c>
      <c r="M20" s="197"/>
    </row>
    <row r="21" spans="1:14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9">
        <f>-2100-1969-5000-500-15500-1440-629-7355</f>
        <v>-34493</v>
      </c>
      <c r="K21" s="190">
        <v>-2000</v>
      </c>
      <c r="L21" s="155"/>
      <c r="M21" s="197"/>
    </row>
    <row r="22" spans="1:14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9">
        <f>-4000-5500-4000-407</f>
        <v>-13907</v>
      </c>
      <c r="K22" s="190">
        <v>0</v>
      </c>
      <c r="L22" s="155"/>
      <c r="M22" s="197"/>
    </row>
    <row r="23" spans="1:14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9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90">
        <v>-20927</v>
      </c>
      <c r="L23" s="157" t="s">
        <v>2418</v>
      </c>
      <c r="M23" s="197"/>
    </row>
    <row r="24" spans="1:14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9">
        <f>-2750</f>
        <v>-2750</v>
      </c>
      <c r="K24" s="190">
        <v>0</v>
      </c>
      <c r="L24" s="155"/>
      <c r="M24" s="197"/>
    </row>
    <row r="25" spans="1:14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9">
        <f>-800-1200-1100-3350-1400-1000-2000-1000-1400-300-1200-1400-1800-1500-1500-1600-1400-1400</f>
        <v>-25350</v>
      </c>
      <c r="K25" s="190">
        <v>-3400</v>
      </c>
      <c r="L25" s="157"/>
      <c r="M25" s="197"/>
    </row>
    <row r="26" spans="1:14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9">
        <f>-1000-3000-6600-9700-4500-1900-1200-2000-2400-2000-400-500-2000</f>
        <v>-37200</v>
      </c>
      <c r="K26" s="190">
        <v>-6400</v>
      </c>
      <c r="L26" s="157" t="s">
        <v>2427</v>
      </c>
      <c r="M26" s="197"/>
    </row>
    <row r="27" spans="1:14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9">
        <f>-4700-2390-8400</f>
        <v>-15490</v>
      </c>
      <c r="K27" s="190">
        <v>-15490</v>
      </c>
      <c r="L27" s="155"/>
      <c r="M27" s="197"/>
    </row>
    <row r="28" spans="1:14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9">
        <f>-1500-10000-500-4000</f>
        <v>-16000</v>
      </c>
      <c r="K28" s="190">
        <v>-1000</v>
      </c>
      <c r="L28" s="157" t="s">
        <v>2419</v>
      </c>
      <c r="M28" s="197"/>
    </row>
    <row r="29" spans="1:14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9">
        <f>-500-2500-500-1000</f>
        <v>-4500</v>
      </c>
      <c r="K29" s="190">
        <v>-2500</v>
      </c>
      <c r="L29" s="157" t="s">
        <v>2420</v>
      </c>
    </row>
    <row r="30" spans="1:14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9">
        <f>-771-500</f>
        <v>-1271</v>
      </c>
      <c r="K30" s="190">
        <v>0</v>
      </c>
      <c r="L30" s="157"/>
    </row>
    <row r="31" spans="1:14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9">
        <f>-268-800-800-800-800-800-800-800-800-800-800-800-800-800-800-800-800-800-264-800-800-28998-800-800-800-36777</f>
        <v>-83907</v>
      </c>
      <c r="K31" s="190">
        <v>0</v>
      </c>
      <c r="L31" s="155"/>
      <c r="M31" s="197"/>
    </row>
    <row r="32" spans="1:14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9">
        <f>-160</f>
        <v>-160</v>
      </c>
      <c r="K32" s="190">
        <v>0</v>
      </c>
      <c r="L32" s="155"/>
      <c r="M32" s="197"/>
    </row>
    <row r="33" spans="1:14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9">
        <f>140-1170-608-2080-341</f>
        <v>-4059</v>
      </c>
      <c r="K33" s="190">
        <v>0</v>
      </c>
      <c r="L33" s="155"/>
      <c r="M33" s="197"/>
    </row>
    <row r="34" spans="1:14" x14ac:dyDescent="0.3">
      <c r="A34" s="7" t="s">
        <v>47</v>
      </c>
      <c r="B34" s="39">
        <f>SUM(B18:B33)</f>
        <v>-218877</v>
      </c>
      <c r="C34" s="39">
        <f t="shared" ref="C34:H34" si="1">SUM(C18:C33)</f>
        <v>-258934</v>
      </c>
      <c r="D34" s="39">
        <f t="shared" si="1"/>
        <v>-187844</v>
      </c>
      <c r="E34" s="39">
        <f t="shared" si="1"/>
        <v>-247088.42</v>
      </c>
      <c r="F34" s="39">
        <f t="shared" si="1"/>
        <v>-325572.77</v>
      </c>
      <c r="G34" s="39">
        <f t="shared" si="1"/>
        <v>-457445</v>
      </c>
      <c r="H34" s="39">
        <f t="shared" si="1"/>
        <v>-467066</v>
      </c>
      <c r="I34" s="39">
        <f>SUM(I18:I33)</f>
        <v>-618159</v>
      </c>
      <c r="J34" s="11">
        <f>SUM(J18:J33)</f>
        <v>-584733</v>
      </c>
      <c r="K34" s="191">
        <f>SUM(K18:K33)</f>
        <v>-102246</v>
      </c>
      <c r="L34" s="205"/>
      <c r="M34" s="206"/>
    </row>
    <row r="35" spans="1:14" x14ac:dyDescent="0.3">
      <c r="A35" s="7"/>
      <c r="B35" s="41"/>
      <c r="C35" s="41"/>
      <c r="D35" s="41"/>
      <c r="E35" s="39"/>
      <c r="F35" s="39"/>
      <c r="G35" s="39"/>
      <c r="H35" s="39"/>
      <c r="I35" s="46"/>
      <c r="J35" s="113"/>
      <c r="K35" s="191"/>
      <c r="L35" s="158"/>
      <c r="M35" s="207"/>
    </row>
    <row r="36" spans="1:14" s="13" customFormat="1" ht="38.25" customHeight="1" x14ac:dyDescent="0.3">
      <c r="A36" s="7" t="s">
        <v>48</v>
      </c>
      <c r="B36" s="39">
        <f t="shared" ref="B36:J36" si="2">+B34+B15</f>
        <v>-24674</v>
      </c>
      <c r="C36" s="39">
        <f t="shared" si="2"/>
        <v>86791</v>
      </c>
      <c r="D36" s="39">
        <f t="shared" si="2"/>
        <v>32713</v>
      </c>
      <c r="E36" s="39">
        <f t="shared" si="2"/>
        <v>-5009.1400000000431</v>
      </c>
      <c r="F36" s="39">
        <f t="shared" si="2"/>
        <v>-25959.489999999991</v>
      </c>
      <c r="G36" s="39">
        <f t="shared" si="2"/>
        <v>-167525</v>
      </c>
      <c r="H36" s="39">
        <f t="shared" si="2"/>
        <v>13685</v>
      </c>
      <c r="I36" s="12">
        <f t="shared" si="2"/>
        <v>10177</v>
      </c>
      <c r="J36" s="11">
        <f t="shared" si="2"/>
        <v>36557</v>
      </c>
      <c r="K36" s="191">
        <f>K15+K34</f>
        <v>-48371</v>
      </c>
      <c r="L36" s="158"/>
      <c r="M36" s="207"/>
    </row>
    <row r="37" spans="1:14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1"/>
      <c r="K37" s="191"/>
      <c r="L37" s="158"/>
      <c r="M37" s="207"/>
    </row>
    <row r="38" spans="1:14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1">
        <v>0</v>
      </c>
      <c r="K38" s="191">
        <v>0</v>
      </c>
      <c r="L38" s="155"/>
      <c r="M38" s="206"/>
    </row>
    <row r="39" spans="1:14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1"/>
      <c r="K39" s="210"/>
      <c r="L39" s="205"/>
      <c r="M39" s="206"/>
    </row>
    <row r="40" spans="1:14" s="13" customFormat="1" ht="16.2" thickBot="1" x14ac:dyDescent="0.35">
      <c r="A40" s="7" t="s">
        <v>88</v>
      </c>
      <c r="B40" s="39">
        <f t="shared" ref="B40:J40" si="3">+B38+B36</f>
        <v>-34674</v>
      </c>
      <c r="C40" s="39">
        <f t="shared" si="3"/>
        <v>76791</v>
      </c>
      <c r="D40" s="39">
        <f t="shared" si="3"/>
        <v>22713</v>
      </c>
      <c r="E40" s="39">
        <f t="shared" si="3"/>
        <v>-15009.140000000043</v>
      </c>
      <c r="F40" s="39">
        <f t="shared" si="3"/>
        <v>-35959.489999999991</v>
      </c>
      <c r="G40" s="39">
        <f t="shared" si="3"/>
        <v>-181974</v>
      </c>
      <c r="H40" s="39">
        <f t="shared" si="3"/>
        <v>13685</v>
      </c>
      <c r="I40" s="12">
        <f t="shared" si="3"/>
        <v>10177</v>
      </c>
      <c r="J40" s="154">
        <f t="shared" si="3"/>
        <v>36557</v>
      </c>
      <c r="K40" s="192">
        <f>+K38+K36</f>
        <v>-48371</v>
      </c>
      <c r="L40" s="155"/>
      <c r="M40" s="208"/>
    </row>
    <row r="41" spans="1:14" s="13" customFormat="1" x14ac:dyDescent="0.3">
      <c r="A41" s="4"/>
      <c r="B41" s="4"/>
      <c r="C41" s="4"/>
      <c r="D41" s="4"/>
      <c r="E41" s="4"/>
      <c r="F41" s="4"/>
      <c r="G41" s="4"/>
      <c r="H41" s="4"/>
      <c r="K41" s="58"/>
      <c r="L41" s="196"/>
      <c r="M41" s="155"/>
    </row>
    <row r="47" spans="1:14" s="4" customFormat="1" x14ac:dyDescent="0.3">
      <c r="L47" s="196"/>
      <c r="M47" s="155"/>
      <c r="N47" s="1"/>
    </row>
    <row r="48" spans="1:14" s="4" customFormat="1" x14ac:dyDescent="0.3">
      <c r="L48" s="196"/>
      <c r="M48" s="155"/>
      <c r="N48" s="1"/>
    </row>
    <row r="49" spans="12:14" s="4" customFormat="1" x14ac:dyDescent="0.3">
      <c r="L49" s="196"/>
      <c r="M49" s="155"/>
      <c r="N49" s="1"/>
    </row>
    <row r="50" spans="12:14" s="4" customFormat="1" x14ac:dyDescent="0.3">
      <c r="L50" s="196"/>
      <c r="M50" s="155"/>
      <c r="N50" s="1"/>
    </row>
  </sheetData>
  <mergeCells count="1">
    <mergeCell ref="E1:G1"/>
  </mergeCells>
  <pageMargins left="0.7" right="0.7" top="0.75" bottom="0.75" header="0.3" footer="0.3"/>
  <pageSetup paperSize="9" scale="62" orientation="landscape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  <pageSetUpPr fitToPage="1"/>
  </sheetPr>
  <dimension ref="A1:G31"/>
  <sheetViews>
    <sheetView topLeftCell="A4" workbookViewId="0"/>
  </sheetViews>
  <sheetFormatPr defaultColWidth="9.109375" defaultRowHeight="14.4" x14ac:dyDescent="0.3"/>
  <cols>
    <col min="1" max="1" width="9.109375" style="1"/>
    <col min="2" max="2" width="39.6640625" style="1" customWidth="1"/>
    <col min="3" max="5" width="13.6640625" style="1" bestFit="1" customWidth="1"/>
    <col min="6" max="16384" width="9.109375" style="1"/>
  </cols>
  <sheetData>
    <row r="1" spans="1:7" ht="34.200000000000003" thickBot="1" x14ac:dyDescent="0.7">
      <c r="A1" s="193" t="s">
        <v>2431</v>
      </c>
      <c r="B1" s="194"/>
      <c r="C1" s="195"/>
      <c r="D1" s="195"/>
      <c r="E1" s="194"/>
    </row>
    <row r="2" spans="1:7" ht="18.75" customHeight="1" thickBot="1" x14ac:dyDescent="0.7">
      <c r="A2" s="135"/>
      <c r="B2" s="130"/>
      <c r="E2" s="136"/>
    </row>
    <row r="3" spans="1:7" ht="15" thickBot="1" x14ac:dyDescent="0.35">
      <c r="A3" s="124"/>
      <c r="C3" s="102" t="s">
        <v>0</v>
      </c>
      <c r="D3" s="102" t="s">
        <v>904</v>
      </c>
      <c r="E3" s="102" t="s">
        <v>2</v>
      </c>
    </row>
    <row r="4" spans="1:7" ht="15" thickBot="1" x14ac:dyDescent="0.35">
      <c r="A4" s="147" t="s">
        <v>905</v>
      </c>
      <c r="C4" s="103">
        <v>42370</v>
      </c>
      <c r="D4" s="104"/>
      <c r="E4" s="103">
        <v>42735</v>
      </c>
    </row>
    <row r="5" spans="1:7" x14ac:dyDescent="0.3">
      <c r="A5" s="124"/>
      <c r="E5" s="136"/>
    </row>
    <row r="6" spans="1:7" ht="15.6" x14ac:dyDescent="0.3">
      <c r="A6" s="146" t="s">
        <v>906</v>
      </c>
      <c r="E6" s="136"/>
    </row>
    <row r="7" spans="1:7" ht="15" thickBot="1" x14ac:dyDescent="0.35">
      <c r="A7" s="124"/>
      <c r="B7" s="1" t="s">
        <v>5</v>
      </c>
      <c r="C7" s="105">
        <v>0</v>
      </c>
      <c r="D7" s="105">
        <v>0</v>
      </c>
      <c r="E7" s="140">
        <v>0</v>
      </c>
    </row>
    <row r="8" spans="1:7" x14ac:dyDescent="0.3">
      <c r="A8" s="137" t="s">
        <v>907</v>
      </c>
      <c r="C8" s="106">
        <f>SUM(C7:C7)</f>
        <v>0</v>
      </c>
      <c r="D8" s="106">
        <f>SUM(D7:D7)</f>
        <v>0</v>
      </c>
      <c r="E8" s="141">
        <f>SUM(E7:E7)</f>
        <v>0</v>
      </c>
    </row>
    <row r="9" spans="1:7" x14ac:dyDescent="0.3">
      <c r="A9" s="124"/>
      <c r="C9" s="138"/>
      <c r="D9" s="138"/>
      <c r="E9" s="139"/>
    </row>
    <row r="10" spans="1:7" ht="15.6" x14ac:dyDescent="0.3">
      <c r="A10" s="146" t="s">
        <v>9</v>
      </c>
      <c r="C10" s="138"/>
      <c r="D10" s="138"/>
      <c r="E10" s="139"/>
    </row>
    <row r="11" spans="1:7" x14ac:dyDescent="0.3">
      <c r="A11" s="124"/>
      <c r="B11" s="55" t="s">
        <v>10</v>
      </c>
      <c r="C11" s="138">
        <v>1000</v>
      </c>
      <c r="D11" s="138">
        <f>+E11-C11</f>
        <v>0</v>
      </c>
      <c r="E11" s="139">
        <v>1000</v>
      </c>
    </row>
    <row r="12" spans="1:7" x14ac:dyDescent="0.3">
      <c r="A12" s="124"/>
      <c r="B12" s="55" t="s">
        <v>908</v>
      </c>
      <c r="C12" s="138">
        <v>903.74</v>
      </c>
      <c r="D12" s="138">
        <f>+E12-C12</f>
        <v>64.5</v>
      </c>
      <c r="E12" s="139">
        <v>968.24</v>
      </c>
    </row>
    <row r="13" spans="1:7" x14ac:dyDescent="0.3">
      <c r="A13" s="124"/>
      <c r="B13" s="55" t="s">
        <v>2432</v>
      </c>
      <c r="C13" s="138">
        <v>101372.91</v>
      </c>
      <c r="D13" s="138">
        <f>+E13-C13</f>
        <v>72014.13</v>
      </c>
      <c r="E13" s="184">
        <v>173387.04</v>
      </c>
    </row>
    <row r="14" spans="1:7" ht="15" thickBot="1" x14ac:dyDescent="0.35">
      <c r="A14" s="124"/>
      <c r="B14" s="55" t="s">
        <v>2433</v>
      </c>
      <c r="C14" s="107">
        <v>8584.25</v>
      </c>
      <c r="D14" s="105">
        <f>+E14-C14</f>
        <v>-8584.25</v>
      </c>
      <c r="E14" s="142">
        <v>0</v>
      </c>
      <c r="G14" s="2"/>
    </row>
    <row r="15" spans="1:7" x14ac:dyDescent="0.3">
      <c r="A15" s="137" t="s">
        <v>14</v>
      </c>
      <c r="C15" s="106">
        <f>SUM(C11:C14)</f>
        <v>111860.90000000001</v>
      </c>
      <c r="D15" s="106">
        <f>SUM(D11:D14)</f>
        <v>63494.380000000005</v>
      </c>
      <c r="E15" s="141">
        <f>SUM(E11:E14)</f>
        <v>175355.28</v>
      </c>
    </row>
    <row r="16" spans="1:7" x14ac:dyDescent="0.3">
      <c r="A16" s="124"/>
      <c r="C16" s="138"/>
      <c r="D16" s="138"/>
      <c r="E16" s="139"/>
    </row>
    <row r="17" spans="1:5" ht="15.6" x14ac:dyDescent="0.3">
      <c r="A17" s="146" t="s">
        <v>911</v>
      </c>
      <c r="C17" s="138"/>
      <c r="D17" s="138"/>
      <c r="E17" s="139"/>
    </row>
    <row r="18" spans="1:5" ht="15" thickBot="1" x14ac:dyDescent="0.35">
      <c r="A18" s="122"/>
      <c r="B18" s="55"/>
      <c r="C18" s="107">
        <v>0</v>
      </c>
      <c r="D18" s="105">
        <f>+E18-C18</f>
        <v>0</v>
      </c>
      <c r="E18" s="142">
        <v>0</v>
      </c>
    </row>
    <row r="19" spans="1:5" x14ac:dyDescent="0.3">
      <c r="A19" s="137" t="s">
        <v>913</v>
      </c>
      <c r="C19" s="106">
        <f>SUM(C18:C18)</f>
        <v>0</v>
      </c>
      <c r="D19" s="106">
        <f>SUM(D18:D18)</f>
        <v>0</v>
      </c>
      <c r="E19" s="141">
        <f>SUM(E18:E18)</f>
        <v>0</v>
      </c>
    </row>
    <row r="20" spans="1:5" x14ac:dyDescent="0.3">
      <c r="A20" s="124"/>
      <c r="C20" s="138"/>
      <c r="D20" s="138"/>
      <c r="E20" s="139"/>
    </row>
    <row r="21" spans="1:5" s="58" customFormat="1" ht="15" thickBot="1" x14ac:dyDescent="0.35">
      <c r="A21" s="143" t="s">
        <v>15</v>
      </c>
      <c r="C21" s="108">
        <f>+C8+C15+C19</f>
        <v>111860.90000000001</v>
      </c>
      <c r="D21" s="108">
        <f>+E21-C21</f>
        <v>63494.37999999999</v>
      </c>
      <c r="E21" s="144">
        <f>+E8+E15+E18</f>
        <v>175355.28</v>
      </c>
    </row>
    <row r="22" spans="1:5" ht="15" thickTop="1" x14ac:dyDescent="0.3">
      <c r="A22" s="124"/>
      <c r="C22" s="138"/>
      <c r="D22" s="138"/>
      <c r="E22" s="139"/>
    </row>
    <row r="23" spans="1:5" x14ac:dyDescent="0.3">
      <c r="A23" s="124"/>
      <c r="C23" s="138"/>
      <c r="D23" s="138"/>
      <c r="E23" s="139"/>
    </row>
    <row r="24" spans="1:5" x14ac:dyDescent="0.3">
      <c r="A24" s="147" t="s">
        <v>923</v>
      </c>
      <c r="C24" s="138"/>
      <c r="D24" s="138"/>
      <c r="E24" s="139"/>
    </row>
    <row r="25" spans="1:5" x14ac:dyDescent="0.3">
      <c r="A25" s="124"/>
      <c r="C25" s="138"/>
      <c r="D25" s="138"/>
      <c r="E25" s="139"/>
    </row>
    <row r="26" spans="1:5" ht="15.6" x14ac:dyDescent="0.3">
      <c r="A26" s="146" t="s">
        <v>8</v>
      </c>
      <c r="C26" s="138"/>
      <c r="D26" s="138"/>
      <c r="E26" s="139"/>
    </row>
    <row r="27" spans="1:5" ht="15" thickBot="1" x14ac:dyDescent="0.35">
      <c r="A27" s="124"/>
      <c r="B27" s="55" t="s">
        <v>8</v>
      </c>
      <c r="C27" s="105">
        <v>111860.9</v>
      </c>
      <c r="D27" s="105">
        <f>+E27-C27</f>
        <v>63494.380000000005</v>
      </c>
      <c r="E27" s="140">
        <v>175355.28</v>
      </c>
    </row>
    <row r="28" spans="1:5" x14ac:dyDescent="0.3">
      <c r="A28" s="137" t="s">
        <v>914</v>
      </c>
      <c r="C28" s="106">
        <f>SUM(C27:C27)</f>
        <v>111860.9</v>
      </c>
      <c r="D28" s="106">
        <f>SUM(D27:D27)</f>
        <v>63494.380000000005</v>
      </c>
      <c r="E28" s="141">
        <f>SUM(E27:E27)</f>
        <v>175355.28</v>
      </c>
    </row>
    <row r="29" spans="1:5" x14ac:dyDescent="0.3">
      <c r="A29" s="124"/>
      <c r="E29" s="136"/>
    </row>
    <row r="30" spans="1:5" s="58" customFormat="1" ht="15" thickBot="1" x14ac:dyDescent="0.35">
      <c r="A30" s="143" t="s">
        <v>915</v>
      </c>
      <c r="C30" s="108">
        <f>+C28</f>
        <v>111860.9</v>
      </c>
      <c r="D30" s="108">
        <f>+D28</f>
        <v>63494.380000000005</v>
      </c>
      <c r="E30" s="144">
        <f>+E28</f>
        <v>175355.28</v>
      </c>
    </row>
    <row r="31" spans="1:5" ht="15.6" thickTop="1" thickBot="1" x14ac:dyDescent="0.35">
      <c r="A31" s="125"/>
      <c r="B31" s="126"/>
      <c r="C31" s="126"/>
      <c r="D31" s="126"/>
      <c r="E31" s="145"/>
    </row>
  </sheetData>
  <pageMargins left="1.18" right="0.7" top="0.75" bottom="0.75" header="0.3" footer="0.3"/>
  <pageSetup paperSize="9" scale="90" orientation="portrait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  <pageSetUpPr fitToPage="1"/>
  </sheetPr>
  <dimension ref="A1:I1367"/>
  <sheetViews>
    <sheetView workbookViewId="0">
      <selection activeCell="E1004" sqref="E1004"/>
    </sheetView>
  </sheetViews>
  <sheetFormatPr defaultColWidth="9.109375" defaultRowHeight="13.2" x14ac:dyDescent="0.25"/>
  <cols>
    <col min="1" max="1" width="8.109375" style="148" bestFit="1" customWidth="1"/>
    <col min="2" max="2" width="10.44140625" style="148" bestFit="1" customWidth="1"/>
    <col min="3" max="3" width="21.109375" style="149" customWidth="1"/>
    <col min="4" max="4" width="22.6640625" style="148" customWidth="1"/>
    <col min="5" max="5" width="13" style="148" customWidth="1"/>
    <col min="6" max="6" width="19.109375" style="148" bestFit="1" customWidth="1"/>
    <col min="7" max="7" width="13.44140625" style="148" bestFit="1" customWidth="1"/>
    <col min="8" max="8" width="15" style="148" bestFit="1" customWidth="1"/>
    <col min="9" max="9" width="36.109375" style="150" customWidth="1"/>
    <col min="10" max="16384" width="9.109375" style="148"/>
  </cols>
  <sheetData>
    <row r="1" spans="1:9" x14ac:dyDescent="0.25">
      <c r="A1" s="148" t="s">
        <v>89</v>
      </c>
      <c r="B1" s="148" t="s">
        <v>90</v>
      </c>
      <c r="C1" s="149" t="s">
        <v>91</v>
      </c>
      <c r="D1" s="148" t="s">
        <v>92</v>
      </c>
      <c r="E1" s="148" t="s">
        <v>93</v>
      </c>
      <c r="F1" s="148" t="s">
        <v>94</v>
      </c>
      <c r="G1" s="148" t="s">
        <v>95</v>
      </c>
      <c r="H1" s="148" t="s">
        <v>96</v>
      </c>
      <c r="I1" s="150" t="s">
        <v>97</v>
      </c>
    </row>
    <row r="2" spans="1:9" customFormat="1" ht="14.4" x14ac:dyDescent="0.3">
      <c r="A2" t="s">
        <v>2269</v>
      </c>
      <c r="B2" t="s">
        <v>2422</v>
      </c>
      <c r="C2" t="s">
        <v>1579</v>
      </c>
      <c r="D2" t="s">
        <v>101</v>
      </c>
      <c r="E2" s="45">
        <v>-2000</v>
      </c>
      <c r="F2" t="s">
        <v>154</v>
      </c>
      <c r="G2" t="s">
        <v>580</v>
      </c>
      <c r="H2" t="s">
        <v>593</v>
      </c>
    </row>
    <row r="3" spans="1:9" customFormat="1" ht="14.4" x14ac:dyDescent="0.3">
      <c r="A3" t="s">
        <v>2269</v>
      </c>
      <c r="B3" t="s">
        <v>2422</v>
      </c>
      <c r="C3" t="s">
        <v>2423</v>
      </c>
      <c r="D3" t="s">
        <v>101</v>
      </c>
      <c r="E3" s="45">
        <v>-500</v>
      </c>
      <c r="F3" t="s">
        <v>154</v>
      </c>
      <c r="G3" t="s">
        <v>586</v>
      </c>
      <c r="H3" t="s">
        <v>586</v>
      </c>
      <c r="I3" t="s">
        <v>2426</v>
      </c>
    </row>
    <row r="4" spans="1:9" customFormat="1" ht="14.4" x14ac:dyDescent="0.3">
      <c r="A4" t="s">
        <v>2269</v>
      </c>
      <c r="B4" t="s">
        <v>2422</v>
      </c>
      <c r="C4" t="s">
        <v>2424</v>
      </c>
      <c r="D4" t="s">
        <v>1185</v>
      </c>
      <c r="E4" s="45">
        <v>2390</v>
      </c>
      <c r="F4" t="s">
        <v>2371</v>
      </c>
    </row>
    <row r="5" spans="1:9" customFormat="1" ht="14.4" x14ac:dyDescent="0.3">
      <c r="A5" t="s">
        <v>2269</v>
      </c>
      <c r="B5" t="s">
        <v>2422</v>
      </c>
      <c r="C5" t="s">
        <v>838</v>
      </c>
      <c r="D5" t="s">
        <v>101</v>
      </c>
      <c r="E5" s="45">
        <v>-284</v>
      </c>
      <c r="F5" t="s">
        <v>46</v>
      </c>
      <c r="G5" t="s">
        <v>586</v>
      </c>
      <c r="H5" t="s">
        <v>586</v>
      </c>
    </row>
    <row r="6" spans="1:9" customFormat="1" ht="14.4" x14ac:dyDescent="0.3">
      <c r="A6" t="s">
        <v>2269</v>
      </c>
      <c r="B6" t="s">
        <v>2422</v>
      </c>
      <c r="C6" t="s">
        <v>38</v>
      </c>
      <c r="D6" t="s">
        <v>101</v>
      </c>
      <c r="E6" s="45">
        <v>-7355</v>
      </c>
      <c r="F6" t="s">
        <v>1633</v>
      </c>
      <c r="G6" t="s">
        <v>580</v>
      </c>
    </row>
    <row r="7" spans="1:9" customFormat="1" ht="14.4" x14ac:dyDescent="0.3">
      <c r="A7" t="s">
        <v>2269</v>
      </c>
      <c r="B7" t="s">
        <v>2422</v>
      </c>
      <c r="C7" t="s">
        <v>838</v>
      </c>
      <c r="D7" t="s">
        <v>101</v>
      </c>
      <c r="E7" s="45">
        <v>-338</v>
      </c>
      <c r="F7" t="s">
        <v>46</v>
      </c>
      <c r="G7" t="s">
        <v>586</v>
      </c>
      <c r="H7" t="s">
        <v>586</v>
      </c>
    </row>
    <row r="8" spans="1:9" customFormat="1" ht="14.4" x14ac:dyDescent="0.3">
      <c r="A8" s="215" t="s">
        <v>2269</v>
      </c>
      <c r="B8" s="215" t="s">
        <v>2425</v>
      </c>
      <c r="C8" s="215" t="s">
        <v>838</v>
      </c>
      <c r="D8" s="215" t="s">
        <v>101</v>
      </c>
      <c r="E8" s="216">
        <v>-258</v>
      </c>
      <c r="F8" s="215" t="s">
        <v>46</v>
      </c>
      <c r="G8" s="215" t="s">
        <v>586</v>
      </c>
      <c r="H8" s="215" t="s">
        <v>586</v>
      </c>
    </row>
    <row r="9" spans="1:9" customFormat="1" ht="14.4" x14ac:dyDescent="0.3">
      <c r="A9" t="s">
        <v>2269</v>
      </c>
      <c r="B9" t="s">
        <v>2376</v>
      </c>
      <c r="C9" t="s">
        <v>1615</v>
      </c>
      <c r="D9" t="s">
        <v>1819</v>
      </c>
      <c r="E9" s="45">
        <v>500</v>
      </c>
      <c r="F9" t="s">
        <v>2371</v>
      </c>
    </row>
    <row r="10" spans="1:9" customFormat="1" ht="14.4" x14ac:dyDescent="0.3">
      <c r="A10" t="s">
        <v>2269</v>
      </c>
      <c r="B10" t="s">
        <v>2376</v>
      </c>
      <c r="C10" t="s">
        <v>838</v>
      </c>
      <c r="D10" t="s">
        <v>101</v>
      </c>
      <c r="E10" s="45">
        <v>-499</v>
      </c>
      <c r="F10" t="s">
        <v>46</v>
      </c>
      <c r="G10" t="s">
        <v>586</v>
      </c>
      <c r="H10" t="s">
        <v>586</v>
      </c>
    </row>
    <row r="11" spans="1:9" customFormat="1" ht="14.4" x14ac:dyDescent="0.3">
      <c r="A11" t="s">
        <v>2269</v>
      </c>
      <c r="B11" t="s">
        <v>2376</v>
      </c>
      <c r="C11" t="s">
        <v>1615</v>
      </c>
      <c r="D11" t="s">
        <v>1834</v>
      </c>
      <c r="E11" s="45">
        <v>1500</v>
      </c>
      <c r="F11" t="s">
        <v>2371</v>
      </c>
    </row>
    <row r="12" spans="1:9" customFormat="1" ht="14.4" x14ac:dyDescent="0.3">
      <c r="A12" t="s">
        <v>2269</v>
      </c>
      <c r="B12" t="s">
        <v>2377</v>
      </c>
      <c r="C12" t="s">
        <v>838</v>
      </c>
      <c r="D12" t="s">
        <v>101</v>
      </c>
      <c r="E12" s="45">
        <v>-478</v>
      </c>
      <c r="F12" t="s">
        <v>46</v>
      </c>
      <c r="G12" t="s">
        <v>586</v>
      </c>
      <c r="H12" t="s">
        <v>586</v>
      </c>
    </row>
    <row r="13" spans="1:9" customFormat="1" ht="14.4" x14ac:dyDescent="0.3">
      <c r="A13" t="s">
        <v>2269</v>
      </c>
      <c r="B13" t="s">
        <v>2378</v>
      </c>
      <c r="C13" t="s">
        <v>934</v>
      </c>
      <c r="D13" t="s">
        <v>101</v>
      </c>
      <c r="E13" s="45">
        <v>-1400</v>
      </c>
      <c r="F13" t="s">
        <v>36</v>
      </c>
      <c r="G13" t="s">
        <v>580</v>
      </c>
      <c r="H13" t="s">
        <v>582</v>
      </c>
    </row>
    <row r="14" spans="1:9" customFormat="1" ht="14.4" x14ac:dyDescent="0.3">
      <c r="A14" t="s">
        <v>2269</v>
      </c>
      <c r="B14" t="s">
        <v>2378</v>
      </c>
      <c r="C14" t="s">
        <v>962</v>
      </c>
      <c r="D14" t="s">
        <v>101</v>
      </c>
      <c r="E14" s="45">
        <v>-1400</v>
      </c>
      <c r="F14" t="s">
        <v>36</v>
      </c>
      <c r="G14" t="s">
        <v>580</v>
      </c>
      <c r="H14" t="s">
        <v>342</v>
      </c>
    </row>
    <row r="15" spans="1:9" customFormat="1" ht="14.4" x14ac:dyDescent="0.3">
      <c r="A15" t="s">
        <v>2269</v>
      </c>
      <c r="B15" t="s">
        <v>2378</v>
      </c>
      <c r="C15" t="s">
        <v>962</v>
      </c>
      <c r="D15" t="s">
        <v>101</v>
      </c>
      <c r="E15" s="45">
        <v>-1600</v>
      </c>
      <c r="F15" t="s">
        <v>36</v>
      </c>
      <c r="G15" t="s">
        <v>580</v>
      </c>
      <c r="H15" t="s">
        <v>342</v>
      </c>
    </row>
    <row r="16" spans="1:9" customFormat="1" ht="14.4" x14ac:dyDescent="0.3">
      <c r="A16" t="s">
        <v>2269</v>
      </c>
      <c r="B16" t="s">
        <v>2379</v>
      </c>
      <c r="C16" t="s">
        <v>838</v>
      </c>
      <c r="D16" t="s">
        <v>101</v>
      </c>
      <c r="E16" s="45">
        <v>-519</v>
      </c>
      <c r="F16" t="s">
        <v>46</v>
      </c>
      <c r="G16" t="s">
        <v>586</v>
      </c>
      <c r="H16" t="s">
        <v>586</v>
      </c>
    </row>
    <row r="17" spans="1:9" customFormat="1" ht="14.4" x14ac:dyDescent="0.3">
      <c r="A17" t="s">
        <v>2269</v>
      </c>
      <c r="B17" t="s">
        <v>2379</v>
      </c>
      <c r="C17" t="s">
        <v>995</v>
      </c>
      <c r="D17" t="s">
        <v>126</v>
      </c>
      <c r="E17" s="45">
        <v>-1570</v>
      </c>
      <c r="F17" t="s">
        <v>39</v>
      </c>
      <c r="G17" t="s">
        <v>586</v>
      </c>
      <c r="H17" t="s">
        <v>586</v>
      </c>
    </row>
    <row r="18" spans="1:9" customFormat="1" ht="14.4" x14ac:dyDescent="0.3">
      <c r="A18" t="s">
        <v>2269</v>
      </c>
      <c r="B18" t="s">
        <v>2379</v>
      </c>
      <c r="C18" t="s">
        <v>995</v>
      </c>
      <c r="D18" t="s">
        <v>126</v>
      </c>
      <c r="E18" s="45">
        <v>-480</v>
      </c>
      <c r="F18" t="s">
        <v>39</v>
      </c>
      <c r="G18" t="s">
        <v>586</v>
      </c>
      <c r="H18" t="s">
        <v>586</v>
      </c>
    </row>
    <row r="19" spans="1:9" customFormat="1" ht="43.2" x14ac:dyDescent="0.3">
      <c r="A19" t="s">
        <v>2269</v>
      </c>
      <c r="B19" t="s">
        <v>2379</v>
      </c>
      <c r="C19" t="s">
        <v>2380</v>
      </c>
      <c r="D19" t="s">
        <v>126</v>
      </c>
      <c r="E19" s="45">
        <v>-2125</v>
      </c>
      <c r="F19" t="s">
        <v>2412</v>
      </c>
      <c r="I19" s="152" t="s">
        <v>2415</v>
      </c>
    </row>
    <row r="20" spans="1:9" customFormat="1" ht="28.8" x14ac:dyDescent="0.3">
      <c r="A20" t="s">
        <v>2269</v>
      </c>
      <c r="B20" t="s">
        <v>2379</v>
      </c>
      <c r="C20" t="s">
        <v>2381</v>
      </c>
      <c r="D20" t="s">
        <v>126</v>
      </c>
      <c r="E20" s="45">
        <v>-1000</v>
      </c>
      <c r="F20" t="s">
        <v>2411</v>
      </c>
      <c r="I20" s="152" t="s">
        <v>2414</v>
      </c>
    </row>
    <row r="21" spans="1:9" customFormat="1" ht="14.4" x14ac:dyDescent="0.3">
      <c r="A21" t="s">
        <v>2269</v>
      </c>
      <c r="B21" t="s">
        <v>2379</v>
      </c>
      <c r="C21" t="s">
        <v>995</v>
      </c>
      <c r="D21" t="s">
        <v>126</v>
      </c>
      <c r="E21" s="45">
        <v>-730</v>
      </c>
      <c r="F21" t="s">
        <v>39</v>
      </c>
      <c r="G21" t="s">
        <v>586</v>
      </c>
      <c r="H21" t="s">
        <v>586</v>
      </c>
    </row>
    <row r="22" spans="1:9" customFormat="1" ht="43.2" x14ac:dyDescent="0.3">
      <c r="A22" t="s">
        <v>2269</v>
      </c>
      <c r="B22" t="s">
        <v>2379</v>
      </c>
      <c r="C22" t="s">
        <v>1225</v>
      </c>
      <c r="D22" t="s">
        <v>126</v>
      </c>
      <c r="E22" s="45">
        <v>-18100</v>
      </c>
      <c r="I22" s="152" t="s">
        <v>2416</v>
      </c>
    </row>
    <row r="23" spans="1:9" customFormat="1" ht="28.8" x14ac:dyDescent="0.3">
      <c r="A23" t="s">
        <v>2269</v>
      </c>
      <c r="B23" t="s">
        <v>2379</v>
      </c>
      <c r="C23" t="s">
        <v>2381</v>
      </c>
      <c r="D23" t="s">
        <v>126</v>
      </c>
      <c r="E23" s="45">
        <v>-2000</v>
      </c>
      <c r="F23" t="s">
        <v>2411</v>
      </c>
      <c r="I23" s="152" t="s">
        <v>2413</v>
      </c>
    </row>
    <row r="24" spans="1:9" customFormat="1" ht="14.4" x14ac:dyDescent="0.3">
      <c r="A24" t="s">
        <v>2269</v>
      </c>
      <c r="B24" t="s">
        <v>2379</v>
      </c>
      <c r="C24" t="s">
        <v>1615</v>
      </c>
      <c r="D24" t="s">
        <v>1834</v>
      </c>
      <c r="E24" s="45">
        <v>1000</v>
      </c>
      <c r="F24" t="s">
        <v>2371</v>
      </c>
    </row>
    <row r="25" spans="1:9" customFormat="1" ht="14.4" x14ac:dyDescent="0.3">
      <c r="A25" t="s">
        <v>2269</v>
      </c>
      <c r="B25" t="s">
        <v>2379</v>
      </c>
      <c r="C25" t="s">
        <v>1615</v>
      </c>
      <c r="D25" t="s">
        <v>1819</v>
      </c>
      <c r="E25" s="45">
        <v>500</v>
      </c>
      <c r="F25" t="s">
        <v>2371</v>
      </c>
    </row>
    <row r="26" spans="1:9" customFormat="1" ht="14.4" x14ac:dyDescent="0.3">
      <c r="A26" t="s">
        <v>2269</v>
      </c>
      <c r="B26" t="s">
        <v>2382</v>
      </c>
      <c r="C26" t="s">
        <v>144</v>
      </c>
      <c r="D26" t="s">
        <v>145</v>
      </c>
      <c r="E26" s="45">
        <v>400</v>
      </c>
      <c r="F26" t="s">
        <v>1441</v>
      </c>
      <c r="I26" t="s">
        <v>2410</v>
      </c>
    </row>
    <row r="27" spans="1:9" customFormat="1" ht="14.4" x14ac:dyDescent="0.3">
      <c r="A27" t="s">
        <v>2269</v>
      </c>
      <c r="B27" t="s">
        <v>2383</v>
      </c>
      <c r="C27" t="s">
        <v>144</v>
      </c>
      <c r="D27" t="s">
        <v>145</v>
      </c>
      <c r="E27" s="45">
        <v>1000</v>
      </c>
      <c r="F27" t="s">
        <v>1441</v>
      </c>
      <c r="I27" t="s">
        <v>2409</v>
      </c>
    </row>
    <row r="28" spans="1:9" customFormat="1" ht="14.4" x14ac:dyDescent="0.3">
      <c r="A28" t="s">
        <v>2269</v>
      </c>
      <c r="B28" t="s">
        <v>2384</v>
      </c>
      <c r="C28" t="s">
        <v>1219</v>
      </c>
      <c r="D28" t="s">
        <v>101</v>
      </c>
      <c r="E28" s="45">
        <v>-400</v>
      </c>
      <c r="F28" t="s">
        <v>154</v>
      </c>
      <c r="I28" t="s">
        <v>2408</v>
      </c>
    </row>
    <row r="29" spans="1:9" customFormat="1" ht="14.4" x14ac:dyDescent="0.3">
      <c r="A29" t="s">
        <v>2269</v>
      </c>
      <c r="B29" t="s">
        <v>2384</v>
      </c>
      <c r="C29" t="s">
        <v>1615</v>
      </c>
      <c r="D29" t="s">
        <v>2351</v>
      </c>
      <c r="E29" s="45">
        <v>40</v>
      </c>
      <c r="F29" t="s">
        <v>2371</v>
      </c>
    </row>
    <row r="30" spans="1:9" customFormat="1" ht="14.4" x14ac:dyDescent="0.3">
      <c r="A30" t="s">
        <v>2269</v>
      </c>
      <c r="B30" t="s">
        <v>2384</v>
      </c>
      <c r="C30" t="s">
        <v>1615</v>
      </c>
      <c r="D30" t="s">
        <v>2160</v>
      </c>
      <c r="E30" s="45">
        <v>15</v>
      </c>
      <c r="F30" t="s">
        <v>2371</v>
      </c>
    </row>
    <row r="31" spans="1:9" customFormat="1" ht="14.4" x14ac:dyDescent="0.3">
      <c r="A31" t="s">
        <v>2269</v>
      </c>
      <c r="B31" t="s">
        <v>2384</v>
      </c>
      <c r="C31" t="s">
        <v>1615</v>
      </c>
      <c r="D31" t="s">
        <v>2153</v>
      </c>
      <c r="E31" s="45">
        <v>20</v>
      </c>
      <c r="F31" t="s">
        <v>2371</v>
      </c>
    </row>
    <row r="32" spans="1:9" customFormat="1" ht="14.4" x14ac:dyDescent="0.3">
      <c r="A32" t="s">
        <v>2269</v>
      </c>
      <c r="B32" t="s">
        <v>2384</v>
      </c>
      <c r="C32" t="s">
        <v>1615</v>
      </c>
      <c r="D32" t="s">
        <v>2385</v>
      </c>
      <c r="E32" s="45">
        <v>100</v>
      </c>
      <c r="F32" t="s">
        <v>2371</v>
      </c>
    </row>
    <row r="33" spans="1:6" customFormat="1" ht="14.4" x14ac:dyDescent="0.3">
      <c r="A33" t="s">
        <v>2269</v>
      </c>
      <c r="B33" t="s">
        <v>2384</v>
      </c>
      <c r="C33" t="s">
        <v>1615</v>
      </c>
      <c r="D33" t="s">
        <v>2386</v>
      </c>
      <c r="E33" s="45">
        <v>100</v>
      </c>
      <c r="F33" t="s">
        <v>2371</v>
      </c>
    </row>
    <row r="34" spans="1:6" customFormat="1" ht="14.4" x14ac:dyDescent="0.3">
      <c r="A34" t="s">
        <v>2269</v>
      </c>
      <c r="B34" t="s">
        <v>2384</v>
      </c>
      <c r="C34" t="s">
        <v>1615</v>
      </c>
      <c r="D34" t="s">
        <v>1845</v>
      </c>
      <c r="E34" s="45">
        <v>120</v>
      </c>
      <c r="F34" t="s">
        <v>2371</v>
      </c>
    </row>
    <row r="35" spans="1:6" customFormat="1" ht="14.4" x14ac:dyDescent="0.3">
      <c r="A35" t="s">
        <v>2269</v>
      </c>
      <c r="B35" t="s">
        <v>2384</v>
      </c>
      <c r="C35" t="s">
        <v>1615</v>
      </c>
      <c r="D35" t="s">
        <v>2387</v>
      </c>
      <c r="E35" s="45">
        <v>40</v>
      </c>
      <c r="F35" t="s">
        <v>2371</v>
      </c>
    </row>
    <row r="36" spans="1:6" customFormat="1" ht="14.4" x14ac:dyDescent="0.3">
      <c r="A36" t="s">
        <v>2269</v>
      </c>
      <c r="B36" t="s">
        <v>2384</v>
      </c>
      <c r="C36" t="s">
        <v>1615</v>
      </c>
      <c r="D36" t="s">
        <v>2388</v>
      </c>
      <c r="E36" s="45">
        <v>60</v>
      </c>
      <c r="F36" t="s">
        <v>2371</v>
      </c>
    </row>
    <row r="37" spans="1:6" customFormat="1" ht="14.4" x14ac:dyDescent="0.3">
      <c r="A37" t="s">
        <v>2269</v>
      </c>
      <c r="B37" t="s">
        <v>2384</v>
      </c>
      <c r="C37" t="s">
        <v>1615</v>
      </c>
      <c r="D37" t="s">
        <v>2160</v>
      </c>
      <c r="E37" s="45">
        <v>10</v>
      </c>
      <c r="F37" t="s">
        <v>2371</v>
      </c>
    </row>
    <row r="38" spans="1:6" customFormat="1" ht="14.4" x14ac:dyDescent="0.3">
      <c r="A38" t="s">
        <v>2269</v>
      </c>
      <c r="B38" t="s">
        <v>2384</v>
      </c>
      <c r="C38" t="s">
        <v>1615</v>
      </c>
      <c r="D38" t="s">
        <v>2063</v>
      </c>
      <c r="E38" s="45">
        <v>100</v>
      </c>
      <c r="F38" t="s">
        <v>2371</v>
      </c>
    </row>
    <row r="39" spans="1:6" customFormat="1" ht="14.4" x14ac:dyDescent="0.3">
      <c r="A39" t="s">
        <v>2269</v>
      </c>
      <c r="B39" t="s">
        <v>2384</v>
      </c>
      <c r="C39" t="s">
        <v>1615</v>
      </c>
      <c r="D39" t="s">
        <v>2389</v>
      </c>
      <c r="E39" s="45">
        <v>40</v>
      </c>
      <c r="F39" t="s">
        <v>2371</v>
      </c>
    </row>
    <row r="40" spans="1:6" customFormat="1" ht="14.4" x14ac:dyDescent="0.3">
      <c r="A40" t="s">
        <v>2269</v>
      </c>
      <c r="B40" t="s">
        <v>2384</v>
      </c>
      <c r="C40" t="s">
        <v>1615</v>
      </c>
      <c r="D40" t="s">
        <v>2390</v>
      </c>
      <c r="E40" s="45">
        <v>120</v>
      </c>
      <c r="F40" t="s">
        <v>2371</v>
      </c>
    </row>
    <row r="41" spans="1:6" customFormat="1" ht="14.4" x14ac:dyDescent="0.3">
      <c r="A41" t="s">
        <v>2269</v>
      </c>
      <c r="B41" t="s">
        <v>2384</v>
      </c>
      <c r="C41" t="s">
        <v>1615</v>
      </c>
      <c r="D41" t="s">
        <v>2391</v>
      </c>
      <c r="E41" s="45">
        <v>50</v>
      </c>
      <c r="F41" t="s">
        <v>2371</v>
      </c>
    </row>
    <row r="42" spans="1:6" customFormat="1" ht="14.4" x14ac:dyDescent="0.3">
      <c r="A42" t="s">
        <v>2269</v>
      </c>
      <c r="B42" t="s">
        <v>2384</v>
      </c>
      <c r="C42" t="s">
        <v>1615</v>
      </c>
      <c r="D42" t="s">
        <v>2392</v>
      </c>
      <c r="E42" s="45">
        <v>160</v>
      </c>
      <c r="F42" t="s">
        <v>2371</v>
      </c>
    </row>
    <row r="43" spans="1:6" customFormat="1" ht="14.4" x14ac:dyDescent="0.3">
      <c r="A43" t="s">
        <v>2269</v>
      </c>
      <c r="B43" t="s">
        <v>2384</v>
      </c>
      <c r="C43" t="s">
        <v>1615</v>
      </c>
      <c r="D43" t="s">
        <v>2016</v>
      </c>
      <c r="E43" s="45">
        <v>60</v>
      </c>
      <c r="F43" t="s">
        <v>2371</v>
      </c>
    </row>
    <row r="44" spans="1:6" customFormat="1" ht="14.4" x14ac:dyDescent="0.3">
      <c r="A44" t="s">
        <v>2269</v>
      </c>
      <c r="B44" t="s">
        <v>2384</v>
      </c>
      <c r="C44" t="s">
        <v>1615</v>
      </c>
      <c r="D44" t="s">
        <v>2351</v>
      </c>
      <c r="E44" s="45">
        <v>230</v>
      </c>
      <c r="F44" t="s">
        <v>2371</v>
      </c>
    </row>
    <row r="45" spans="1:6" customFormat="1" ht="14.4" x14ac:dyDescent="0.3">
      <c r="A45" t="s">
        <v>2269</v>
      </c>
      <c r="B45" t="s">
        <v>2384</v>
      </c>
      <c r="C45" t="s">
        <v>1615</v>
      </c>
      <c r="D45" t="s">
        <v>2351</v>
      </c>
      <c r="E45" s="45">
        <v>120</v>
      </c>
      <c r="F45" t="s">
        <v>2371</v>
      </c>
    </row>
    <row r="46" spans="1:6" customFormat="1" ht="14.4" x14ac:dyDescent="0.3">
      <c r="A46" t="s">
        <v>2269</v>
      </c>
      <c r="B46" t="s">
        <v>2384</v>
      </c>
      <c r="C46" t="s">
        <v>1615</v>
      </c>
      <c r="D46" t="s">
        <v>2351</v>
      </c>
      <c r="E46" s="45">
        <v>80</v>
      </c>
      <c r="F46" t="s">
        <v>2371</v>
      </c>
    </row>
    <row r="47" spans="1:6" customFormat="1" ht="14.4" x14ac:dyDescent="0.3">
      <c r="A47" t="s">
        <v>2269</v>
      </c>
      <c r="B47" t="s">
        <v>2384</v>
      </c>
      <c r="C47" t="s">
        <v>1615</v>
      </c>
      <c r="D47" t="s">
        <v>2351</v>
      </c>
      <c r="E47" s="45">
        <v>200</v>
      </c>
      <c r="F47" t="s">
        <v>2371</v>
      </c>
    </row>
    <row r="48" spans="1:6" customFormat="1" ht="14.4" x14ac:dyDescent="0.3">
      <c r="A48" t="s">
        <v>2269</v>
      </c>
      <c r="B48" t="s">
        <v>2393</v>
      </c>
      <c r="C48" t="s">
        <v>1615</v>
      </c>
      <c r="D48" t="s">
        <v>2351</v>
      </c>
      <c r="E48" s="45">
        <v>80</v>
      </c>
      <c r="F48" t="s">
        <v>2371</v>
      </c>
    </row>
    <row r="49" spans="1:8" customFormat="1" ht="14.4" x14ac:dyDescent="0.3">
      <c r="A49" t="s">
        <v>2269</v>
      </c>
      <c r="B49" t="s">
        <v>2393</v>
      </c>
      <c r="C49" t="s">
        <v>1615</v>
      </c>
      <c r="D49" t="s">
        <v>2351</v>
      </c>
      <c r="E49" s="45">
        <v>120</v>
      </c>
      <c r="F49" t="s">
        <v>2371</v>
      </c>
    </row>
    <row r="50" spans="1:8" customFormat="1" ht="14.4" x14ac:dyDescent="0.3">
      <c r="A50" t="s">
        <v>2269</v>
      </c>
      <c r="B50" t="s">
        <v>2393</v>
      </c>
      <c r="C50" t="s">
        <v>1615</v>
      </c>
      <c r="D50" t="s">
        <v>2351</v>
      </c>
      <c r="E50" s="45">
        <v>80</v>
      </c>
      <c r="F50" t="s">
        <v>2371</v>
      </c>
    </row>
    <row r="51" spans="1:8" customFormat="1" ht="14.4" x14ac:dyDescent="0.3">
      <c r="A51" t="s">
        <v>2269</v>
      </c>
      <c r="B51" t="s">
        <v>2394</v>
      </c>
      <c r="C51" t="s">
        <v>838</v>
      </c>
      <c r="D51" t="s">
        <v>101</v>
      </c>
      <c r="E51" s="45">
        <v>-1495</v>
      </c>
      <c r="F51" t="s">
        <v>46</v>
      </c>
      <c r="G51" t="s">
        <v>586</v>
      </c>
      <c r="H51" t="s">
        <v>586</v>
      </c>
    </row>
    <row r="52" spans="1:8" customFormat="1" ht="14.4" x14ac:dyDescent="0.3">
      <c r="A52" s="166" t="s">
        <v>2269</v>
      </c>
      <c r="B52" s="166" t="s">
        <v>2395</v>
      </c>
      <c r="C52" s="166" t="s">
        <v>144</v>
      </c>
      <c r="D52" s="166" t="s">
        <v>145</v>
      </c>
      <c r="E52" s="167">
        <v>1000</v>
      </c>
      <c r="F52" s="166"/>
      <c r="G52" s="166"/>
      <c r="H52" s="166"/>
    </row>
    <row r="53" spans="1:8" customFormat="1" ht="14.4" x14ac:dyDescent="0.3">
      <c r="A53" s="166" t="s">
        <v>2269</v>
      </c>
      <c r="B53" s="166" t="s">
        <v>2395</v>
      </c>
      <c r="C53" s="166" t="s">
        <v>1144</v>
      </c>
      <c r="D53" s="166" t="s">
        <v>126</v>
      </c>
      <c r="E53" s="167">
        <v>-1000</v>
      </c>
      <c r="F53" s="166"/>
      <c r="G53" s="166"/>
      <c r="H53" s="166"/>
    </row>
    <row r="54" spans="1:8" customFormat="1" ht="14.4" x14ac:dyDescent="0.3">
      <c r="A54" t="s">
        <v>2269</v>
      </c>
      <c r="B54" t="s">
        <v>2396</v>
      </c>
      <c r="C54" t="s">
        <v>1615</v>
      </c>
      <c r="D54" t="s">
        <v>2351</v>
      </c>
      <c r="E54" s="45">
        <v>160</v>
      </c>
      <c r="F54" t="s">
        <v>2371</v>
      </c>
    </row>
    <row r="55" spans="1:8" customFormat="1" ht="14.4" x14ac:dyDescent="0.3">
      <c r="A55" t="s">
        <v>2269</v>
      </c>
      <c r="B55" t="s">
        <v>2396</v>
      </c>
      <c r="C55" t="s">
        <v>1615</v>
      </c>
      <c r="D55" t="s">
        <v>2351</v>
      </c>
      <c r="E55" s="45">
        <v>40</v>
      </c>
      <c r="F55" t="s">
        <v>2371</v>
      </c>
    </row>
    <row r="56" spans="1:8" customFormat="1" ht="14.4" x14ac:dyDescent="0.3">
      <c r="A56" t="s">
        <v>2269</v>
      </c>
      <c r="B56" t="s">
        <v>2396</v>
      </c>
      <c r="C56" t="s">
        <v>1615</v>
      </c>
      <c r="D56" t="s">
        <v>2351</v>
      </c>
      <c r="E56" s="45">
        <v>120</v>
      </c>
      <c r="F56" t="s">
        <v>2371</v>
      </c>
    </row>
    <row r="57" spans="1:8" customFormat="1" ht="14.4" x14ac:dyDescent="0.3">
      <c r="A57" t="s">
        <v>2269</v>
      </c>
      <c r="B57" t="s">
        <v>2397</v>
      </c>
      <c r="C57" t="s">
        <v>1615</v>
      </c>
      <c r="D57" t="s">
        <v>2351</v>
      </c>
      <c r="E57" s="45">
        <v>40</v>
      </c>
      <c r="F57" t="s">
        <v>2371</v>
      </c>
    </row>
    <row r="58" spans="1:8" customFormat="1" ht="14.4" x14ac:dyDescent="0.3">
      <c r="A58" t="s">
        <v>2269</v>
      </c>
      <c r="B58" t="s">
        <v>2397</v>
      </c>
      <c r="C58" t="s">
        <v>2398</v>
      </c>
      <c r="D58" t="s">
        <v>101</v>
      </c>
      <c r="E58" s="45">
        <v>-2390</v>
      </c>
      <c r="F58" t="s">
        <v>978</v>
      </c>
    </row>
    <row r="59" spans="1:8" customFormat="1" ht="14.4" x14ac:dyDescent="0.3">
      <c r="A59" t="s">
        <v>2269</v>
      </c>
      <c r="B59" t="s">
        <v>2399</v>
      </c>
      <c r="C59" t="s">
        <v>1615</v>
      </c>
      <c r="D59" t="s">
        <v>2351</v>
      </c>
      <c r="E59" s="45">
        <v>100</v>
      </c>
      <c r="F59" t="s">
        <v>1441</v>
      </c>
    </row>
    <row r="60" spans="1:8" customFormat="1" ht="14.4" x14ac:dyDescent="0.3">
      <c r="A60" t="s">
        <v>2269</v>
      </c>
      <c r="B60" t="s">
        <v>2399</v>
      </c>
      <c r="C60" t="s">
        <v>38</v>
      </c>
      <c r="D60" t="s">
        <v>101</v>
      </c>
      <c r="E60" s="45">
        <v>-629</v>
      </c>
      <c r="F60" t="s">
        <v>1633</v>
      </c>
    </row>
    <row r="61" spans="1:8" customFormat="1" ht="14.4" x14ac:dyDescent="0.3">
      <c r="A61" t="s">
        <v>2269</v>
      </c>
      <c r="B61" t="s">
        <v>2400</v>
      </c>
      <c r="C61" t="s">
        <v>144</v>
      </c>
      <c r="D61" t="s">
        <v>145</v>
      </c>
      <c r="E61" s="45">
        <v>6000</v>
      </c>
      <c r="F61" t="s">
        <v>22</v>
      </c>
      <c r="G61" t="s">
        <v>580</v>
      </c>
      <c r="H61" t="s">
        <v>1757</v>
      </c>
    </row>
    <row r="62" spans="1:8" customFormat="1" ht="14.4" x14ac:dyDescent="0.3">
      <c r="A62" t="s">
        <v>2269</v>
      </c>
      <c r="B62" t="s">
        <v>2400</v>
      </c>
      <c r="C62" t="s">
        <v>1615</v>
      </c>
      <c r="D62" t="s">
        <v>2351</v>
      </c>
      <c r="E62" s="45">
        <v>120</v>
      </c>
      <c r="F62" t="s">
        <v>2371</v>
      </c>
    </row>
    <row r="63" spans="1:8" customFormat="1" ht="14.4" x14ac:dyDescent="0.3">
      <c r="A63" t="s">
        <v>2269</v>
      </c>
      <c r="B63" t="s">
        <v>2400</v>
      </c>
      <c r="C63" t="s">
        <v>1579</v>
      </c>
      <c r="D63" t="s">
        <v>101</v>
      </c>
      <c r="E63" s="45">
        <v>-2000</v>
      </c>
      <c r="F63" t="s">
        <v>154</v>
      </c>
    </row>
    <row r="64" spans="1:8" customFormat="1" ht="14.4" x14ac:dyDescent="0.3">
      <c r="A64" t="s">
        <v>2269</v>
      </c>
      <c r="B64" t="s">
        <v>2400</v>
      </c>
      <c r="C64" t="s">
        <v>508</v>
      </c>
      <c r="D64" t="s">
        <v>101</v>
      </c>
      <c r="E64" s="45">
        <v>-322</v>
      </c>
      <c r="F64" t="s">
        <v>508</v>
      </c>
    </row>
    <row r="65" spans="1:8" customFormat="1" ht="14.4" x14ac:dyDescent="0.3">
      <c r="A65" t="s">
        <v>2269</v>
      </c>
      <c r="B65" t="s">
        <v>2401</v>
      </c>
      <c r="C65" t="s">
        <v>942</v>
      </c>
      <c r="D65" t="s">
        <v>126</v>
      </c>
      <c r="E65" s="45">
        <v>-200</v>
      </c>
      <c r="F65" t="s">
        <v>39</v>
      </c>
      <c r="G65" t="s">
        <v>580</v>
      </c>
      <c r="H65" t="s">
        <v>592</v>
      </c>
    </row>
    <row r="66" spans="1:8" customFormat="1" ht="14.4" x14ac:dyDescent="0.3">
      <c r="A66" t="s">
        <v>2269</v>
      </c>
      <c r="B66" t="s">
        <v>2401</v>
      </c>
      <c r="C66" t="s">
        <v>942</v>
      </c>
      <c r="D66" t="s">
        <v>126</v>
      </c>
      <c r="E66" s="45">
        <v>-245</v>
      </c>
      <c r="F66" t="s">
        <v>39</v>
      </c>
      <c r="G66" t="s">
        <v>580</v>
      </c>
      <c r="H66" t="s">
        <v>592</v>
      </c>
    </row>
    <row r="67" spans="1:8" customFormat="1" ht="14.4" x14ac:dyDescent="0.3">
      <c r="A67" t="s">
        <v>2269</v>
      </c>
      <c r="B67" t="s">
        <v>2401</v>
      </c>
      <c r="C67" t="s">
        <v>942</v>
      </c>
      <c r="D67" t="s">
        <v>126</v>
      </c>
      <c r="E67" s="45">
        <v>-190</v>
      </c>
      <c r="F67" t="s">
        <v>39</v>
      </c>
      <c r="G67" t="s">
        <v>580</v>
      </c>
      <c r="H67" t="s">
        <v>592</v>
      </c>
    </row>
    <row r="68" spans="1:8" customFormat="1" ht="14.4" x14ac:dyDescent="0.3">
      <c r="A68" t="s">
        <v>2269</v>
      </c>
      <c r="B68" t="s">
        <v>2401</v>
      </c>
      <c r="C68" t="s">
        <v>942</v>
      </c>
      <c r="D68" t="s">
        <v>126</v>
      </c>
      <c r="E68" s="45">
        <v>-190</v>
      </c>
      <c r="F68" t="s">
        <v>39</v>
      </c>
      <c r="G68" t="s">
        <v>580</v>
      </c>
      <c r="H68" t="s">
        <v>592</v>
      </c>
    </row>
    <row r="69" spans="1:8" customFormat="1" ht="14.4" x14ac:dyDescent="0.3">
      <c r="A69" t="s">
        <v>2269</v>
      </c>
      <c r="B69" t="s">
        <v>2401</v>
      </c>
      <c r="C69" t="s">
        <v>995</v>
      </c>
      <c r="D69" t="s">
        <v>126</v>
      </c>
      <c r="E69" s="45">
        <v>-1832</v>
      </c>
      <c r="F69" t="s">
        <v>39</v>
      </c>
      <c r="G69" t="s">
        <v>586</v>
      </c>
      <c r="H69" t="s">
        <v>586</v>
      </c>
    </row>
    <row r="70" spans="1:8" customFormat="1" ht="14.4" x14ac:dyDescent="0.3">
      <c r="A70" t="s">
        <v>2269</v>
      </c>
      <c r="B70" t="s">
        <v>2401</v>
      </c>
      <c r="C70" t="s">
        <v>995</v>
      </c>
      <c r="D70" t="s">
        <v>126</v>
      </c>
      <c r="E70" s="45">
        <v>-800</v>
      </c>
      <c r="F70" t="s">
        <v>39</v>
      </c>
      <c r="G70" t="s">
        <v>586</v>
      </c>
      <c r="H70" t="s">
        <v>586</v>
      </c>
    </row>
    <row r="71" spans="1:8" customFormat="1" ht="14.4" x14ac:dyDescent="0.3">
      <c r="A71" t="s">
        <v>2269</v>
      </c>
      <c r="B71" t="s">
        <v>2401</v>
      </c>
      <c r="C71" t="s">
        <v>942</v>
      </c>
      <c r="D71" t="s">
        <v>126</v>
      </c>
      <c r="E71" s="45">
        <v>-190</v>
      </c>
      <c r="F71" t="s">
        <v>39</v>
      </c>
      <c r="G71" t="s">
        <v>580</v>
      </c>
      <c r="H71" t="s">
        <v>592</v>
      </c>
    </row>
    <row r="72" spans="1:8" customFormat="1" ht="14.4" x14ac:dyDescent="0.3">
      <c r="A72" t="s">
        <v>2269</v>
      </c>
      <c r="B72" t="s">
        <v>2401</v>
      </c>
      <c r="C72" t="s">
        <v>942</v>
      </c>
      <c r="D72" t="s">
        <v>126</v>
      </c>
      <c r="E72" s="45">
        <v>-395</v>
      </c>
      <c r="F72" t="s">
        <v>39</v>
      </c>
      <c r="G72" t="s">
        <v>580</v>
      </c>
      <c r="H72" t="s">
        <v>592</v>
      </c>
    </row>
    <row r="73" spans="1:8" customFormat="1" ht="14.4" x14ac:dyDescent="0.3">
      <c r="A73" t="s">
        <v>2269</v>
      </c>
      <c r="B73" t="s">
        <v>2401</v>
      </c>
      <c r="C73" t="s">
        <v>1615</v>
      </c>
      <c r="D73" t="s">
        <v>1834</v>
      </c>
      <c r="E73" s="45">
        <v>400</v>
      </c>
      <c r="F73" t="s">
        <v>1441</v>
      </c>
    </row>
    <row r="74" spans="1:8" customFormat="1" ht="14.4" x14ac:dyDescent="0.3">
      <c r="A74" t="s">
        <v>2269</v>
      </c>
      <c r="B74" t="s">
        <v>2401</v>
      </c>
      <c r="C74" t="s">
        <v>1615</v>
      </c>
      <c r="D74" t="s">
        <v>2402</v>
      </c>
      <c r="E74" s="45">
        <v>75</v>
      </c>
      <c r="F74" t="s">
        <v>1441</v>
      </c>
    </row>
    <row r="75" spans="1:8" customFormat="1" ht="14.4" x14ac:dyDescent="0.3">
      <c r="A75" t="s">
        <v>2269</v>
      </c>
      <c r="B75" t="s">
        <v>2401</v>
      </c>
      <c r="C75" t="s">
        <v>1615</v>
      </c>
      <c r="D75" t="s">
        <v>2403</v>
      </c>
      <c r="E75" s="45">
        <v>40</v>
      </c>
      <c r="F75" t="s">
        <v>2371</v>
      </c>
    </row>
    <row r="76" spans="1:8" customFormat="1" ht="14.4" x14ac:dyDescent="0.3">
      <c r="A76" t="s">
        <v>2269</v>
      </c>
      <c r="B76" t="s">
        <v>2401</v>
      </c>
      <c r="C76" t="s">
        <v>1615</v>
      </c>
      <c r="D76" t="s">
        <v>2404</v>
      </c>
      <c r="E76" s="45">
        <v>40</v>
      </c>
      <c r="F76" t="s">
        <v>2371</v>
      </c>
    </row>
    <row r="77" spans="1:8" customFormat="1" ht="14.4" x14ac:dyDescent="0.3">
      <c r="A77" t="s">
        <v>2269</v>
      </c>
      <c r="B77" t="s">
        <v>2401</v>
      </c>
      <c r="C77" t="s">
        <v>1615</v>
      </c>
      <c r="D77" t="s">
        <v>2405</v>
      </c>
      <c r="E77" s="45">
        <v>60</v>
      </c>
      <c r="F77" t="s">
        <v>1441</v>
      </c>
    </row>
    <row r="78" spans="1:8" customFormat="1" ht="14.4" x14ac:dyDescent="0.3">
      <c r="A78" t="s">
        <v>2269</v>
      </c>
      <c r="B78" t="s">
        <v>2401</v>
      </c>
      <c r="C78" t="s">
        <v>1615</v>
      </c>
      <c r="D78" t="s">
        <v>1715</v>
      </c>
      <c r="E78" s="45">
        <v>70</v>
      </c>
      <c r="F78" t="s">
        <v>1441</v>
      </c>
    </row>
    <row r="79" spans="1:8" customFormat="1" ht="14.4" x14ac:dyDescent="0.3">
      <c r="A79" t="s">
        <v>2269</v>
      </c>
      <c r="B79" t="s">
        <v>2401</v>
      </c>
      <c r="C79" t="s">
        <v>1615</v>
      </c>
      <c r="D79" t="s">
        <v>2391</v>
      </c>
      <c r="E79" s="45">
        <v>25</v>
      </c>
      <c r="F79" t="s">
        <v>1441</v>
      </c>
    </row>
    <row r="80" spans="1:8" customFormat="1" ht="14.4" x14ac:dyDescent="0.3">
      <c r="A80" t="s">
        <v>2269</v>
      </c>
      <c r="B80" t="s">
        <v>2401</v>
      </c>
      <c r="C80" t="s">
        <v>1615</v>
      </c>
      <c r="D80" t="s">
        <v>2356</v>
      </c>
      <c r="E80" s="45">
        <v>40</v>
      </c>
      <c r="F80" t="s">
        <v>2371</v>
      </c>
    </row>
    <row r="81" spans="1:9" customFormat="1" ht="14.4" x14ac:dyDescent="0.3">
      <c r="A81" t="s">
        <v>2269</v>
      </c>
      <c r="B81" t="s">
        <v>2401</v>
      </c>
      <c r="C81" t="s">
        <v>1615</v>
      </c>
      <c r="D81" t="s">
        <v>2356</v>
      </c>
      <c r="E81" s="45">
        <v>130</v>
      </c>
      <c r="F81" t="s">
        <v>1441</v>
      </c>
    </row>
    <row r="82" spans="1:9" customFormat="1" ht="14.4" x14ac:dyDescent="0.3">
      <c r="A82" t="s">
        <v>2269</v>
      </c>
      <c r="B82" t="s">
        <v>2401</v>
      </c>
      <c r="C82" t="s">
        <v>1615</v>
      </c>
      <c r="D82" t="s">
        <v>2391</v>
      </c>
      <c r="E82" s="45">
        <v>80</v>
      </c>
      <c r="F82" t="s">
        <v>2371</v>
      </c>
    </row>
    <row r="83" spans="1:9" customFormat="1" ht="14.4" x14ac:dyDescent="0.3">
      <c r="A83" t="s">
        <v>2269</v>
      </c>
      <c r="B83" t="s">
        <v>2401</v>
      </c>
      <c r="C83" t="s">
        <v>1615</v>
      </c>
      <c r="D83" t="s">
        <v>2406</v>
      </c>
      <c r="E83" s="45">
        <v>40</v>
      </c>
      <c r="F83" t="s">
        <v>2371</v>
      </c>
    </row>
    <row r="84" spans="1:9" customFormat="1" ht="14.4" x14ac:dyDescent="0.3">
      <c r="A84" t="s">
        <v>2269</v>
      </c>
      <c r="B84" t="s">
        <v>2401</v>
      </c>
      <c r="C84" t="s">
        <v>1615</v>
      </c>
      <c r="D84" t="s">
        <v>2357</v>
      </c>
      <c r="E84" s="45">
        <v>80</v>
      </c>
      <c r="F84" t="s">
        <v>2371</v>
      </c>
    </row>
    <row r="85" spans="1:9" customFormat="1" ht="14.4" x14ac:dyDescent="0.3">
      <c r="A85" t="s">
        <v>2269</v>
      </c>
      <c r="B85" t="s">
        <v>2401</v>
      </c>
      <c r="C85" t="s">
        <v>1615</v>
      </c>
      <c r="D85" t="s">
        <v>1835</v>
      </c>
      <c r="E85" s="45">
        <v>40</v>
      </c>
      <c r="F85" t="s">
        <v>2371</v>
      </c>
    </row>
    <row r="86" spans="1:9" customFormat="1" ht="14.4" x14ac:dyDescent="0.3">
      <c r="A86" t="s">
        <v>2269</v>
      </c>
      <c r="B86" t="s">
        <v>2401</v>
      </c>
      <c r="C86" t="s">
        <v>1615</v>
      </c>
      <c r="D86" t="s">
        <v>1726</v>
      </c>
      <c r="E86" s="45">
        <v>40</v>
      </c>
      <c r="F86" t="s">
        <v>2371</v>
      </c>
    </row>
    <row r="87" spans="1:9" customFormat="1" ht="14.4" x14ac:dyDescent="0.3">
      <c r="A87" t="s">
        <v>2269</v>
      </c>
      <c r="B87" t="s">
        <v>2407</v>
      </c>
      <c r="C87" t="s">
        <v>1615</v>
      </c>
      <c r="D87" t="s">
        <v>2351</v>
      </c>
      <c r="E87" s="45">
        <v>40</v>
      </c>
      <c r="F87" t="s">
        <v>2371</v>
      </c>
    </row>
    <row r="88" spans="1:9" customFormat="1" ht="14.4" x14ac:dyDescent="0.3">
      <c r="A88" s="218"/>
      <c r="B88" s="218" t="s">
        <v>2350</v>
      </c>
      <c r="C88" s="218" t="s">
        <v>1615</v>
      </c>
      <c r="D88" s="218" t="s">
        <v>2351</v>
      </c>
      <c r="E88" s="219">
        <v>1000</v>
      </c>
      <c r="F88" s="218" t="s">
        <v>2371</v>
      </c>
      <c r="G88" s="218" t="s">
        <v>586</v>
      </c>
      <c r="H88" s="218" t="s">
        <v>586</v>
      </c>
      <c r="I88" s="235"/>
    </row>
    <row r="89" spans="1:9" customFormat="1" ht="14.4" x14ac:dyDescent="0.3">
      <c r="B89" t="s">
        <v>2352</v>
      </c>
      <c r="C89" t="s">
        <v>1615</v>
      </c>
      <c r="D89" t="s">
        <v>2351</v>
      </c>
      <c r="E89" s="45">
        <v>240</v>
      </c>
      <c r="F89" t="s">
        <v>2371</v>
      </c>
      <c r="G89" t="s">
        <v>586</v>
      </c>
      <c r="H89" t="s">
        <v>586</v>
      </c>
      <c r="I89" s="152"/>
    </row>
    <row r="90" spans="1:9" customFormat="1" ht="14.4" x14ac:dyDescent="0.3">
      <c r="B90" t="s">
        <v>2352</v>
      </c>
      <c r="C90" t="s">
        <v>38</v>
      </c>
      <c r="D90" t="s">
        <v>101</v>
      </c>
      <c r="E90" s="45">
        <v>-1440</v>
      </c>
      <c r="F90" t="s">
        <v>1633</v>
      </c>
      <c r="G90" t="s">
        <v>107</v>
      </c>
      <c r="I90" s="152"/>
    </row>
    <row r="91" spans="1:9" customFormat="1" ht="28.8" x14ac:dyDescent="0.3">
      <c r="B91" t="s">
        <v>2353</v>
      </c>
      <c r="C91" t="s">
        <v>144</v>
      </c>
      <c r="D91" t="s">
        <v>145</v>
      </c>
      <c r="E91" s="45">
        <v>10030</v>
      </c>
      <c r="I91" s="152" t="s">
        <v>2372</v>
      </c>
    </row>
    <row r="92" spans="1:9" customFormat="1" ht="14.4" x14ac:dyDescent="0.3">
      <c r="B92" t="s">
        <v>2354</v>
      </c>
      <c r="C92" t="s">
        <v>995</v>
      </c>
      <c r="D92" t="s">
        <v>126</v>
      </c>
      <c r="E92" s="45">
        <v>-600</v>
      </c>
      <c r="F92" t="s">
        <v>39</v>
      </c>
      <c r="G92" t="s">
        <v>586</v>
      </c>
      <c r="H92" t="s">
        <v>586</v>
      </c>
      <c r="I92" s="152"/>
    </row>
    <row r="93" spans="1:9" customFormat="1" ht="14.4" x14ac:dyDescent="0.3">
      <c r="B93" t="s">
        <v>2354</v>
      </c>
      <c r="C93" t="s">
        <v>995</v>
      </c>
      <c r="D93" t="s">
        <v>126</v>
      </c>
      <c r="E93" s="45">
        <v>-1210</v>
      </c>
      <c r="F93" t="s">
        <v>39</v>
      </c>
      <c r="G93" t="s">
        <v>586</v>
      </c>
      <c r="H93" t="s">
        <v>586</v>
      </c>
      <c r="I93" s="152"/>
    </row>
    <row r="94" spans="1:9" customFormat="1" ht="14.4" x14ac:dyDescent="0.3">
      <c r="B94" t="s">
        <v>2354</v>
      </c>
      <c r="C94" t="s">
        <v>995</v>
      </c>
      <c r="D94" t="s">
        <v>126</v>
      </c>
      <c r="E94" s="45">
        <v>-350</v>
      </c>
      <c r="F94" t="s">
        <v>39</v>
      </c>
      <c r="G94" t="s">
        <v>586</v>
      </c>
      <c r="H94" t="s">
        <v>586</v>
      </c>
      <c r="I94" s="152"/>
    </row>
    <row r="95" spans="1:9" customFormat="1" ht="14.4" x14ac:dyDescent="0.3">
      <c r="B95" t="s">
        <v>2354</v>
      </c>
      <c r="C95" t="s">
        <v>1615</v>
      </c>
      <c r="D95" t="s">
        <v>1824</v>
      </c>
      <c r="E95" s="45">
        <v>20</v>
      </c>
      <c r="F95" t="s">
        <v>1441</v>
      </c>
      <c r="I95" s="152"/>
    </row>
    <row r="96" spans="1:9" customFormat="1" ht="14.4" x14ac:dyDescent="0.3">
      <c r="B96" t="s">
        <v>2354</v>
      </c>
      <c r="C96" t="s">
        <v>1615</v>
      </c>
      <c r="D96" t="s">
        <v>2355</v>
      </c>
      <c r="E96" s="45">
        <v>20</v>
      </c>
      <c r="F96" t="s">
        <v>1441</v>
      </c>
      <c r="I96" s="152"/>
    </row>
    <row r="97" spans="1:9" customFormat="1" ht="14.4" x14ac:dyDescent="0.3">
      <c r="B97" t="s">
        <v>2354</v>
      </c>
      <c r="C97" t="s">
        <v>1615</v>
      </c>
      <c r="D97" t="s">
        <v>2356</v>
      </c>
      <c r="E97" s="45">
        <v>45</v>
      </c>
      <c r="F97" t="s">
        <v>1441</v>
      </c>
      <c r="I97" s="152"/>
    </row>
    <row r="98" spans="1:9" customFormat="1" ht="14.4" x14ac:dyDescent="0.3">
      <c r="B98" t="s">
        <v>2354</v>
      </c>
      <c r="C98" t="s">
        <v>1615</v>
      </c>
      <c r="D98" t="s">
        <v>2357</v>
      </c>
      <c r="E98" s="45">
        <v>45</v>
      </c>
      <c r="F98" t="s">
        <v>1441</v>
      </c>
      <c r="I98" s="152"/>
    </row>
    <row r="99" spans="1:9" customFormat="1" ht="14.4" x14ac:dyDescent="0.3">
      <c r="B99" t="s">
        <v>2354</v>
      </c>
      <c r="C99" t="s">
        <v>1615</v>
      </c>
      <c r="D99" t="s">
        <v>2357</v>
      </c>
      <c r="E99" s="45">
        <v>90</v>
      </c>
      <c r="F99" t="s">
        <v>1441</v>
      </c>
      <c r="I99" s="152"/>
    </row>
    <row r="100" spans="1:9" customFormat="1" ht="14.4" x14ac:dyDescent="0.3">
      <c r="B100" t="s">
        <v>2354</v>
      </c>
      <c r="C100" t="s">
        <v>1615</v>
      </c>
      <c r="D100" t="s">
        <v>2111</v>
      </c>
      <c r="E100" s="45">
        <v>20</v>
      </c>
      <c r="F100" t="s">
        <v>1441</v>
      </c>
      <c r="I100" s="152"/>
    </row>
    <row r="101" spans="1:9" customFormat="1" ht="14.4" x14ac:dyDescent="0.3">
      <c r="B101" t="s">
        <v>2354</v>
      </c>
      <c r="C101" t="s">
        <v>1615</v>
      </c>
      <c r="D101" t="s">
        <v>2358</v>
      </c>
      <c r="E101" s="45">
        <v>30</v>
      </c>
      <c r="F101" t="s">
        <v>1441</v>
      </c>
      <c r="I101" s="152"/>
    </row>
    <row r="102" spans="1:9" customFormat="1" ht="14.4" x14ac:dyDescent="0.3">
      <c r="B102" t="s">
        <v>2354</v>
      </c>
      <c r="C102" t="s">
        <v>1615</v>
      </c>
      <c r="D102" t="s">
        <v>2359</v>
      </c>
      <c r="E102" s="45">
        <v>45</v>
      </c>
      <c r="F102" t="s">
        <v>1441</v>
      </c>
      <c r="I102" s="152"/>
    </row>
    <row r="103" spans="1:9" customFormat="1" ht="14.4" x14ac:dyDescent="0.3">
      <c r="B103" t="s">
        <v>2354</v>
      </c>
      <c r="C103" t="s">
        <v>1615</v>
      </c>
      <c r="D103" t="s">
        <v>2333</v>
      </c>
      <c r="E103" s="45">
        <v>30</v>
      </c>
      <c r="F103" t="s">
        <v>1441</v>
      </c>
      <c r="I103" s="152"/>
    </row>
    <row r="104" spans="1:9" customFormat="1" ht="14.4" x14ac:dyDescent="0.3">
      <c r="A104" s="166"/>
      <c r="B104" s="166" t="s">
        <v>2360</v>
      </c>
      <c r="C104" s="166" t="s">
        <v>1144</v>
      </c>
      <c r="D104" s="166" t="s">
        <v>126</v>
      </c>
      <c r="E104" s="167">
        <v>-800</v>
      </c>
      <c r="F104" s="166"/>
      <c r="G104" s="166"/>
      <c r="H104" s="166"/>
      <c r="I104" s="152"/>
    </row>
    <row r="105" spans="1:9" customFormat="1" ht="14.4" x14ac:dyDescent="0.3">
      <c r="A105" s="166"/>
      <c r="B105" s="166" t="s">
        <v>2361</v>
      </c>
      <c r="C105" s="166" t="s">
        <v>144</v>
      </c>
      <c r="D105" s="166" t="s">
        <v>145</v>
      </c>
      <c r="E105" s="167">
        <v>800</v>
      </c>
      <c r="F105" s="166"/>
      <c r="G105" s="166"/>
      <c r="H105" s="166"/>
      <c r="I105" s="152"/>
    </row>
    <row r="106" spans="1:9" customFormat="1" ht="14.4" x14ac:dyDescent="0.3">
      <c r="B106" t="s">
        <v>2362</v>
      </c>
      <c r="C106" t="s">
        <v>856</v>
      </c>
      <c r="D106" t="s">
        <v>101</v>
      </c>
      <c r="E106" s="45">
        <v>-2400</v>
      </c>
      <c r="F106" t="s">
        <v>154</v>
      </c>
      <c r="G106" t="s">
        <v>1002</v>
      </c>
      <c r="H106" t="s">
        <v>1002</v>
      </c>
      <c r="I106" s="152" t="s">
        <v>2370</v>
      </c>
    </row>
    <row r="107" spans="1:9" customFormat="1" ht="14.4" x14ac:dyDescent="0.3">
      <c r="B107" t="s">
        <v>2363</v>
      </c>
      <c r="C107" t="s">
        <v>995</v>
      </c>
      <c r="D107" t="s">
        <v>126</v>
      </c>
      <c r="E107" s="45">
        <v>-205</v>
      </c>
      <c r="F107" t="s">
        <v>39</v>
      </c>
      <c r="G107" t="s">
        <v>586</v>
      </c>
      <c r="H107" t="s">
        <v>586</v>
      </c>
      <c r="I107" s="152"/>
    </row>
    <row r="108" spans="1:9" customFormat="1" ht="14.4" x14ac:dyDescent="0.3">
      <c r="B108" t="s">
        <v>2363</v>
      </c>
      <c r="C108" t="s">
        <v>995</v>
      </c>
      <c r="D108" t="s">
        <v>126</v>
      </c>
      <c r="E108" s="45">
        <v>-355</v>
      </c>
      <c r="F108" t="s">
        <v>39</v>
      </c>
      <c r="G108" t="s">
        <v>586</v>
      </c>
      <c r="H108" t="s">
        <v>586</v>
      </c>
      <c r="I108" s="152"/>
    </row>
    <row r="109" spans="1:9" customFormat="1" ht="14.4" x14ac:dyDescent="0.3">
      <c r="B109" t="s">
        <v>2363</v>
      </c>
      <c r="C109" t="s">
        <v>1184</v>
      </c>
      <c r="D109" t="s">
        <v>1188</v>
      </c>
      <c r="E109" s="45">
        <v>342</v>
      </c>
      <c r="F109" t="s">
        <v>1441</v>
      </c>
      <c r="I109" s="152"/>
    </row>
    <row r="110" spans="1:9" customFormat="1" ht="14.4" x14ac:dyDescent="0.3">
      <c r="B110" t="s">
        <v>2363</v>
      </c>
      <c r="C110" t="s">
        <v>1184</v>
      </c>
      <c r="D110" t="s">
        <v>1185</v>
      </c>
      <c r="E110" s="45">
        <v>1310</v>
      </c>
      <c r="F110" t="s">
        <v>1441</v>
      </c>
      <c r="I110" s="152"/>
    </row>
    <row r="111" spans="1:9" customFormat="1" ht="14.4" x14ac:dyDescent="0.3">
      <c r="B111" t="s">
        <v>2364</v>
      </c>
      <c r="C111" t="s">
        <v>995</v>
      </c>
      <c r="D111" t="s">
        <v>126</v>
      </c>
      <c r="E111" s="45">
        <v>-541</v>
      </c>
      <c r="F111" t="s">
        <v>39</v>
      </c>
      <c r="G111" t="s">
        <v>586</v>
      </c>
      <c r="H111" t="s">
        <v>586</v>
      </c>
      <c r="I111" s="152"/>
    </row>
    <row r="112" spans="1:9" customFormat="1" ht="14.4" x14ac:dyDescent="0.3">
      <c r="B112" t="s">
        <v>2365</v>
      </c>
      <c r="C112" t="s">
        <v>1141</v>
      </c>
      <c r="D112" t="s">
        <v>122</v>
      </c>
      <c r="E112" s="45">
        <v>-1500</v>
      </c>
      <c r="F112" t="s">
        <v>36</v>
      </c>
      <c r="G112" t="s">
        <v>586</v>
      </c>
      <c r="H112" t="s">
        <v>586</v>
      </c>
      <c r="I112" s="152"/>
    </row>
    <row r="113" spans="1:9" customFormat="1" ht="14.4" x14ac:dyDescent="0.3">
      <c r="B113" t="s">
        <v>2366</v>
      </c>
      <c r="C113" t="s">
        <v>1439</v>
      </c>
      <c r="D113" t="s">
        <v>101</v>
      </c>
      <c r="E113" s="45">
        <v>-239</v>
      </c>
      <c r="F113" t="s">
        <v>46</v>
      </c>
      <c r="G113" t="s">
        <v>580</v>
      </c>
      <c r="H113" t="s">
        <v>593</v>
      </c>
      <c r="I113" s="152"/>
    </row>
    <row r="114" spans="1:9" customFormat="1" ht="14.4" x14ac:dyDescent="0.3">
      <c r="B114" t="s">
        <v>2367</v>
      </c>
      <c r="C114" t="s">
        <v>508</v>
      </c>
      <c r="D114" t="s">
        <v>101</v>
      </c>
      <c r="E114" s="45">
        <v>-279</v>
      </c>
      <c r="F114" t="s">
        <v>508</v>
      </c>
      <c r="I114" s="152"/>
    </row>
    <row r="115" spans="1:9" customFormat="1" ht="14.4" x14ac:dyDescent="0.3">
      <c r="B115" t="s">
        <v>2368</v>
      </c>
      <c r="C115" t="s">
        <v>40</v>
      </c>
      <c r="D115" t="s">
        <v>101</v>
      </c>
      <c r="E115" s="45">
        <v>-2750</v>
      </c>
      <c r="F115" t="s">
        <v>40</v>
      </c>
      <c r="G115" t="s">
        <v>580</v>
      </c>
      <c r="I115" s="152"/>
    </row>
    <row r="116" spans="1:9" customFormat="1" ht="14.4" x14ac:dyDescent="0.3">
      <c r="A116" s="215"/>
      <c r="B116" s="215" t="s">
        <v>2369</v>
      </c>
      <c r="C116" s="215" t="s">
        <v>1184</v>
      </c>
      <c r="D116" s="215" t="s">
        <v>1185</v>
      </c>
      <c r="E116" s="216">
        <v>10000</v>
      </c>
      <c r="F116" s="215" t="s">
        <v>1441</v>
      </c>
      <c r="G116" s="215"/>
      <c r="H116" s="215"/>
      <c r="I116" s="234"/>
    </row>
    <row r="117" spans="1:9" customFormat="1" ht="28.8" x14ac:dyDescent="0.3">
      <c r="A117" t="s">
        <v>2269</v>
      </c>
      <c r="B117" t="s">
        <v>2270</v>
      </c>
      <c r="C117" t="s">
        <v>144</v>
      </c>
      <c r="D117" t="s">
        <v>145</v>
      </c>
      <c r="E117" s="45">
        <v>46274</v>
      </c>
      <c r="G117" t="s">
        <v>580</v>
      </c>
      <c r="I117" s="152" t="s">
        <v>2345</v>
      </c>
    </row>
    <row r="118" spans="1:9" customFormat="1" ht="14.4" x14ac:dyDescent="0.3">
      <c r="A118" t="s">
        <v>2269</v>
      </c>
      <c r="B118" t="s">
        <v>2271</v>
      </c>
      <c r="C118" s="233" t="s">
        <v>942</v>
      </c>
      <c r="D118" t="s">
        <v>126</v>
      </c>
      <c r="E118" s="45">
        <v>-1380</v>
      </c>
      <c r="F118" t="s">
        <v>39</v>
      </c>
      <c r="G118" t="s">
        <v>580</v>
      </c>
      <c r="H118" t="s">
        <v>592</v>
      </c>
      <c r="I118" s="152"/>
    </row>
    <row r="119" spans="1:9" customFormat="1" ht="14.4" x14ac:dyDescent="0.3">
      <c r="A119" t="s">
        <v>2269</v>
      </c>
      <c r="B119" t="s">
        <v>2271</v>
      </c>
      <c r="C119" t="s">
        <v>942</v>
      </c>
      <c r="D119" t="s">
        <v>126</v>
      </c>
      <c r="E119" s="45">
        <v>-765</v>
      </c>
      <c r="F119" t="s">
        <v>39</v>
      </c>
      <c r="G119" t="s">
        <v>580</v>
      </c>
      <c r="H119" t="s">
        <v>592</v>
      </c>
      <c r="I119" s="152"/>
    </row>
    <row r="120" spans="1:9" customFormat="1" ht="14.4" x14ac:dyDescent="0.3">
      <c r="A120" t="s">
        <v>2269</v>
      </c>
      <c r="B120" t="s">
        <v>2271</v>
      </c>
      <c r="C120" t="s">
        <v>942</v>
      </c>
      <c r="D120" t="s">
        <v>126</v>
      </c>
      <c r="E120" s="45">
        <v>-1230</v>
      </c>
      <c r="F120" t="s">
        <v>39</v>
      </c>
      <c r="G120" t="s">
        <v>580</v>
      </c>
      <c r="H120" t="s">
        <v>592</v>
      </c>
      <c r="I120" s="152"/>
    </row>
    <row r="121" spans="1:9" customFormat="1" ht="14.4" x14ac:dyDescent="0.3">
      <c r="A121" t="s">
        <v>2269</v>
      </c>
      <c r="B121" t="s">
        <v>2271</v>
      </c>
      <c r="C121" t="s">
        <v>941</v>
      </c>
      <c r="D121" t="s">
        <v>126</v>
      </c>
      <c r="E121" s="45">
        <v>-395</v>
      </c>
      <c r="F121" t="s">
        <v>39</v>
      </c>
      <c r="G121" t="s">
        <v>580</v>
      </c>
      <c r="H121" t="s">
        <v>592</v>
      </c>
      <c r="I121" s="152"/>
    </row>
    <row r="122" spans="1:9" customFormat="1" ht="14.4" x14ac:dyDescent="0.3">
      <c r="A122" t="s">
        <v>2269</v>
      </c>
      <c r="B122" t="s">
        <v>2271</v>
      </c>
      <c r="C122" t="s">
        <v>942</v>
      </c>
      <c r="D122" t="s">
        <v>126</v>
      </c>
      <c r="E122" s="45">
        <v>-615</v>
      </c>
      <c r="F122" t="s">
        <v>39</v>
      </c>
      <c r="G122" t="s">
        <v>580</v>
      </c>
      <c r="H122" t="s">
        <v>592</v>
      </c>
      <c r="I122" s="152"/>
    </row>
    <row r="123" spans="1:9" customFormat="1" ht="14.4" x14ac:dyDescent="0.3">
      <c r="A123" t="s">
        <v>2269</v>
      </c>
      <c r="B123" t="s">
        <v>2271</v>
      </c>
      <c r="C123" t="s">
        <v>942</v>
      </c>
      <c r="D123" t="s">
        <v>126</v>
      </c>
      <c r="E123" s="45">
        <v>-1380</v>
      </c>
      <c r="F123" t="s">
        <v>39</v>
      </c>
      <c r="G123" t="s">
        <v>580</v>
      </c>
      <c r="H123" t="s">
        <v>592</v>
      </c>
      <c r="I123" s="152"/>
    </row>
    <row r="124" spans="1:9" customFormat="1" ht="14.4" x14ac:dyDescent="0.3">
      <c r="A124" t="s">
        <v>2269</v>
      </c>
      <c r="B124" t="s">
        <v>2271</v>
      </c>
      <c r="C124" t="s">
        <v>942</v>
      </c>
      <c r="D124" t="s">
        <v>126</v>
      </c>
      <c r="E124" s="45">
        <v>-615</v>
      </c>
      <c r="F124" t="s">
        <v>39</v>
      </c>
      <c r="G124" t="s">
        <v>580</v>
      </c>
      <c r="H124" t="s">
        <v>592</v>
      </c>
      <c r="I124" s="152"/>
    </row>
    <row r="125" spans="1:9" customFormat="1" ht="14.4" x14ac:dyDescent="0.3">
      <c r="A125" s="166" t="s">
        <v>2269</v>
      </c>
      <c r="B125" s="166" t="s">
        <v>2271</v>
      </c>
      <c r="C125" s="166" t="s">
        <v>1144</v>
      </c>
      <c r="D125" s="166" t="s">
        <v>126</v>
      </c>
      <c r="E125" s="167">
        <v>-1000</v>
      </c>
      <c r="F125" s="166"/>
      <c r="G125" s="166"/>
      <c r="H125" s="166"/>
      <c r="I125" s="152"/>
    </row>
    <row r="126" spans="1:9" customFormat="1" ht="14.4" x14ac:dyDescent="0.3">
      <c r="A126" s="166" t="s">
        <v>2269</v>
      </c>
      <c r="B126" s="166" t="s">
        <v>2272</v>
      </c>
      <c r="C126" s="166" t="s">
        <v>144</v>
      </c>
      <c r="D126" s="166" t="s">
        <v>145</v>
      </c>
      <c r="E126" s="167">
        <v>1000</v>
      </c>
      <c r="F126" s="166"/>
      <c r="G126" s="166"/>
      <c r="H126" s="166"/>
      <c r="I126" s="152"/>
    </row>
    <row r="127" spans="1:9" customFormat="1" ht="14.4" x14ac:dyDescent="0.3">
      <c r="A127" t="s">
        <v>2269</v>
      </c>
      <c r="B127" t="s">
        <v>2273</v>
      </c>
      <c r="C127" t="s">
        <v>1558</v>
      </c>
      <c r="D127" t="s">
        <v>101</v>
      </c>
      <c r="E127" s="45">
        <v>-194</v>
      </c>
      <c r="F127" t="s">
        <v>46</v>
      </c>
      <c r="G127" t="s">
        <v>580</v>
      </c>
      <c r="H127" t="s">
        <v>1562</v>
      </c>
      <c r="I127" s="152"/>
    </row>
    <row r="128" spans="1:9" customFormat="1" ht="14.4" x14ac:dyDescent="0.3">
      <c r="A128" t="s">
        <v>2269</v>
      </c>
      <c r="B128" t="s">
        <v>2273</v>
      </c>
      <c r="C128" t="s">
        <v>1615</v>
      </c>
      <c r="D128" t="s">
        <v>2156</v>
      </c>
      <c r="E128" s="45">
        <v>55</v>
      </c>
      <c r="F128" t="s">
        <v>1441</v>
      </c>
      <c r="I128" s="152"/>
    </row>
    <row r="129" spans="1:9" customFormat="1" ht="14.4" x14ac:dyDescent="0.3">
      <c r="A129" t="s">
        <v>2269</v>
      </c>
      <c r="B129" t="s">
        <v>2273</v>
      </c>
      <c r="C129" t="s">
        <v>1615</v>
      </c>
      <c r="D129" t="s">
        <v>2274</v>
      </c>
      <c r="E129" s="45">
        <v>110</v>
      </c>
      <c r="F129" t="s">
        <v>1441</v>
      </c>
      <c r="I129" s="152"/>
    </row>
    <row r="130" spans="1:9" customFormat="1" ht="14.4" x14ac:dyDescent="0.3">
      <c r="A130" t="s">
        <v>2269</v>
      </c>
      <c r="B130" t="s">
        <v>2273</v>
      </c>
      <c r="C130" t="s">
        <v>1615</v>
      </c>
      <c r="D130" t="s">
        <v>1816</v>
      </c>
      <c r="E130" s="45">
        <v>120</v>
      </c>
      <c r="F130" t="s">
        <v>1441</v>
      </c>
      <c r="I130" s="152"/>
    </row>
    <row r="131" spans="1:9" customFormat="1" ht="14.4" x14ac:dyDescent="0.3">
      <c r="A131" t="s">
        <v>2269</v>
      </c>
      <c r="B131" t="s">
        <v>2273</v>
      </c>
      <c r="C131" t="s">
        <v>1615</v>
      </c>
      <c r="D131" t="s">
        <v>2275</v>
      </c>
      <c r="E131" s="45">
        <v>50</v>
      </c>
      <c r="F131" t="s">
        <v>1441</v>
      </c>
      <c r="I131" s="152"/>
    </row>
    <row r="132" spans="1:9" customFormat="1" ht="14.4" x14ac:dyDescent="0.3">
      <c r="A132" t="s">
        <v>2269</v>
      </c>
      <c r="B132" t="s">
        <v>2273</v>
      </c>
      <c r="C132" t="s">
        <v>1615</v>
      </c>
      <c r="D132" t="s">
        <v>2276</v>
      </c>
      <c r="E132" s="45">
        <v>20</v>
      </c>
      <c r="F132" t="s">
        <v>1441</v>
      </c>
      <c r="I132" s="152"/>
    </row>
    <row r="133" spans="1:9" customFormat="1" ht="14.4" x14ac:dyDescent="0.3">
      <c r="A133" t="s">
        <v>2269</v>
      </c>
      <c r="B133" t="s">
        <v>2273</v>
      </c>
      <c r="C133" t="s">
        <v>1615</v>
      </c>
      <c r="D133" t="s">
        <v>1722</v>
      </c>
      <c r="E133" s="45">
        <v>85</v>
      </c>
      <c r="F133" t="s">
        <v>1441</v>
      </c>
      <c r="I133" s="152"/>
    </row>
    <row r="134" spans="1:9" customFormat="1" ht="14.4" x14ac:dyDescent="0.3">
      <c r="A134" t="s">
        <v>2269</v>
      </c>
      <c r="B134" t="s">
        <v>2273</v>
      </c>
      <c r="C134" t="s">
        <v>1615</v>
      </c>
      <c r="D134" t="s">
        <v>2277</v>
      </c>
      <c r="E134" s="45">
        <v>90</v>
      </c>
      <c r="F134" t="s">
        <v>1441</v>
      </c>
      <c r="I134" s="152"/>
    </row>
    <row r="135" spans="1:9" customFormat="1" ht="14.4" x14ac:dyDescent="0.3">
      <c r="A135" t="s">
        <v>2269</v>
      </c>
      <c r="B135" t="s">
        <v>2273</v>
      </c>
      <c r="C135" t="s">
        <v>1615</v>
      </c>
      <c r="D135" t="s">
        <v>2278</v>
      </c>
      <c r="E135" s="45">
        <v>165</v>
      </c>
      <c r="F135" t="s">
        <v>1441</v>
      </c>
      <c r="I135" s="152"/>
    </row>
    <row r="136" spans="1:9" customFormat="1" ht="14.4" x14ac:dyDescent="0.3">
      <c r="A136" t="s">
        <v>2269</v>
      </c>
      <c r="B136" t="s">
        <v>2273</v>
      </c>
      <c r="C136" t="s">
        <v>1615</v>
      </c>
      <c r="D136" t="s">
        <v>1839</v>
      </c>
      <c r="E136" s="45">
        <v>35</v>
      </c>
      <c r="F136" t="s">
        <v>1441</v>
      </c>
      <c r="I136" s="152"/>
    </row>
    <row r="137" spans="1:9" customFormat="1" ht="14.4" x14ac:dyDescent="0.3">
      <c r="A137" t="s">
        <v>2269</v>
      </c>
      <c r="B137" t="s">
        <v>2273</v>
      </c>
      <c r="C137" t="s">
        <v>1615</v>
      </c>
      <c r="D137" t="s">
        <v>2279</v>
      </c>
      <c r="E137" s="45">
        <v>50</v>
      </c>
      <c r="F137" t="s">
        <v>1441</v>
      </c>
      <c r="I137" s="152"/>
    </row>
    <row r="138" spans="1:9" customFormat="1" ht="14.4" x14ac:dyDescent="0.3">
      <c r="A138" t="s">
        <v>2269</v>
      </c>
      <c r="B138" t="s">
        <v>2273</v>
      </c>
      <c r="C138" t="s">
        <v>1615</v>
      </c>
      <c r="D138" t="s">
        <v>2280</v>
      </c>
      <c r="E138" s="45">
        <v>60</v>
      </c>
      <c r="F138" t="s">
        <v>1441</v>
      </c>
      <c r="I138" s="152"/>
    </row>
    <row r="139" spans="1:9" customFormat="1" ht="14.4" x14ac:dyDescent="0.3">
      <c r="A139" t="s">
        <v>2269</v>
      </c>
      <c r="B139" t="s">
        <v>2273</v>
      </c>
      <c r="C139" t="s">
        <v>1615</v>
      </c>
      <c r="D139" t="s">
        <v>2275</v>
      </c>
      <c r="E139" s="45">
        <v>65</v>
      </c>
      <c r="F139" t="s">
        <v>1441</v>
      </c>
      <c r="I139" s="152"/>
    </row>
    <row r="140" spans="1:9" customFormat="1" ht="14.4" x14ac:dyDescent="0.3">
      <c r="A140" t="s">
        <v>2269</v>
      </c>
      <c r="B140" t="s">
        <v>2273</v>
      </c>
      <c r="C140" t="s">
        <v>1615</v>
      </c>
      <c r="D140" t="s">
        <v>2152</v>
      </c>
      <c r="E140" s="45">
        <v>60</v>
      </c>
      <c r="F140" t="s">
        <v>1441</v>
      </c>
      <c r="I140" s="152"/>
    </row>
    <row r="141" spans="1:9" customFormat="1" ht="14.4" x14ac:dyDescent="0.3">
      <c r="A141" t="s">
        <v>2269</v>
      </c>
      <c r="B141" t="s">
        <v>2273</v>
      </c>
      <c r="C141" t="s">
        <v>1615</v>
      </c>
      <c r="D141" t="s">
        <v>1722</v>
      </c>
      <c r="E141" s="45">
        <v>60</v>
      </c>
      <c r="F141" t="s">
        <v>1441</v>
      </c>
      <c r="I141" s="152"/>
    </row>
    <row r="142" spans="1:9" customFormat="1" ht="14.4" x14ac:dyDescent="0.3">
      <c r="A142" t="s">
        <v>2269</v>
      </c>
      <c r="B142" t="s">
        <v>2273</v>
      </c>
      <c r="C142" t="s">
        <v>1615</v>
      </c>
      <c r="D142" t="s">
        <v>1722</v>
      </c>
      <c r="E142" s="45">
        <v>70</v>
      </c>
      <c r="F142" t="s">
        <v>1441</v>
      </c>
      <c r="I142" s="152"/>
    </row>
    <row r="143" spans="1:9" customFormat="1" ht="14.4" x14ac:dyDescent="0.3">
      <c r="A143" t="s">
        <v>2269</v>
      </c>
      <c r="B143" t="s">
        <v>2273</v>
      </c>
      <c r="C143" t="s">
        <v>1615</v>
      </c>
      <c r="D143" t="s">
        <v>2279</v>
      </c>
      <c r="E143" s="45">
        <v>20</v>
      </c>
      <c r="F143" t="s">
        <v>1441</v>
      </c>
      <c r="I143" s="152"/>
    </row>
    <row r="144" spans="1:9" customFormat="1" ht="14.4" x14ac:dyDescent="0.3">
      <c r="A144" t="s">
        <v>2269</v>
      </c>
      <c r="B144" t="s">
        <v>2281</v>
      </c>
      <c r="C144" t="s">
        <v>1579</v>
      </c>
      <c r="D144" t="s">
        <v>101</v>
      </c>
      <c r="E144" s="45">
        <v>-2000</v>
      </c>
      <c r="F144" t="s">
        <v>154</v>
      </c>
      <c r="G144" t="s">
        <v>586</v>
      </c>
      <c r="H144" t="s">
        <v>586</v>
      </c>
      <c r="I144" s="152"/>
    </row>
    <row r="145" spans="1:9" customFormat="1" ht="14.4" x14ac:dyDescent="0.3">
      <c r="A145" t="s">
        <v>2269</v>
      </c>
      <c r="B145" t="s">
        <v>2282</v>
      </c>
      <c r="C145" t="s">
        <v>998</v>
      </c>
      <c r="D145" t="s">
        <v>126</v>
      </c>
      <c r="E145" s="45">
        <v>-575</v>
      </c>
      <c r="F145" t="s">
        <v>39</v>
      </c>
      <c r="G145" t="s">
        <v>580</v>
      </c>
      <c r="H145" t="s">
        <v>438</v>
      </c>
      <c r="I145" s="152"/>
    </row>
    <row r="146" spans="1:9" customFormat="1" ht="14.4" x14ac:dyDescent="0.3">
      <c r="A146" t="s">
        <v>2269</v>
      </c>
      <c r="B146" t="s">
        <v>2282</v>
      </c>
      <c r="C146" t="s">
        <v>1615</v>
      </c>
      <c r="D146" t="s">
        <v>1824</v>
      </c>
      <c r="E146" s="45">
        <v>50</v>
      </c>
      <c r="F146" t="s">
        <v>1441</v>
      </c>
      <c r="I146" s="152"/>
    </row>
    <row r="147" spans="1:9" customFormat="1" ht="14.4" x14ac:dyDescent="0.3">
      <c r="A147" t="s">
        <v>2269</v>
      </c>
      <c r="B147" t="s">
        <v>2282</v>
      </c>
      <c r="C147" t="s">
        <v>940</v>
      </c>
      <c r="D147" t="s">
        <v>101</v>
      </c>
      <c r="E147" s="45">
        <v>-407</v>
      </c>
      <c r="F147" t="s">
        <v>940</v>
      </c>
      <c r="G147" t="s">
        <v>580</v>
      </c>
      <c r="I147" s="152"/>
    </row>
    <row r="148" spans="1:9" customFormat="1" ht="14.4" x14ac:dyDescent="0.3">
      <c r="A148" t="s">
        <v>2269</v>
      </c>
      <c r="B148" t="s">
        <v>2282</v>
      </c>
      <c r="C148" t="s">
        <v>1615</v>
      </c>
      <c r="D148" t="s">
        <v>2283</v>
      </c>
      <c r="E148" s="45">
        <v>75</v>
      </c>
      <c r="F148" t="s">
        <v>1441</v>
      </c>
      <c r="I148" s="152"/>
    </row>
    <row r="149" spans="1:9" customFormat="1" ht="14.4" x14ac:dyDescent="0.3">
      <c r="A149" t="s">
        <v>2269</v>
      </c>
      <c r="B149" t="s">
        <v>2282</v>
      </c>
      <c r="C149" t="s">
        <v>1615</v>
      </c>
      <c r="D149" t="s">
        <v>2156</v>
      </c>
      <c r="E149" s="45">
        <v>25</v>
      </c>
      <c r="F149" t="s">
        <v>1441</v>
      </c>
      <c r="I149" s="152"/>
    </row>
    <row r="150" spans="1:9" customFormat="1" ht="14.4" x14ac:dyDescent="0.3">
      <c r="A150" t="s">
        <v>2269</v>
      </c>
      <c r="B150" t="s">
        <v>2282</v>
      </c>
      <c r="C150" t="s">
        <v>1615</v>
      </c>
      <c r="D150" t="s">
        <v>2156</v>
      </c>
      <c r="E150" s="45">
        <v>25</v>
      </c>
      <c r="F150" t="s">
        <v>1441</v>
      </c>
      <c r="I150" s="152"/>
    </row>
    <row r="151" spans="1:9" customFormat="1" ht="14.4" x14ac:dyDescent="0.3">
      <c r="A151" t="s">
        <v>2269</v>
      </c>
      <c r="B151" t="s">
        <v>2282</v>
      </c>
      <c r="C151" t="s">
        <v>1615</v>
      </c>
      <c r="D151" t="s">
        <v>2284</v>
      </c>
      <c r="E151" s="45">
        <v>15</v>
      </c>
      <c r="F151" t="s">
        <v>1441</v>
      </c>
      <c r="I151" s="152"/>
    </row>
    <row r="152" spans="1:9" customFormat="1" ht="14.4" x14ac:dyDescent="0.3">
      <c r="A152" t="s">
        <v>2269</v>
      </c>
      <c r="B152" t="s">
        <v>2282</v>
      </c>
      <c r="C152" t="s">
        <v>1615</v>
      </c>
      <c r="D152" t="s">
        <v>2156</v>
      </c>
      <c r="E152" s="45">
        <v>60</v>
      </c>
      <c r="F152" t="s">
        <v>1441</v>
      </c>
      <c r="I152" s="152"/>
    </row>
    <row r="153" spans="1:9" customFormat="1" ht="14.4" x14ac:dyDescent="0.3">
      <c r="A153" t="s">
        <v>2269</v>
      </c>
      <c r="B153" t="s">
        <v>2282</v>
      </c>
      <c r="C153" t="s">
        <v>1615</v>
      </c>
      <c r="D153" t="s">
        <v>2285</v>
      </c>
      <c r="E153" s="45">
        <v>40</v>
      </c>
      <c r="F153" t="s">
        <v>1441</v>
      </c>
      <c r="I153" s="152"/>
    </row>
    <row r="154" spans="1:9" customFormat="1" ht="14.4" x14ac:dyDescent="0.3">
      <c r="A154" t="s">
        <v>2269</v>
      </c>
      <c r="B154" t="s">
        <v>2282</v>
      </c>
      <c r="C154" t="s">
        <v>1615</v>
      </c>
      <c r="D154" t="s">
        <v>2286</v>
      </c>
      <c r="E154" s="45">
        <v>20</v>
      </c>
      <c r="F154" t="s">
        <v>1441</v>
      </c>
      <c r="I154" s="152"/>
    </row>
    <row r="155" spans="1:9" customFormat="1" ht="14.4" x14ac:dyDescent="0.3">
      <c r="A155" t="s">
        <v>2269</v>
      </c>
      <c r="B155" t="s">
        <v>2282</v>
      </c>
      <c r="C155" t="s">
        <v>1615</v>
      </c>
      <c r="D155" t="s">
        <v>2284</v>
      </c>
      <c r="E155" s="45">
        <v>35</v>
      </c>
      <c r="F155" t="s">
        <v>1441</v>
      </c>
      <c r="I155" s="152"/>
    </row>
    <row r="156" spans="1:9" customFormat="1" ht="14.4" x14ac:dyDescent="0.3">
      <c r="A156" t="s">
        <v>2269</v>
      </c>
      <c r="B156" t="s">
        <v>2282</v>
      </c>
      <c r="C156" t="s">
        <v>1615</v>
      </c>
      <c r="D156" t="s">
        <v>2287</v>
      </c>
      <c r="E156" s="45">
        <v>15</v>
      </c>
      <c r="F156" t="s">
        <v>1441</v>
      </c>
      <c r="I156" s="152"/>
    </row>
    <row r="157" spans="1:9" customFormat="1" ht="14.4" x14ac:dyDescent="0.3">
      <c r="A157" t="s">
        <v>2269</v>
      </c>
      <c r="B157" t="s">
        <v>2282</v>
      </c>
      <c r="C157" t="s">
        <v>1615</v>
      </c>
      <c r="D157" t="s">
        <v>1816</v>
      </c>
      <c r="E157" s="45">
        <v>10</v>
      </c>
      <c r="F157" t="s">
        <v>1441</v>
      </c>
      <c r="I157" s="152"/>
    </row>
    <row r="158" spans="1:9" customFormat="1" ht="14.4" x14ac:dyDescent="0.3">
      <c r="A158" t="s">
        <v>2269</v>
      </c>
      <c r="B158" t="s">
        <v>2282</v>
      </c>
      <c r="C158" t="s">
        <v>1615</v>
      </c>
      <c r="D158" t="s">
        <v>2286</v>
      </c>
      <c r="E158" s="45">
        <v>40</v>
      </c>
      <c r="F158" t="s">
        <v>1441</v>
      </c>
      <c r="I158" s="152"/>
    </row>
    <row r="159" spans="1:9" customFormat="1" ht="14.4" x14ac:dyDescent="0.3">
      <c r="A159" t="s">
        <v>2269</v>
      </c>
      <c r="B159" t="s">
        <v>2282</v>
      </c>
      <c r="C159" t="s">
        <v>1615</v>
      </c>
      <c r="D159" t="s">
        <v>2153</v>
      </c>
      <c r="E159" s="45">
        <v>60</v>
      </c>
      <c r="F159" t="s">
        <v>1441</v>
      </c>
      <c r="I159" s="152"/>
    </row>
    <row r="160" spans="1:9" customFormat="1" ht="14.4" x14ac:dyDescent="0.3">
      <c r="A160" t="s">
        <v>2269</v>
      </c>
      <c r="B160" t="s">
        <v>2282</v>
      </c>
      <c r="C160" t="s">
        <v>1615</v>
      </c>
      <c r="D160" t="s">
        <v>2152</v>
      </c>
      <c r="E160" s="45">
        <v>40</v>
      </c>
      <c r="F160" t="s">
        <v>1441</v>
      </c>
      <c r="I160" s="152"/>
    </row>
    <row r="161" spans="1:9" customFormat="1" ht="14.4" x14ac:dyDescent="0.3">
      <c r="A161" t="s">
        <v>2269</v>
      </c>
      <c r="B161" t="s">
        <v>2282</v>
      </c>
      <c r="C161" t="s">
        <v>1615</v>
      </c>
      <c r="D161" t="s">
        <v>1816</v>
      </c>
      <c r="E161" s="45">
        <v>20</v>
      </c>
      <c r="F161" t="s">
        <v>1441</v>
      </c>
      <c r="I161" s="152"/>
    </row>
    <row r="162" spans="1:9" customFormat="1" ht="14.4" x14ac:dyDescent="0.3">
      <c r="A162" t="s">
        <v>2269</v>
      </c>
      <c r="B162" t="s">
        <v>2282</v>
      </c>
      <c r="C162" t="s">
        <v>1615</v>
      </c>
      <c r="D162" t="s">
        <v>1697</v>
      </c>
      <c r="E162" s="45">
        <v>35</v>
      </c>
      <c r="F162" t="s">
        <v>1441</v>
      </c>
      <c r="I162" s="152"/>
    </row>
    <row r="163" spans="1:9" customFormat="1" ht="14.4" x14ac:dyDescent="0.3">
      <c r="A163" t="s">
        <v>2269</v>
      </c>
      <c r="B163" t="s">
        <v>2282</v>
      </c>
      <c r="C163" t="s">
        <v>1615</v>
      </c>
      <c r="D163" t="s">
        <v>2287</v>
      </c>
      <c r="E163" s="45">
        <v>45</v>
      </c>
      <c r="F163" t="s">
        <v>1441</v>
      </c>
      <c r="I163" s="152"/>
    </row>
    <row r="164" spans="1:9" customFormat="1" ht="14.4" x14ac:dyDescent="0.3">
      <c r="A164" t="s">
        <v>2269</v>
      </c>
      <c r="B164" t="s">
        <v>2282</v>
      </c>
      <c r="C164" t="s">
        <v>1615</v>
      </c>
      <c r="D164" t="s">
        <v>2283</v>
      </c>
      <c r="E164" s="45">
        <v>40</v>
      </c>
      <c r="F164" t="s">
        <v>1441</v>
      </c>
      <c r="I164" s="152"/>
    </row>
    <row r="165" spans="1:9" customFormat="1" ht="14.4" x14ac:dyDescent="0.3">
      <c r="A165" t="s">
        <v>2269</v>
      </c>
      <c r="B165" t="s">
        <v>2282</v>
      </c>
      <c r="C165" t="s">
        <v>1615</v>
      </c>
      <c r="D165" t="s">
        <v>2286</v>
      </c>
      <c r="E165" s="45">
        <v>30</v>
      </c>
      <c r="F165" t="s">
        <v>1441</v>
      </c>
      <c r="I165" s="152"/>
    </row>
    <row r="166" spans="1:9" customFormat="1" ht="14.4" x14ac:dyDescent="0.3">
      <c r="A166" t="s">
        <v>2269</v>
      </c>
      <c r="B166" t="s">
        <v>2282</v>
      </c>
      <c r="C166" t="s">
        <v>1615</v>
      </c>
      <c r="D166" t="s">
        <v>2288</v>
      </c>
      <c r="E166" s="45">
        <v>70</v>
      </c>
      <c r="F166" t="s">
        <v>1441</v>
      </c>
      <c r="I166" s="152"/>
    </row>
    <row r="167" spans="1:9" customFormat="1" ht="14.4" x14ac:dyDescent="0.3">
      <c r="A167" t="s">
        <v>2269</v>
      </c>
      <c r="B167" t="s">
        <v>2282</v>
      </c>
      <c r="C167" t="s">
        <v>1615</v>
      </c>
      <c r="D167" t="s">
        <v>1794</v>
      </c>
      <c r="E167" s="45">
        <v>30</v>
      </c>
      <c r="F167" t="s">
        <v>1441</v>
      </c>
      <c r="I167" s="152"/>
    </row>
    <row r="168" spans="1:9" customFormat="1" ht="14.4" x14ac:dyDescent="0.3">
      <c r="A168" t="s">
        <v>2269</v>
      </c>
      <c r="B168" t="s">
        <v>2282</v>
      </c>
      <c r="C168" t="s">
        <v>1615</v>
      </c>
      <c r="D168" t="s">
        <v>2284</v>
      </c>
      <c r="E168" s="45">
        <v>30</v>
      </c>
      <c r="F168" t="s">
        <v>1441</v>
      </c>
      <c r="I168" s="152"/>
    </row>
    <row r="169" spans="1:9" customFormat="1" ht="14.4" x14ac:dyDescent="0.3">
      <c r="A169" t="s">
        <v>2269</v>
      </c>
      <c r="B169" t="s">
        <v>2282</v>
      </c>
      <c r="C169" t="s">
        <v>1615</v>
      </c>
      <c r="D169" t="s">
        <v>1794</v>
      </c>
      <c r="E169" s="45">
        <v>20</v>
      </c>
      <c r="F169" t="s">
        <v>1441</v>
      </c>
      <c r="I169" s="152"/>
    </row>
    <row r="170" spans="1:9" customFormat="1" ht="14.4" x14ac:dyDescent="0.3">
      <c r="A170" t="s">
        <v>2269</v>
      </c>
      <c r="B170" t="s">
        <v>2282</v>
      </c>
      <c r="C170" t="s">
        <v>1615</v>
      </c>
      <c r="D170" t="s">
        <v>2155</v>
      </c>
      <c r="E170" s="45">
        <v>55</v>
      </c>
      <c r="F170" t="s">
        <v>1441</v>
      </c>
      <c r="I170" s="152"/>
    </row>
    <row r="171" spans="1:9" customFormat="1" ht="14.4" x14ac:dyDescent="0.3">
      <c r="A171" t="s">
        <v>2269</v>
      </c>
      <c r="B171" t="s">
        <v>2282</v>
      </c>
      <c r="C171" t="s">
        <v>1615</v>
      </c>
      <c r="D171" t="s">
        <v>1697</v>
      </c>
      <c r="E171" s="45">
        <v>40</v>
      </c>
      <c r="F171" t="s">
        <v>1441</v>
      </c>
      <c r="I171" s="152"/>
    </row>
    <row r="172" spans="1:9" customFormat="1" ht="14.4" x14ac:dyDescent="0.3">
      <c r="A172" t="s">
        <v>2269</v>
      </c>
      <c r="B172" t="s">
        <v>2282</v>
      </c>
      <c r="C172" t="s">
        <v>1615</v>
      </c>
      <c r="D172" t="s">
        <v>2288</v>
      </c>
      <c r="E172" s="45">
        <v>10</v>
      </c>
      <c r="F172" t="s">
        <v>1441</v>
      </c>
      <c r="I172" s="152"/>
    </row>
    <row r="173" spans="1:9" customFormat="1" ht="14.4" x14ac:dyDescent="0.3">
      <c r="A173" t="s">
        <v>2269</v>
      </c>
      <c r="B173" t="s">
        <v>2282</v>
      </c>
      <c r="C173" t="s">
        <v>1615</v>
      </c>
      <c r="D173" t="s">
        <v>1834</v>
      </c>
      <c r="E173" s="45">
        <v>1400</v>
      </c>
      <c r="F173" t="s">
        <v>1441</v>
      </c>
      <c r="I173" s="152"/>
    </row>
    <row r="174" spans="1:9" customFormat="1" ht="14.4" x14ac:dyDescent="0.3">
      <c r="A174" t="s">
        <v>2269</v>
      </c>
      <c r="B174" t="s">
        <v>2282</v>
      </c>
      <c r="C174" t="s">
        <v>1615</v>
      </c>
      <c r="D174" t="s">
        <v>1741</v>
      </c>
      <c r="E174" s="45">
        <v>10</v>
      </c>
      <c r="F174" t="s">
        <v>1441</v>
      </c>
      <c r="I174" s="152"/>
    </row>
    <row r="175" spans="1:9" customFormat="1" ht="14.4" x14ac:dyDescent="0.3">
      <c r="A175" t="s">
        <v>2269</v>
      </c>
      <c r="B175" t="s">
        <v>2282</v>
      </c>
      <c r="C175" t="s">
        <v>1615</v>
      </c>
      <c r="D175" t="s">
        <v>1816</v>
      </c>
      <c r="E175" s="45">
        <v>15</v>
      </c>
      <c r="F175" t="s">
        <v>1441</v>
      </c>
      <c r="I175" s="152"/>
    </row>
    <row r="176" spans="1:9" customFormat="1" ht="14.4" x14ac:dyDescent="0.3">
      <c r="A176" t="s">
        <v>2269</v>
      </c>
      <c r="B176" t="s">
        <v>2282</v>
      </c>
      <c r="C176" t="s">
        <v>1615</v>
      </c>
      <c r="D176" t="s">
        <v>2289</v>
      </c>
      <c r="E176" s="45">
        <v>20</v>
      </c>
      <c r="F176" t="s">
        <v>1441</v>
      </c>
      <c r="I176" s="152"/>
    </row>
    <row r="177" spans="1:9" customFormat="1" ht="14.4" x14ac:dyDescent="0.3">
      <c r="A177" t="s">
        <v>2269</v>
      </c>
      <c r="B177" t="s">
        <v>2282</v>
      </c>
      <c r="C177" t="s">
        <v>1615</v>
      </c>
      <c r="D177" t="s">
        <v>2290</v>
      </c>
      <c r="E177" s="45">
        <v>25</v>
      </c>
      <c r="F177" t="s">
        <v>1441</v>
      </c>
      <c r="I177" s="152"/>
    </row>
    <row r="178" spans="1:9" customFormat="1" ht="14.4" x14ac:dyDescent="0.3">
      <c r="A178" t="s">
        <v>2269</v>
      </c>
      <c r="B178" t="s">
        <v>2282</v>
      </c>
      <c r="C178" t="s">
        <v>1615</v>
      </c>
      <c r="D178" t="s">
        <v>1995</v>
      </c>
      <c r="E178" s="45">
        <v>10</v>
      </c>
      <c r="F178" t="s">
        <v>1441</v>
      </c>
      <c r="I178" s="152"/>
    </row>
    <row r="179" spans="1:9" customFormat="1" ht="14.4" x14ac:dyDescent="0.3">
      <c r="A179" t="s">
        <v>2269</v>
      </c>
      <c r="B179" t="s">
        <v>2282</v>
      </c>
      <c r="C179" t="s">
        <v>1615</v>
      </c>
      <c r="D179" t="s">
        <v>1995</v>
      </c>
      <c r="E179" s="45">
        <v>60</v>
      </c>
      <c r="F179" t="s">
        <v>1441</v>
      </c>
      <c r="I179" s="152"/>
    </row>
    <row r="180" spans="1:9" customFormat="1" ht="14.4" x14ac:dyDescent="0.3">
      <c r="A180" t="s">
        <v>2269</v>
      </c>
      <c r="B180" t="s">
        <v>2282</v>
      </c>
      <c r="C180" t="s">
        <v>1615</v>
      </c>
      <c r="D180" t="s">
        <v>2291</v>
      </c>
      <c r="E180" s="45">
        <v>40</v>
      </c>
      <c r="F180" t="s">
        <v>1441</v>
      </c>
      <c r="I180" s="152"/>
    </row>
    <row r="181" spans="1:9" customFormat="1" ht="14.4" x14ac:dyDescent="0.3">
      <c r="A181" t="s">
        <v>2269</v>
      </c>
      <c r="B181" t="s">
        <v>2282</v>
      </c>
      <c r="C181" t="s">
        <v>1615</v>
      </c>
      <c r="D181" t="s">
        <v>2008</v>
      </c>
      <c r="E181" s="45">
        <v>20</v>
      </c>
      <c r="F181" t="s">
        <v>1441</v>
      </c>
      <c r="I181" s="152"/>
    </row>
    <row r="182" spans="1:9" customFormat="1" ht="14.4" x14ac:dyDescent="0.3">
      <c r="A182" t="s">
        <v>2269</v>
      </c>
      <c r="B182" t="s">
        <v>2282</v>
      </c>
      <c r="C182" t="s">
        <v>1615</v>
      </c>
      <c r="D182" t="s">
        <v>2202</v>
      </c>
      <c r="E182" s="45">
        <v>35</v>
      </c>
      <c r="F182" t="s">
        <v>1441</v>
      </c>
      <c r="I182" s="152"/>
    </row>
    <row r="183" spans="1:9" customFormat="1" ht="14.4" x14ac:dyDescent="0.3">
      <c r="A183" t="s">
        <v>2269</v>
      </c>
      <c r="B183" t="s">
        <v>2282</v>
      </c>
      <c r="C183" t="s">
        <v>1615</v>
      </c>
      <c r="D183" t="s">
        <v>2289</v>
      </c>
      <c r="E183" s="45">
        <v>10</v>
      </c>
      <c r="F183" t="s">
        <v>1441</v>
      </c>
      <c r="I183" s="152"/>
    </row>
    <row r="184" spans="1:9" customFormat="1" ht="14.4" x14ac:dyDescent="0.3">
      <c r="A184" t="s">
        <v>2269</v>
      </c>
      <c r="B184" t="s">
        <v>2282</v>
      </c>
      <c r="C184" t="s">
        <v>1615</v>
      </c>
      <c r="D184" t="s">
        <v>2152</v>
      </c>
      <c r="E184" s="45">
        <v>45</v>
      </c>
      <c r="F184" t="s">
        <v>1441</v>
      </c>
      <c r="I184" s="152"/>
    </row>
    <row r="185" spans="1:9" customFormat="1" ht="14.4" x14ac:dyDescent="0.3">
      <c r="A185" t="s">
        <v>2269</v>
      </c>
      <c r="B185" t="s">
        <v>2282</v>
      </c>
      <c r="C185" t="s">
        <v>1615</v>
      </c>
      <c r="D185" t="s">
        <v>1653</v>
      </c>
      <c r="E185" s="45">
        <v>30</v>
      </c>
      <c r="F185" t="s">
        <v>1441</v>
      </c>
      <c r="I185" s="152"/>
    </row>
    <row r="186" spans="1:9" customFormat="1" ht="14.4" x14ac:dyDescent="0.3">
      <c r="A186" t="s">
        <v>2269</v>
      </c>
      <c r="B186" t="s">
        <v>2282</v>
      </c>
      <c r="C186" t="s">
        <v>1615</v>
      </c>
      <c r="D186" t="s">
        <v>2292</v>
      </c>
      <c r="E186" s="45">
        <v>90</v>
      </c>
      <c r="F186" t="s">
        <v>1441</v>
      </c>
      <c r="I186" s="152"/>
    </row>
    <row r="187" spans="1:9" customFormat="1" ht="14.4" x14ac:dyDescent="0.3">
      <c r="A187" t="s">
        <v>2269</v>
      </c>
      <c r="B187" t="s">
        <v>2282</v>
      </c>
      <c r="C187" t="s">
        <v>1615</v>
      </c>
      <c r="D187" t="s">
        <v>2293</v>
      </c>
      <c r="E187" s="45">
        <v>45</v>
      </c>
      <c r="F187" t="s">
        <v>1441</v>
      </c>
      <c r="I187" s="152"/>
    </row>
    <row r="188" spans="1:9" customFormat="1" ht="14.4" x14ac:dyDescent="0.3">
      <c r="A188" t="s">
        <v>2269</v>
      </c>
      <c r="B188" t="s">
        <v>2282</v>
      </c>
      <c r="C188" t="s">
        <v>1615</v>
      </c>
      <c r="D188" t="s">
        <v>2189</v>
      </c>
      <c r="E188" s="45">
        <v>30</v>
      </c>
      <c r="F188" t="s">
        <v>1441</v>
      </c>
      <c r="I188" s="152"/>
    </row>
    <row r="189" spans="1:9" customFormat="1" ht="14.4" x14ac:dyDescent="0.3">
      <c r="A189" t="s">
        <v>2269</v>
      </c>
      <c r="B189" t="s">
        <v>2282</v>
      </c>
      <c r="C189" t="s">
        <v>1615</v>
      </c>
      <c r="D189" t="s">
        <v>2189</v>
      </c>
      <c r="E189" s="45">
        <v>60</v>
      </c>
      <c r="F189" t="s">
        <v>1441</v>
      </c>
      <c r="I189" s="152"/>
    </row>
    <row r="190" spans="1:9" customFormat="1" ht="14.4" x14ac:dyDescent="0.3">
      <c r="A190" t="s">
        <v>2269</v>
      </c>
      <c r="B190" t="s">
        <v>2282</v>
      </c>
      <c r="C190" t="s">
        <v>1615</v>
      </c>
      <c r="D190" t="s">
        <v>1707</v>
      </c>
      <c r="E190" s="45">
        <v>30</v>
      </c>
      <c r="F190" t="s">
        <v>1441</v>
      </c>
      <c r="I190" s="152"/>
    </row>
    <row r="191" spans="1:9" customFormat="1" ht="14.4" x14ac:dyDescent="0.3">
      <c r="A191" t="s">
        <v>2269</v>
      </c>
      <c r="B191" t="s">
        <v>2282</v>
      </c>
      <c r="C191" t="s">
        <v>1615</v>
      </c>
      <c r="D191" t="s">
        <v>1661</v>
      </c>
      <c r="E191" s="45">
        <v>50</v>
      </c>
      <c r="F191" t="s">
        <v>1441</v>
      </c>
      <c r="I191" s="152"/>
    </row>
    <row r="192" spans="1:9" customFormat="1" ht="14.4" x14ac:dyDescent="0.3">
      <c r="A192" t="s">
        <v>2269</v>
      </c>
      <c r="B192" t="s">
        <v>2282</v>
      </c>
      <c r="C192" t="s">
        <v>1615</v>
      </c>
      <c r="D192" t="s">
        <v>1834</v>
      </c>
      <c r="E192" s="45">
        <v>40</v>
      </c>
      <c r="F192" t="s">
        <v>1441</v>
      </c>
      <c r="I192" s="152"/>
    </row>
    <row r="193" spans="1:9" customFormat="1" ht="14.4" x14ac:dyDescent="0.3">
      <c r="A193" t="s">
        <v>2269</v>
      </c>
      <c r="B193" t="s">
        <v>2282</v>
      </c>
      <c r="C193" t="s">
        <v>1615</v>
      </c>
      <c r="D193" t="s">
        <v>2294</v>
      </c>
      <c r="E193" s="45">
        <v>45</v>
      </c>
      <c r="F193" t="s">
        <v>1441</v>
      </c>
      <c r="I193" s="152"/>
    </row>
    <row r="194" spans="1:9" customFormat="1" ht="14.4" x14ac:dyDescent="0.3">
      <c r="A194" t="s">
        <v>2269</v>
      </c>
      <c r="B194" t="s">
        <v>2282</v>
      </c>
      <c r="C194" t="s">
        <v>1615</v>
      </c>
      <c r="D194" t="s">
        <v>2295</v>
      </c>
      <c r="E194" s="45">
        <v>30</v>
      </c>
      <c r="F194" t="s">
        <v>1441</v>
      </c>
      <c r="I194" s="152"/>
    </row>
    <row r="195" spans="1:9" customFormat="1" ht="14.4" x14ac:dyDescent="0.3">
      <c r="A195" t="s">
        <v>2269</v>
      </c>
      <c r="B195" t="s">
        <v>2282</v>
      </c>
      <c r="C195" t="s">
        <v>1615</v>
      </c>
      <c r="D195" t="s">
        <v>2100</v>
      </c>
      <c r="E195" s="45">
        <v>60</v>
      </c>
      <c r="F195" t="s">
        <v>1441</v>
      </c>
      <c r="I195" s="152"/>
    </row>
    <row r="196" spans="1:9" customFormat="1" ht="14.4" x14ac:dyDescent="0.3">
      <c r="A196" t="s">
        <v>2269</v>
      </c>
      <c r="B196" t="s">
        <v>2282</v>
      </c>
      <c r="C196" t="s">
        <v>1615</v>
      </c>
      <c r="D196" t="s">
        <v>1824</v>
      </c>
      <c r="E196" s="45">
        <v>60</v>
      </c>
      <c r="F196" t="s">
        <v>1441</v>
      </c>
      <c r="I196" s="152"/>
    </row>
    <row r="197" spans="1:9" customFormat="1" ht="14.4" x14ac:dyDescent="0.3">
      <c r="A197" t="s">
        <v>2269</v>
      </c>
      <c r="B197" t="s">
        <v>2282</v>
      </c>
      <c r="C197" t="s">
        <v>1615</v>
      </c>
      <c r="D197" t="s">
        <v>2248</v>
      </c>
      <c r="E197" s="45">
        <v>45</v>
      </c>
      <c r="F197" t="s">
        <v>1441</v>
      </c>
      <c r="I197" s="152"/>
    </row>
    <row r="198" spans="1:9" customFormat="1" ht="14.4" x14ac:dyDescent="0.3">
      <c r="A198" t="s">
        <v>2269</v>
      </c>
      <c r="B198" t="s">
        <v>2282</v>
      </c>
      <c r="C198" t="s">
        <v>1615</v>
      </c>
      <c r="D198" t="s">
        <v>2296</v>
      </c>
      <c r="E198" s="45">
        <v>70</v>
      </c>
      <c r="F198" t="s">
        <v>1441</v>
      </c>
      <c r="I198" s="152"/>
    </row>
    <row r="199" spans="1:9" customFormat="1" ht="14.4" x14ac:dyDescent="0.3">
      <c r="A199" t="s">
        <v>2269</v>
      </c>
      <c r="B199" t="s">
        <v>2282</v>
      </c>
      <c r="C199" t="s">
        <v>1615</v>
      </c>
      <c r="D199" t="s">
        <v>2111</v>
      </c>
      <c r="E199" s="45">
        <v>130</v>
      </c>
      <c r="F199" t="s">
        <v>1441</v>
      </c>
      <c r="I199" s="152"/>
    </row>
    <row r="200" spans="1:9" customFormat="1" ht="14.4" x14ac:dyDescent="0.3">
      <c r="A200" t="s">
        <v>2269</v>
      </c>
      <c r="B200" t="s">
        <v>2282</v>
      </c>
      <c r="C200" t="s">
        <v>1615</v>
      </c>
      <c r="D200" t="s">
        <v>1999</v>
      </c>
      <c r="E200" s="45">
        <v>30</v>
      </c>
      <c r="F200" t="s">
        <v>1441</v>
      </c>
      <c r="I200" s="152"/>
    </row>
    <row r="201" spans="1:9" customFormat="1" ht="14.4" x14ac:dyDescent="0.3">
      <c r="A201" t="s">
        <v>2269</v>
      </c>
      <c r="B201" t="s">
        <v>2282</v>
      </c>
      <c r="C201" t="s">
        <v>1615</v>
      </c>
      <c r="D201" t="s">
        <v>1711</v>
      </c>
      <c r="E201" s="45">
        <v>90</v>
      </c>
      <c r="F201" t="s">
        <v>1441</v>
      </c>
      <c r="I201" s="152"/>
    </row>
    <row r="202" spans="1:9" customFormat="1" ht="14.4" x14ac:dyDescent="0.3">
      <c r="A202" t="s">
        <v>2269</v>
      </c>
      <c r="B202" t="s">
        <v>2282</v>
      </c>
      <c r="C202" t="s">
        <v>1615</v>
      </c>
      <c r="D202" t="s">
        <v>1661</v>
      </c>
      <c r="E202" s="45">
        <v>55</v>
      </c>
      <c r="F202" t="s">
        <v>1441</v>
      </c>
      <c r="I202" s="152"/>
    </row>
    <row r="203" spans="1:9" customFormat="1" ht="14.4" x14ac:dyDescent="0.3">
      <c r="A203" t="s">
        <v>2269</v>
      </c>
      <c r="B203" t="s">
        <v>2282</v>
      </c>
      <c r="C203" t="s">
        <v>1615</v>
      </c>
      <c r="D203" t="s">
        <v>1824</v>
      </c>
      <c r="E203" s="45">
        <v>45</v>
      </c>
      <c r="F203" t="s">
        <v>1441</v>
      </c>
      <c r="I203" s="152"/>
    </row>
    <row r="204" spans="1:9" customFormat="1" ht="14.4" x14ac:dyDescent="0.3">
      <c r="A204" t="s">
        <v>2269</v>
      </c>
      <c r="B204" t="s">
        <v>2282</v>
      </c>
      <c r="C204" t="s">
        <v>1615</v>
      </c>
      <c r="D204" t="s">
        <v>2120</v>
      </c>
      <c r="E204" s="45">
        <v>60</v>
      </c>
      <c r="F204" t="s">
        <v>1441</v>
      </c>
      <c r="I204" s="152"/>
    </row>
    <row r="205" spans="1:9" customFormat="1" ht="14.4" x14ac:dyDescent="0.3">
      <c r="A205" t="s">
        <v>2269</v>
      </c>
      <c r="B205" t="s">
        <v>2282</v>
      </c>
      <c r="C205" t="s">
        <v>1615</v>
      </c>
      <c r="D205" t="s">
        <v>1661</v>
      </c>
      <c r="E205" s="45">
        <v>90</v>
      </c>
      <c r="F205" t="s">
        <v>1441</v>
      </c>
      <c r="I205" s="152"/>
    </row>
    <row r="206" spans="1:9" customFormat="1" ht="14.4" x14ac:dyDescent="0.3">
      <c r="A206" t="s">
        <v>2269</v>
      </c>
      <c r="B206" t="s">
        <v>2282</v>
      </c>
      <c r="C206" t="s">
        <v>1615</v>
      </c>
      <c r="D206" t="s">
        <v>1675</v>
      </c>
      <c r="E206" s="45">
        <v>10</v>
      </c>
      <c r="F206" t="s">
        <v>1441</v>
      </c>
      <c r="I206" s="152"/>
    </row>
    <row r="207" spans="1:9" customFormat="1" ht="14.4" x14ac:dyDescent="0.3">
      <c r="A207" t="s">
        <v>2269</v>
      </c>
      <c r="B207" t="s">
        <v>2282</v>
      </c>
      <c r="C207" t="s">
        <v>1615</v>
      </c>
      <c r="D207" t="s">
        <v>1834</v>
      </c>
      <c r="E207" s="45">
        <v>20</v>
      </c>
      <c r="F207" t="s">
        <v>1441</v>
      </c>
      <c r="I207" s="152"/>
    </row>
    <row r="208" spans="1:9" customFormat="1" ht="14.4" x14ac:dyDescent="0.3">
      <c r="A208" t="s">
        <v>2269</v>
      </c>
      <c r="B208" t="s">
        <v>2282</v>
      </c>
      <c r="C208" t="s">
        <v>1615</v>
      </c>
      <c r="D208" t="s">
        <v>1824</v>
      </c>
      <c r="E208" s="45">
        <v>10</v>
      </c>
      <c r="F208" t="s">
        <v>1441</v>
      </c>
      <c r="I208" s="152"/>
    </row>
    <row r="209" spans="1:9" customFormat="1" ht="14.4" x14ac:dyDescent="0.3">
      <c r="A209" t="s">
        <v>2269</v>
      </c>
      <c r="B209" t="s">
        <v>2282</v>
      </c>
      <c r="C209" t="s">
        <v>1615</v>
      </c>
      <c r="D209" t="s">
        <v>2297</v>
      </c>
      <c r="E209" s="45">
        <v>20</v>
      </c>
      <c r="F209" t="s">
        <v>1441</v>
      </c>
      <c r="I209" s="152"/>
    </row>
    <row r="210" spans="1:9" customFormat="1" ht="14.4" x14ac:dyDescent="0.3">
      <c r="A210" t="s">
        <v>2269</v>
      </c>
      <c r="B210" t="s">
        <v>2282</v>
      </c>
      <c r="C210" t="s">
        <v>1615</v>
      </c>
      <c r="D210" t="s">
        <v>1711</v>
      </c>
      <c r="E210" s="45">
        <v>20</v>
      </c>
      <c r="F210" t="s">
        <v>1441</v>
      </c>
      <c r="I210" s="152"/>
    </row>
    <row r="211" spans="1:9" customFormat="1" ht="14.4" x14ac:dyDescent="0.3">
      <c r="A211" t="s">
        <v>2269</v>
      </c>
      <c r="B211" t="s">
        <v>2282</v>
      </c>
      <c r="C211" t="s">
        <v>1615</v>
      </c>
      <c r="D211" t="s">
        <v>1675</v>
      </c>
      <c r="E211" s="45">
        <v>15</v>
      </c>
      <c r="F211" t="s">
        <v>1441</v>
      </c>
      <c r="I211" s="152"/>
    </row>
    <row r="212" spans="1:9" customFormat="1" ht="14.4" x14ac:dyDescent="0.3">
      <c r="A212" t="s">
        <v>2269</v>
      </c>
      <c r="B212" t="s">
        <v>2282</v>
      </c>
      <c r="C212" t="s">
        <v>1615</v>
      </c>
      <c r="D212" t="s">
        <v>1707</v>
      </c>
      <c r="E212" s="45">
        <v>15</v>
      </c>
      <c r="F212" t="s">
        <v>1441</v>
      </c>
      <c r="I212" s="152"/>
    </row>
    <row r="213" spans="1:9" customFormat="1" ht="14.4" x14ac:dyDescent="0.3">
      <c r="A213" t="s">
        <v>2269</v>
      </c>
      <c r="B213" t="s">
        <v>2282</v>
      </c>
      <c r="C213" t="s">
        <v>1983</v>
      </c>
      <c r="D213" t="s">
        <v>1185</v>
      </c>
      <c r="E213" s="45">
        <v>3840</v>
      </c>
      <c r="F213" t="s">
        <v>1441</v>
      </c>
      <c r="I213" s="152"/>
    </row>
    <row r="214" spans="1:9" customFormat="1" ht="14.4" x14ac:dyDescent="0.3">
      <c r="A214" t="s">
        <v>2269</v>
      </c>
      <c r="B214" t="s">
        <v>2298</v>
      </c>
      <c r="C214" t="s">
        <v>144</v>
      </c>
      <c r="D214" t="s">
        <v>145</v>
      </c>
      <c r="E214" s="45">
        <v>3000</v>
      </c>
      <c r="F214" t="s">
        <v>24</v>
      </c>
      <c r="I214" s="152"/>
    </row>
    <row r="215" spans="1:9" customFormat="1" ht="14.4" x14ac:dyDescent="0.3">
      <c r="A215" t="s">
        <v>2269</v>
      </c>
      <c r="B215" t="s">
        <v>2299</v>
      </c>
      <c r="C215" t="s">
        <v>995</v>
      </c>
      <c r="D215" t="s">
        <v>126</v>
      </c>
      <c r="E215" s="45">
        <v>-843</v>
      </c>
      <c r="F215" t="s">
        <v>39</v>
      </c>
      <c r="G215" t="s">
        <v>586</v>
      </c>
      <c r="H215" t="s">
        <v>586</v>
      </c>
      <c r="I215" s="152"/>
    </row>
    <row r="216" spans="1:9" customFormat="1" ht="14.4" x14ac:dyDescent="0.3">
      <c r="A216" t="s">
        <v>2269</v>
      </c>
      <c r="B216" t="s">
        <v>2299</v>
      </c>
      <c r="C216" t="s">
        <v>942</v>
      </c>
      <c r="D216" t="s">
        <v>126</v>
      </c>
      <c r="E216" s="45">
        <v>-170</v>
      </c>
      <c r="F216" t="s">
        <v>39</v>
      </c>
      <c r="G216" t="s">
        <v>580</v>
      </c>
      <c r="H216" t="s">
        <v>592</v>
      </c>
      <c r="I216" s="152"/>
    </row>
    <row r="217" spans="1:9" customFormat="1" ht="14.4" x14ac:dyDescent="0.3">
      <c r="A217" s="166" t="s">
        <v>2269</v>
      </c>
      <c r="B217" s="166" t="s">
        <v>2299</v>
      </c>
      <c r="C217" s="166" t="s">
        <v>1144</v>
      </c>
      <c r="D217" s="166" t="s">
        <v>126</v>
      </c>
      <c r="E217" s="167">
        <v>-1000</v>
      </c>
      <c r="F217" s="166"/>
      <c r="G217" s="166"/>
      <c r="H217" s="166"/>
      <c r="I217" s="152"/>
    </row>
    <row r="218" spans="1:9" customFormat="1" ht="14.4" x14ac:dyDescent="0.3">
      <c r="A218" t="s">
        <v>2269</v>
      </c>
      <c r="B218" t="s">
        <v>2299</v>
      </c>
      <c r="C218" t="s">
        <v>942</v>
      </c>
      <c r="D218" t="s">
        <v>126</v>
      </c>
      <c r="E218" s="45">
        <v>-575</v>
      </c>
      <c r="F218" t="s">
        <v>39</v>
      </c>
      <c r="G218" t="s">
        <v>580</v>
      </c>
      <c r="H218" t="s">
        <v>592</v>
      </c>
      <c r="I218" s="152"/>
    </row>
    <row r="219" spans="1:9" customFormat="1" ht="14.4" x14ac:dyDescent="0.3">
      <c r="A219" t="s">
        <v>2269</v>
      </c>
      <c r="B219" t="s">
        <v>2299</v>
      </c>
      <c r="C219" t="s">
        <v>1397</v>
      </c>
      <c r="D219" t="s">
        <v>126</v>
      </c>
      <c r="E219" s="45">
        <v>-395</v>
      </c>
      <c r="F219" t="s">
        <v>39</v>
      </c>
      <c r="G219" t="s">
        <v>580</v>
      </c>
      <c r="H219" t="s">
        <v>593</v>
      </c>
      <c r="I219" s="152"/>
    </row>
    <row r="220" spans="1:9" customFormat="1" ht="14.4" x14ac:dyDescent="0.3">
      <c r="A220" t="s">
        <v>2269</v>
      </c>
      <c r="B220" t="s">
        <v>2299</v>
      </c>
      <c r="C220" t="s">
        <v>942</v>
      </c>
      <c r="D220" t="s">
        <v>126</v>
      </c>
      <c r="E220" s="45">
        <v>-170</v>
      </c>
      <c r="F220" t="s">
        <v>39</v>
      </c>
      <c r="G220" t="s">
        <v>580</v>
      </c>
      <c r="H220" t="s">
        <v>592</v>
      </c>
      <c r="I220" s="152"/>
    </row>
    <row r="221" spans="1:9" customFormat="1" ht="14.4" x14ac:dyDescent="0.3">
      <c r="A221" t="s">
        <v>2269</v>
      </c>
      <c r="B221" t="s">
        <v>2299</v>
      </c>
      <c r="C221" t="s">
        <v>998</v>
      </c>
      <c r="D221" t="s">
        <v>126</v>
      </c>
      <c r="E221" s="45">
        <v>-275</v>
      </c>
      <c r="F221" t="s">
        <v>39</v>
      </c>
      <c r="G221" t="s">
        <v>580</v>
      </c>
      <c r="H221" t="s">
        <v>438</v>
      </c>
      <c r="I221" s="152"/>
    </row>
    <row r="222" spans="1:9" customFormat="1" ht="14.4" x14ac:dyDescent="0.3">
      <c r="A222" t="s">
        <v>2269</v>
      </c>
      <c r="B222" t="s">
        <v>2299</v>
      </c>
      <c r="C222" t="s">
        <v>928</v>
      </c>
      <c r="D222" t="s">
        <v>126</v>
      </c>
      <c r="E222" s="45">
        <v>-395</v>
      </c>
      <c r="F222" t="s">
        <v>39</v>
      </c>
      <c r="G222" t="s">
        <v>580</v>
      </c>
      <c r="H222" t="s">
        <v>594</v>
      </c>
      <c r="I222" s="152"/>
    </row>
    <row r="223" spans="1:9" customFormat="1" ht="14.4" x14ac:dyDescent="0.3">
      <c r="A223" t="s">
        <v>2269</v>
      </c>
      <c r="B223" t="s">
        <v>2299</v>
      </c>
      <c r="C223" t="s">
        <v>942</v>
      </c>
      <c r="D223" t="s">
        <v>126</v>
      </c>
      <c r="E223" s="45">
        <v>-530</v>
      </c>
      <c r="F223" t="s">
        <v>39</v>
      </c>
      <c r="G223" t="s">
        <v>580</v>
      </c>
      <c r="H223" t="s">
        <v>592</v>
      </c>
      <c r="I223" s="152"/>
    </row>
    <row r="224" spans="1:9" customFormat="1" ht="14.4" x14ac:dyDescent="0.3">
      <c r="A224" t="s">
        <v>2269</v>
      </c>
      <c r="B224" t="s">
        <v>2299</v>
      </c>
      <c r="C224" t="s">
        <v>1397</v>
      </c>
      <c r="D224" t="s">
        <v>126</v>
      </c>
      <c r="E224" s="45">
        <v>-395</v>
      </c>
      <c r="F224" t="s">
        <v>39</v>
      </c>
      <c r="G224" t="s">
        <v>580</v>
      </c>
      <c r="H224" t="s">
        <v>593</v>
      </c>
      <c r="I224" s="152"/>
    </row>
    <row r="225" spans="1:9" customFormat="1" ht="14.4" x14ac:dyDescent="0.3">
      <c r="A225" s="166" t="s">
        <v>2269</v>
      </c>
      <c r="B225" s="166" t="s">
        <v>2300</v>
      </c>
      <c r="C225" s="166" t="s">
        <v>144</v>
      </c>
      <c r="D225" s="166" t="s">
        <v>145</v>
      </c>
      <c r="E225" s="167">
        <v>1000</v>
      </c>
      <c r="F225" s="166"/>
      <c r="G225" s="166"/>
      <c r="H225" s="166"/>
      <c r="I225" s="152"/>
    </row>
    <row r="226" spans="1:9" customFormat="1" ht="14.4" x14ac:dyDescent="0.3">
      <c r="A226" t="s">
        <v>2269</v>
      </c>
      <c r="B226" t="s">
        <v>2301</v>
      </c>
      <c r="C226" t="s">
        <v>1615</v>
      </c>
      <c r="D226" t="s">
        <v>1799</v>
      </c>
      <c r="E226" s="45">
        <v>25</v>
      </c>
      <c r="F226" t="s">
        <v>1441</v>
      </c>
      <c r="I226" s="152"/>
    </row>
    <row r="227" spans="1:9" customFormat="1" ht="14.4" x14ac:dyDescent="0.3">
      <c r="A227" t="s">
        <v>2269</v>
      </c>
      <c r="B227" t="s">
        <v>2301</v>
      </c>
      <c r="C227" t="s">
        <v>1615</v>
      </c>
      <c r="D227" t="s">
        <v>2302</v>
      </c>
      <c r="E227" s="45">
        <v>30</v>
      </c>
      <c r="F227" t="s">
        <v>1441</v>
      </c>
      <c r="I227" s="152"/>
    </row>
    <row r="228" spans="1:9" customFormat="1" ht="14.4" x14ac:dyDescent="0.3">
      <c r="A228" t="s">
        <v>2269</v>
      </c>
      <c r="B228" t="s">
        <v>2301</v>
      </c>
      <c r="C228" t="s">
        <v>1615</v>
      </c>
      <c r="D228" t="s">
        <v>2106</v>
      </c>
      <c r="E228" s="45">
        <v>45</v>
      </c>
      <c r="F228" t="s">
        <v>1441</v>
      </c>
      <c r="I228" s="152"/>
    </row>
    <row r="229" spans="1:9" customFormat="1" ht="14.4" x14ac:dyDescent="0.3">
      <c r="A229" t="s">
        <v>2269</v>
      </c>
      <c r="B229" t="s">
        <v>2301</v>
      </c>
      <c r="C229" t="s">
        <v>1615</v>
      </c>
      <c r="D229" t="s">
        <v>1695</v>
      </c>
      <c r="E229" s="45">
        <v>35</v>
      </c>
      <c r="F229" t="s">
        <v>1441</v>
      </c>
      <c r="I229" s="152"/>
    </row>
    <row r="230" spans="1:9" customFormat="1" ht="14.4" x14ac:dyDescent="0.3">
      <c r="A230" t="s">
        <v>2269</v>
      </c>
      <c r="B230" t="s">
        <v>2301</v>
      </c>
      <c r="C230" t="s">
        <v>1615</v>
      </c>
      <c r="D230" t="s">
        <v>1663</v>
      </c>
      <c r="E230" s="45">
        <v>25</v>
      </c>
      <c r="F230" t="s">
        <v>1441</v>
      </c>
      <c r="I230" s="152"/>
    </row>
    <row r="231" spans="1:9" customFormat="1" ht="14.4" x14ac:dyDescent="0.3">
      <c r="A231" t="s">
        <v>2269</v>
      </c>
      <c r="B231" t="s">
        <v>2301</v>
      </c>
      <c r="C231" t="s">
        <v>1615</v>
      </c>
      <c r="D231" t="s">
        <v>2303</v>
      </c>
      <c r="E231" s="45">
        <v>35</v>
      </c>
      <c r="F231" t="s">
        <v>1441</v>
      </c>
      <c r="I231" s="152"/>
    </row>
    <row r="232" spans="1:9" customFormat="1" ht="14.4" x14ac:dyDescent="0.3">
      <c r="A232" t="s">
        <v>2269</v>
      </c>
      <c r="B232" t="s">
        <v>2301</v>
      </c>
      <c r="C232" t="s">
        <v>1615</v>
      </c>
      <c r="D232" t="s">
        <v>2304</v>
      </c>
      <c r="E232" s="45">
        <v>25</v>
      </c>
      <c r="F232" t="s">
        <v>1441</v>
      </c>
      <c r="I232" s="152"/>
    </row>
    <row r="233" spans="1:9" customFormat="1" ht="14.4" x14ac:dyDescent="0.3">
      <c r="A233" t="s">
        <v>2269</v>
      </c>
      <c r="B233" t="s">
        <v>2301</v>
      </c>
      <c r="C233" t="s">
        <v>1615</v>
      </c>
      <c r="D233" t="s">
        <v>2305</v>
      </c>
      <c r="E233" s="45">
        <v>60</v>
      </c>
      <c r="F233" t="s">
        <v>1441</v>
      </c>
      <c r="I233" s="152"/>
    </row>
    <row r="234" spans="1:9" customFormat="1" ht="14.4" x14ac:dyDescent="0.3">
      <c r="A234" t="s">
        <v>2269</v>
      </c>
      <c r="B234" t="s">
        <v>2301</v>
      </c>
      <c r="C234" t="s">
        <v>1615</v>
      </c>
      <c r="D234" t="s">
        <v>2306</v>
      </c>
      <c r="E234" s="45">
        <v>12</v>
      </c>
      <c r="F234" t="s">
        <v>1441</v>
      </c>
      <c r="I234" s="152"/>
    </row>
    <row r="235" spans="1:9" customFormat="1" ht="14.4" x14ac:dyDescent="0.3">
      <c r="A235" t="s">
        <v>2269</v>
      </c>
      <c r="B235" t="s">
        <v>2301</v>
      </c>
      <c r="C235" t="s">
        <v>1615</v>
      </c>
      <c r="D235" t="s">
        <v>2288</v>
      </c>
      <c r="E235" s="45">
        <v>10</v>
      </c>
      <c r="F235" t="s">
        <v>1441</v>
      </c>
      <c r="I235" s="152"/>
    </row>
    <row r="236" spans="1:9" customFormat="1" ht="14.4" x14ac:dyDescent="0.3">
      <c r="A236" t="s">
        <v>2269</v>
      </c>
      <c r="B236" t="s">
        <v>2301</v>
      </c>
      <c r="C236" t="s">
        <v>1615</v>
      </c>
      <c r="D236" t="s">
        <v>2307</v>
      </c>
      <c r="E236" s="45">
        <v>10</v>
      </c>
      <c r="F236" t="s">
        <v>1441</v>
      </c>
      <c r="I236" s="152"/>
    </row>
    <row r="237" spans="1:9" customFormat="1" ht="14.4" x14ac:dyDescent="0.3">
      <c r="A237" t="s">
        <v>2269</v>
      </c>
      <c r="B237" t="s">
        <v>2301</v>
      </c>
      <c r="C237" t="s">
        <v>1615</v>
      </c>
      <c r="D237" t="s">
        <v>1806</v>
      </c>
      <c r="E237" s="45">
        <v>25</v>
      </c>
      <c r="F237" t="s">
        <v>1441</v>
      </c>
      <c r="I237" s="152"/>
    </row>
    <row r="238" spans="1:9" customFormat="1" ht="14.4" x14ac:dyDescent="0.3">
      <c r="A238" t="s">
        <v>2269</v>
      </c>
      <c r="B238" t="s">
        <v>2301</v>
      </c>
      <c r="C238" t="s">
        <v>1615</v>
      </c>
      <c r="D238" t="s">
        <v>2160</v>
      </c>
      <c r="E238" s="45">
        <v>30</v>
      </c>
      <c r="F238" t="s">
        <v>1441</v>
      </c>
      <c r="I238" s="152"/>
    </row>
    <row r="239" spans="1:9" customFormat="1" ht="14.4" x14ac:dyDescent="0.3">
      <c r="A239" t="s">
        <v>2269</v>
      </c>
      <c r="B239" t="s">
        <v>2301</v>
      </c>
      <c r="C239" t="s">
        <v>1615</v>
      </c>
      <c r="D239" t="s">
        <v>1816</v>
      </c>
      <c r="E239" s="45">
        <v>30</v>
      </c>
      <c r="F239" t="s">
        <v>1441</v>
      </c>
      <c r="I239" s="152"/>
    </row>
    <row r="240" spans="1:9" customFormat="1" ht="14.4" x14ac:dyDescent="0.3">
      <c r="A240" t="s">
        <v>2269</v>
      </c>
      <c r="B240" t="s">
        <v>2301</v>
      </c>
      <c r="C240" t="s">
        <v>1615</v>
      </c>
      <c r="D240" t="s">
        <v>2308</v>
      </c>
      <c r="E240" s="45">
        <v>35</v>
      </c>
      <c r="F240" t="s">
        <v>1441</v>
      </c>
      <c r="I240" s="152"/>
    </row>
    <row r="241" spans="1:9" customFormat="1" ht="14.4" x14ac:dyDescent="0.3">
      <c r="A241" t="s">
        <v>2269</v>
      </c>
      <c r="B241" t="s">
        <v>2301</v>
      </c>
      <c r="C241" t="s">
        <v>1615</v>
      </c>
      <c r="D241" t="s">
        <v>2309</v>
      </c>
      <c r="E241" s="45">
        <v>10</v>
      </c>
      <c r="F241" t="s">
        <v>1441</v>
      </c>
      <c r="I241" s="152"/>
    </row>
    <row r="242" spans="1:9" customFormat="1" ht="14.4" x14ac:dyDescent="0.3">
      <c r="A242" t="s">
        <v>2269</v>
      </c>
      <c r="B242" t="s">
        <v>2301</v>
      </c>
      <c r="C242" t="s">
        <v>1615</v>
      </c>
      <c r="D242" t="s">
        <v>1687</v>
      </c>
      <c r="E242" s="45">
        <v>20</v>
      </c>
      <c r="F242" t="s">
        <v>1441</v>
      </c>
      <c r="I242" s="152"/>
    </row>
    <row r="243" spans="1:9" customFormat="1" ht="14.4" x14ac:dyDescent="0.3">
      <c r="A243" t="s">
        <v>2269</v>
      </c>
      <c r="B243" t="s">
        <v>2301</v>
      </c>
      <c r="C243" t="s">
        <v>1615</v>
      </c>
      <c r="D243" t="s">
        <v>2310</v>
      </c>
      <c r="E243" s="45">
        <v>20</v>
      </c>
      <c r="F243" t="s">
        <v>1441</v>
      </c>
      <c r="I243" s="152"/>
    </row>
    <row r="244" spans="1:9" customFormat="1" ht="14.4" x14ac:dyDescent="0.3">
      <c r="A244" t="s">
        <v>2269</v>
      </c>
      <c r="B244" t="s">
        <v>2301</v>
      </c>
      <c r="C244" t="s">
        <v>1615</v>
      </c>
      <c r="D244" t="s">
        <v>2311</v>
      </c>
      <c r="E244" s="45">
        <v>79</v>
      </c>
      <c r="F244" t="s">
        <v>1441</v>
      </c>
      <c r="I244" s="152"/>
    </row>
    <row r="245" spans="1:9" customFormat="1" ht="14.4" x14ac:dyDescent="0.3">
      <c r="A245" t="s">
        <v>2269</v>
      </c>
      <c r="B245" t="s">
        <v>2301</v>
      </c>
      <c r="C245" t="s">
        <v>1615</v>
      </c>
      <c r="D245" t="s">
        <v>2183</v>
      </c>
      <c r="E245" s="45">
        <v>15</v>
      </c>
      <c r="F245" t="s">
        <v>1441</v>
      </c>
      <c r="I245" s="152"/>
    </row>
    <row r="246" spans="1:9" customFormat="1" ht="14.4" x14ac:dyDescent="0.3">
      <c r="A246" t="s">
        <v>2269</v>
      </c>
      <c r="B246" t="s">
        <v>2301</v>
      </c>
      <c r="C246" t="s">
        <v>1615</v>
      </c>
      <c r="D246" t="s">
        <v>1675</v>
      </c>
      <c r="E246" s="45">
        <v>27</v>
      </c>
      <c r="F246" t="s">
        <v>1441</v>
      </c>
      <c r="I246" s="152"/>
    </row>
    <row r="247" spans="1:9" customFormat="1" ht="14.4" x14ac:dyDescent="0.3">
      <c r="A247" t="s">
        <v>2269</v>
      </c>
      <c r="B247" t="s">
        <v>2301</v>
      </c>
      <c r="C247" t="s">
        <v>1615</v>
      </c>
      <c r="D247" t="s">
        <v>2312</v>
      </c>
      <c r="E247" s="45">
        <v>10</v>
      </c>
      <c r="F247" t="s">
        <v>1441</v>
      </c>
      <c r="I247" s="152"/>
    </row>
    <row r="248" spans="1:9" customFormat="1" ht="14.4" x14ac:dyDescent="0.3">
      <c r="A248" t="s">
        <v>2269</v>
      </c>
      <c r="B248" t="s">
        <v>2301</v>
      </c>
      <c r="C248" t="s">
        <v>1615</v>
      </c>
      <c r="D248" t="s">
        <v>2189</v>
      </c>
      <c r="E248" s="45">
        <v>25</v>
      </c>
      <c r="F248" t="s">
        <v>1441</v>
      </c>
      <c r="I248" s="152"/>
    </row>
    <row r="249" spans="1:9" customFormat="1" ht="14.4" x14ac:dyDescent="0.3">
      <c r="A249" t="s">
        <v>2269</v>
      </c>
      <c r="B249" t="s">
        <v>2301</v>
      </c>
      <c r="C249" t="s">
        <v>1615</v>
      </c>
      <c r="D249" t="s">
        <v>1675</v>
      </c>
      <c r="E249" s="45">
        <v>15</v>
      </c>
      <c r="F249" t="s">
        <v>1441</v>
      </c>
      <c r="I249" s="152"/>
    </row>
    <row r="250" spans="1:9" customFormat="1" ht="14.4" x14ac:dyDescent="0.3">
      <c r="A250" t="s">
        <v>2269</v>
      </c>
      <c r="B250" t="s">
        <v>2301</v>
      </c>
      <c r="C250" t="s">
        <v>2249</v>
      </c>
      <c r="D250" t="s">
        <v>1185</v>
      </c>
      <c r="E250" s="45">
        <v>5660</v>
      </c>
      <c r="F250" t="s">
        <v>2143</v>
      </c>
      <c r="I250" s="152"/>
    </row>
    <row r="251" spans="1:9" customFormat="1" ht="14.4" x14ac:dyDescent="0.3">
      <c r="A251" t="s">
        <v>2269</v>
      </c>
      <c r="B251" t="s">
        <v>2313</v>
      </c>
      <c r="C251" t="s">
        <v>504</v>
      </c>
      <c r="D251" t="s">
        <v>101</v>
      </c>
      <c r="E251" s="45">
        <v>-145</v>
      </c>
      <c r="F251" t="s">
        <v>46</v>
      </c>
      <c r="G251" t="s">
        <v>580</v>
      </c>
      <c r="H251" t="s">
        <v>342</v>
      </c>
      <c r="I251" s="152"/>
    </row>
    <row r="252" spans="1:9" customFormat="1" ht="14.4" x14ac:dyDescent="0.3">
      <c r="A252" t="s">
        <v>2269</v>
      </c>
      <c r="B252" t="s">
        <v>2313</v>
      </c>
      <c r="C252" t="s">
        <v>1785</v>
      </c>
      <c r="D252" t="s">
        <v>101</v>
      </c>
      <c r="E252" s="45">
        <v>-45412</v>
      </c>
      <c r="F252" t="s">
        <v>1163</v>
      </c>
      <c r="I252" s="152"/>
    </row>
    <row r="253" spans="1:9" customFormat="1" ht="14.4" x14ac:dyDescent="0.3">
      <c r="A253" t="s">
        <v>2269</v>
      </c>
      <c r="B253" t="s">
        <v>2314</v>
      </c>
      <c r="C253" t="s">
        <v>838</v>
      </c>
      <c r="D253" t="s">
        <v>101</v>
      </c>
      <c r="E253" s="45">
        <v>-119</v>
      </c>
      <c r="F253" t="s">
        <v>46</v>
      </c>
      <c r="G253" t="s">
        <v>586</v>
      </c>
      <c r="H253" t="s">
        <v>586</v>
      </c>
      <c r="I253" s="152"/>
    </row>
    <row r="254" spans="1:9" customFormat="1" ht="14.4" x14ac:dyDescent="0.3">
      <c r="A254" t="s">
        <v>2269</v>
      </c>
      <c r="B254" t="s">
        <v>2314</v>
      </c>
      <c r="C254" t="s">
        <v>1615</v>
      </c>
      <c r="D254" t="s">
        <v>2315</v>
      </c>
      <c r="E254" s="45">
        <v>60</v>
      </c>
      <c r="F254" t="s">
        <v>1441</v>
      </c>
      <c r="I254" s="152"/>
    </row>
    <row r="255" spans="1:9" customFormat="1" ht="14.4" x14ac:dyDescent="0.3">
      <c r="A255" t="s">
        <v>2269</v>
      </c>
      <c r="B255" t="s">
        <v>2314</v>
      </c>
      <c r="C255" t="s">
        <v>1615</v>
      </c>
      <c r="D255" t="s">
        <v>2316</v>
      </c>
      <c r="E255" s="45">
        <v>25</v>
      </c>
      <c r="F255" t="s">
        <v>1441</v>
      </c>
      <c r="I255" s="152"/>
    </row>
    <row r="256" spans="1:9" customFormat="1" ht="14.4" x14ac:dyDescent="0.3">
      <c r="A256" t="s">
        <v>2269</v>
      </c>
      <c r="B256" t="s">
        <v>2314</v>
      </c>
      <c r="C256" t="s">
        <v>1615</v>
      </c>
      <c r="D256" t="s">
        <v>2317</v>
      </c>
      <c r="E256" s="45">
        <v>50</v>
      </c>
      <c r="F256" t="s">
        <v>1441</v>
      </c>
      <c r="I256" s="152"/>
    </row>
    <row r="257" spans="1:9" customFormat="1" ht="14.4" x14ac:dyDescent="0.3">
      <c r="A257" t="s">
        <v>2269</v>
      </c>
      <c r="B257" t="s">
        <v>2314</v>
      </c>
      <c r="C257" t="s">
        <v>1615</v>
      </c>
      <c r="D257" t="s">
        <v>1794</v>
      </c>
      <c r="E257" s="45">
        <v>15</v>
      </c>
      <c r="F257" t="s">
        <v>1441</v>
      </c>
      <c r="I257" s="152"/>
    </row>
    <row r="258" spans="1:9" customFormat="1" ht="14.4" x14ac:dyDescent="0.3">
      <c r="A258" t="s">
        <v>2269</v>
      </c>
      <c r="B258" t="s">
        <v>2314</v>
      </c>
      <c r="C258" t="s">
        <v>1615</v>
      </c>
      <c r="D258" t="s">
        <v>1697</v>
      </c>
      <c r="E258" s="45">
        <v>25</v>
      </c>
      <c r="F258" t="s">
        <v>1441</v>
      </c>
      <c r="I258" s="152"/>
    </row>
    <row r="259" spans="1:9" customFormat="1" ht="14.4" x14ac:dyDescent="0.3">
      <c r="A259" t="s">
        <v>2269</v>
      </c>
      <c r="B259" t="s">
        <v>2314</v>
      </c>
      <c r="C259" t="s">
        <v>1615</v>
      </c>
      <c r="D259" t="s">
        <v>2318</v>
      </c>
      <c r="E259" s="45">
        <v>20</v>
      </c>
      <c r="F259" t="s">
        <v>1441</v>
      </c>
      <c r="I259" s="152"/>
    </row>
    <row r="260" spans="1:9" customFormat="1" ht="14.4" x14ac:dyDescent="0.3">
      <c r="A260" t="s">
        <v>2269</v>
      </c>
      <c r="B260" t="s">
        <v>2314</v>
      </c>
      <c r="C260" t="s">
        <v>1615</v>
      </c>
      <c r="D260" t="s">
        <v>2319</v>
      </c>
      <c r="E260" s="45">
        <v>15</v>
      </c>
      <c r="F260" t="s">
        <v>1441</v>
      </c>
      <c r="I260" s="152"/>
    </row>
    <row r="261" spans="1:9" customFormat="1" ht="14.4" x14ac:dyDescent="0.3">
      <c r="A261" t="s">
        <v>2269</v>
      </c>
      <c r="B261" t="s">
        <v>2314</v>
      </c>
      <c r="C261" t="s">
        <v>1615</v>
      </c>
      <c r="D261" t="s">
        <v>1735</v>
      </c>
      <c r="E261" s="45">
        <v>30</v>
      </c>
      <c r="F261" t="s">
        <v>1441</v>
      </c>
      <c r="I261" s="152"/>
    </row>
    <row r="262" spans="1:9" customFormat="1" ht="14.4" x14ac:dyDescent="0.3">
      <c r="A262" t="s">
        <v>2269</v>
      </c>
      <c r="B262" t="s">
        <v>2314</v>
      </c>
      <c r="C262" t="s">
        <v>1615</v>
      </c>
      <c r="D262" t="s">
        <v>2320</v>
      </c>
      <c r="E262" s="45">
        <v>45</v>
      </c>
      <c r="F262" t="s">
        <v>1441</v>
      </c>
      <c r="I262" s="152"/>
    </row>
    <row r="263" spans="1:9" customFormat="1" ht="14.4" x14ac:dyDescent="0.3">
      <c r="A263" t="s">
        <v>2269</v>
      </c>
      <c r="B263" t="s">
        <v>2314</v>
      </c>
      <c r="C263" t="s">
        <v>1615</v>
      </c>
      <c r="D263" t="s">
        <v>2319</v>
      </c>
      <c r="E263" s="45">
        <v>20</v>
      </c>
      <c r="F263" t="s">
        <v>1441</v>
      </c>
      <c r="I263" s="152"/>
    </row>
    <row r="264" spans="1:9" customFormat="1" ht="14.4" x14ac:dyDescent="0.3">
      <c r="A264" t="s">
        <v>2269</v>
      </c>
      <c r="B264" t="s">
        <v>2314</v>
      </c>
      <c r="C264" t="s">
        <v>1615</v>
      </c>
      <c r="D264" t="s">
        <v>1825</v>
      </c>
      <c r="E264" s="45">
        <v>30</v>
      </c>
      <c r="F264" t="s">
        <v>1441</v>
      </c>
      <c r="I264" s="152"/>
    </row>
    <row r="265" spans="1:9" customFormat="1" ht="14.4" x14ac:dyDescent="0.3">
      <c r="A265" t="s">
        <v>2269</v>
      </c>
      <c r="B265" t="s">
        <v>2321</v>
      </c>
      <c r="C265" t="s">
        <v>144</v>
      </c>
      <c r="D265" t="s">
        <v>145</v>
      </c>
      <c r="E265" s="45">
        <v>85834</v>
      </c>
      <c r="F265" t="s">
        <v>1157</v>
      </c>
      <c r="G265" t="s">
        <v>580</v>
      </c>
      <c r="I265" s="152"/>
    </row>
    <row r="266" spans="1:9" customFormat="1" ht="14.4" x14ac:dyDescent="0.3">
      <c r="A266" t="s">
        <v>2269</v>
      </c>
      <c r="B266" t="s">
        <v>2321</v>
      </c>
      <c r="C266" t="s">
        <v>942</v>
      </c>
      <c r="D266" t="s">
        <v>126</v>
      </c>
      <c r="E266" s="45">
        <v>-665</v>
      </c>
      <c r="F266" t="s">
        <v>39</v>
      </c>
      <c r="G266" t="s">
        <v>580</v>
      </c>
      <c r="H266" t="s">
        <v>592</v>
      </c>
      <c r="I266" s="152"/>
    </row>
    <row r="267" spans="1:9" customFormat="1" ht="14.4" x14ac:dyDescent="0.3">
      <c r="A267" t="s">
        <v>2269</v>
      </c>
      <c r="B267" t="s">
        <v>2321</v>
      </c>
      <c r="C267" t="s">
        <v>2322</v>
      </c>
      <c r="D267" t="s">
        <v>126</v>
      </c>
      <c r="E267" s="45">
        <v>-7152</v>
      </c>
      <c r="F267" t="s">
        <v>1163</v>
      </c>
      <c r="I267" s="152"/>
    </row>
    <row r="268" spans="1:9" customFormat="1" ht="14.4" x14ac:dyDescent="0.3">
      <c r="A268" t="s">
        <v>2269</v>
      </c>
      <c r="B268" t="s">
        <v>2321</v>
      </c>
      <c r="C268" t="s">
        <v>838</v>
      </c>
      <c r="D268" t="s">
        <v>101</v>
      </c>
      <c r="E268" s="45">
        <v>-3390</v>
      </c>
      <c r="F268" t="s">
        <v>46</v>
      </c>
      <c r="G268" t="s">
        <v>586</v>
      </c>
      <c r="H268" t="s">
        <v>586</v>
      </c>
      <c r="I268" s="152"/>
    </row>
    <row r="269" spans="1:9" customFormat="1" ht="14.4" x14ac:dyDescent="0.3">
      <c r="A269" t="s">
        <v>2269</v>
      </c>
      <c r="B269" t="s">
        <v>2323</v>
      </c>
      <c r="C269" t="s">
        <v>1496</v>
      </c>
      <c r="D269" t="s">
        <v>126</v>
      </c>
      <c r="E269" s="45">
        <v>-1500</v>
      </c>
      <c r="F269" t="s">
        <v>36</v>
      </c>
      <c r="G269" t="s">
        <v>580</v>
      </c>
      <c r="H269" t="s">
        <v>593</v>
      </c>
      <c r="I269" s="152"/>
    </row>
    <row r="270" spans="1:9" customFormat="1" ht="14.4" x14ac:dyDescent="0.3">
      <c r="A270" t="s">
        <v>2269</v>
      </c>
      <c r="B270" t="s">
        <v>2323</v>
      </c>
      <c r="C270" t="s">
        <v>513</v>
      </c>
      <c r="D270" t="s">
        <v>101</v>
      </c>
      <c r="E270" s="45">
        <v>-490</v>
      </c>
      <c r="F270" t="s">
        <v>46</v>
      </c>
      <c r="G270" t="s">
        <v>586</v>
      </c>
      <c r="H270" t="s">
        <v>586</v>
      </c>
      <c r="I270" s="152"/>
    </row>
    <row r="271" spans="1:9" customFormat="1" ht="14.4" x14ac:dyDescent="0.3">
      <c r="A271" t="s">
        <v>2269</v>
      </c>
      <c r="B271" t="s">
        <v>2323</v>
      </c>
      <c r="C271" t="s">
        <v>951</v>
      </c>
      <c r="D271" t="s">
        <v>101</v>
      </c>
      <c r="E271" s="45">
        <v>-958</v>
      </c>
      <c r="F271" t="s">
        <v>46</v>
      </c>
      <c r="G271" t="s">
        <v>580</v>
      </c>
      <c r="H271" t="s">
        <v>592</v>
      </c>
      <c r="I271" s="152"/>
    </row>
    <row r="272" spans="1:9" customFormat="1" ht="14.4" x14ac:dyDescent="0.3">
      <c r="A272" t="s">
        <v>2269</v>
      </c>
      <c r="B272" t="s">
        <v>2324</v>
      </c>
      <c r="C272" t="s">
        <v>984</v>
      </c>
      <c r="D272" t="s">
        <v>126</v>
      </c>
      <c r="E272" s="45">
        <v>-600</v>
      </c>
      <c r="F272" t="s">
        <v>39</v>
      </c>
      <c r="G272" t="s">
        <v>1002</v>
      </c>
      <c r="H272" t="s">
        <v>1002</v>
      </c>
      <c r="I272" s="152"/>
    </row>
    <row r="273" spans="1:9" customFormat="1" ht="14.4" x14ac:dyDescent="0.3">
      <c r="A273" t="s">
        <v>2269</v>
      </c>
      <c r="B273" t="s">
        <v>2324</v>
      </c>
      <c r="C273" t="s">
        <v>1615</v>
      </c>
      <c r="D273" t="s">
        <v>1824</v>
      </c>
      <c r="E273" s="45">
        <v>50</v>
      </c>
      <c r="F273" t="s">
        <v>1441</v>
      </c>
      <c r="I273" s="152"/>
    </row>
    <row r="274" spans="1:9" customFormat="1" ht="14.4" x14ac:dyDescent="0.3">
      <c r="A274" t="s">
        <v>2269</v>
      </c>
      <c r="B274" t="s">
        <v>2324</v>
      </c>
      <c r="C274" t="s">
        <v>1615</v>
      </c>
      <c r="D274" t="s">
        <v>2100</v>
      </c>
      <c r="E274" s="45">
        <v>10</v>
      </c>
      <c r="F274" t="s">
        <v>1441</v>
      </c>
      <c r="I274" s="152"/>
    </row>
    <row r="275" spans="1:9" customFormat="1" ht="14.4" x14ac:dyDescent="0.3">
      <c r="A275" t="s">
        <v>2269</v>
      </c>
      <c r="B275" t="s">
        <v>2324</v>
      </c>
      <c r="C275" t="s">
        <v>1615</v>
      </c>
      <c r="D275" t="s">
        <v>2000</v>
      </c>
      <c r="E275" s="45">
        <v>30</v>
      </c>
      <c r="F275" t="s">
        <v>1441</v>
      </c>
      <c r="I275" s="152"/>
    </row>
    <row r="276" spans="1:9" customFormat="1" ht="14.4" x14ac:dyDescent="0.3">
      <c r="A276" t="s">
        <v>2269</v>
      </c>
      <c r="B276" t="s">
        <v>2324</v>
      </c>
      <c r="C276" t="s">
        <v>2249</v>
      </c>
      <c r="D276" t="s">
        <v>1188</v>
      </c>
      <c r="E276" s="45">
        <v>1463</v>
      </c>
      <c r="F276" t="s">
        <v>2143</v>
      </c>
      <c r="I276" s="152"/>
    </row>
    <row r="277" spans="1:9" customFormat="1" ht="14.4" x14ac:dyDescent="0.3">
      <c r="A277" t="s">
        <v>2269</v>
      </c>
      <c r="B277" t="s">
        <v>2324</v>
      </c>
      <c r="C277" t="s">
        <v>2249</v>
      </c>
      <c r="D277" t="s">
        <v>1185</v>
      </c>
      <c r="E277" s="45">
        <v>840</v>
      </c>
      <c r="F277" t="s">
        <v>2143</v>
      </c>
      <c r="I277" s="152"/>
    </row>
    <row r="278" spans="1:9" customFormat="1" ht="14.4" x14ac:dyDescent="0.3">
      <c r="A278" t="s">
        <v>2269</v>
      </c>
      <c r="B278" t="s">
        <v>2324</v>
      </c>
      <c r="C278" t="s">
        <v>2249</v>
      </c>
      <c r="D278" t="s">
        <v>1185</v>
      </c>
      <c r="E278" s="45">
        <v>7640</v>
      </c>
      <c r="F278" t="s">
        <v>2143</v>
      </c>
      <c r="I278" s="152"/>
    </row>
    <row r="279" spans="1:9" customFormat="1" ht="14.4" x14ac:dyDescent="0.3">
      <c r="A279" t="s">
        <v>2269</v>
      </c>
      <c r="B279" t="s">
        <v>2325</v>
      </c>
      <c r="C279" t="s">
        <v>995</v>
      </c>
      <c r="D279" t="s">
        <v>126</v>
      </c>
      <c r="E279" s="45">
        <v>-808</v>
      </c>
      <c r="F279" t="s">
        <v>39</v>
      </c>
      <c r="G279" t="s">
        <v>586</v>
      </c>
      <c r="H279" t="s">
        <v>586</v>
      </c>
      <c r="I279" s="152"/>
    </row>
    <row r="280" spans="1:9" customFormat="1" ht="14.4" x14ac:dyDescent="0.3">
      <c r="A280" t="s">
        <v>2269</v>
      </c>
      <c r="B280" t="s">
        <v>2325</v>
      </c>
      <c r="C280" t="s">
        <v>996</v>
      </c>
      <c r="D280" t="s">
        <v>126</v>
      </c>
      <c r="E280" s="45">
        <v>-395</v>
      </c>
      <c r="F280" t="s">
        <v>39</v>
      </c>
      <c r="G280" t="s">
        <v>580</v>
      </c>
      <c r="H280" t="s">
        <v>582</v>
      </c>
      <c r="I280" s="152"/>
    </row>
    <row r="281" spans="1:9" customFormat="1" ht="14.4" x14ac:dyDescent="0.3">
      <c r="A281" t="s">
        <v>2269</v>
      </c>
      <c r="B281" t="s">
        <v>2325</v>
      </c>
      <c r="C281" t="s">
        <v>1615</v>
      </c>
      <c r="D281" t="s">
        <v>2326</v>
      </c>
      <c r="E281" s="45">
        <v>20</v>
      </c>
      <c r="F281" t="s">
        <v>1441</v>
      </c>
      <c r="I281" s="152"/>
    </row>
    <row r="282" spans="1:9" customFormat="1" ht="14.4" x14ac:dyDescent="0.3">
      <c r="A282" t="s">
        <v>2269</v>
      </c>
      <c r="B282" t="s">
        <v>2325</v>
      </c>
      <c r="C282" t="s">
        <v>1615</v>
      </c>
      <c r="D282" t="s">
        <v>2327</v>
      </c>
      <c r="E282" s="45">
        <v>15</v>
      </c>
      <c r="F282" t="s">
        <v>1441</v>
      </c>
      <c r="I282" s="152"/>
    </row>
    <row r="283" spans="1:9" customFormat="1" ht="14.4" x14ac:dyDescent="0.3">
      <c r="A283" t="s">
        <v>2269</v>
      </c>
      <c r="B283" t="s">
        <v>2325</v>
      </c>
      <c r="C283" t="s">
        <v>1615</v>
      </c>
      <c r="D283" t="s">
        <v>2328</v>
      </c>
      <c r="E283" s="45">
        <v>30</v>
      </c>
      <c r="F283" t="s">
        <v>1441</v>
      </c>
      <c r="I283" s="152"/>
    </row>
    <row r="284" spans="1:9" customFormat="1" ht="14.4" x14ac:dyDescent="0.3">
      <c r="A284" t="s">
        <v>2269</v>
      </c>
      <c r="B284" t="s">
        <v>2325</v>
      </c>
      <c r="C284" t="s">
        <v>1615</v>
      </c>
      <c r="D284" t="s">
        <v>1817</v>
      </c>
      <c r="E284" s="45">
        <v>10</v>
      </c>
      <c r="F284" t="s">
        <v>1441</v>
      </c>
      <c r="I284" s="152"/>
    </row>
    <row r="285" spans="1:9" customFormat="1" ht="14.4" x14ac:dyDescent="0.3">
      <c r="A285" t="s">
        <v>2269</v>
      </c>
      <c r="B285" t="s">
        <v>2325</v>
      </c>
      <c r="C285" t="s">
        <v>1615</v>
      </c>
      <c r="D285" t="s">
        <v>1669</v>
      </c>
      <c r="E285" s="45">
        <v>25</v>
      </c>
      <c r="F285" t="s">
        <v>1441</v>
      </c>
      <c r="I285" s="152"/>
    </row>
    <row r="286" spans="1:9" customFormat="1" ht="14.4" x14ac:dyDescent="0.3">
      <c r="A286" t="s">
        <v>2269</v>
      </c>
      <c r="B286" t="s">
        <v>2325</v>
      </c>
      <c r="C286" t="s">
        <v>1615</v>
      </c>
      <c r="D286" t="s">
        <v>1726</v>
      </c>
      <c r="E286" s="45">
        <v>74</v>
      </c>
      <c r="F286" t="s">
        <v>1441</v>
      </c>
      <c r="I286" s="152"/>
    </row>
    <row r="287" spans="1:9" customFormat="1" ht="14.4" x14ac:dyDescent="0.3">
      <c r="A287" t="s">
        <v>2269</v>
      </c>
      <c r="B287" t="s">
        <v>2325</v>
      </c>
      <c r="C287" t="s">
        <v>1615</v>
      </c>
      <c r="D287" t="s">
        <v>2329</v>
      </c>
      <c r="E287" s="45">
        <v>10</v>
      </c>
      <c r="F287" t="s">
        <v>1441</v>
      </c>
      <c r="I287" s="152"/>
    </row>
    <row r="288" spans="1:9" customFormat="1" ht="14.4" x14ac:dyDescent="0.3">
      <c r="A288" t="s">
        <v>2269</v>
      </c>
      <c r="B288" t="s">
        <v>2325</v>
      </c>
      <c r="C288" t="s">
        <v>1615</v>
      </c>
      <c r="D288" t="s">
        <v>2330</v>
      </c>
      <c r="E288" s="45">
        <v>40</v>
      </c>
      <c r="F288" t="s">
        <v>1441</v>
      </c>
      <c r="I288" s="152"/>
    </row>
    <row r="289" spans="1:9" customFormat="1" ht="14.4" x14ac:dyDescent="0.3">
      <c r="A289" t="s">
        <v>2269</v>
      </c>
      <c r="B289" t="s">
        <v>2325</v>
      </c>
      <c r="C289" t="s">
        <v>1615</v>
      </c>
      <c r="D289" t="s">
        <v>2331</v>
      </c>
      <c r="E289" s="45">
        <v>10</v>
      </c>
      <c r="F289" t="s">
        <v>1441</v>
      </c>
      <c r="I289" s="152"/>
    </row>
    <row r="290" spans="1:9" customFormat="1" ht="14.4" x14ac:dyDescent="0.3">
      <c r="A290" t="s">
        <v>2269</v>
      </c>
      <c r="B290" t="s">
        <v>2325</v>
      </c>
      <c r="C290" t="s">
        <v>1615</v>
      </c>
      <c r="D290" t="s">
        <v>2332</v>
      </c>
      <c r="E290" s="45">
        <v>30</v>
      </c>
      <c r="F290" t="s">
        <v>1441</v>
      </c>
      <c r="I290" s="152"/>
    </row>
    <row r="291" spans="1:9" customFormat="1" ht="14.4" x14ac:dyDescent="0.3">
      <c r="A291" t="s">
        <v>2269</v>
      </c>
      <c r="B291" t="s">
        <v>2325</v>
      </c>
      <c r="C291" t="s">
        <v>1615</v>
      </c>
      <c r="D291" t="s">
        <v>2333</v>
      </c>
      <c r="E291" s="45">
        <v>30</v>
      </c>
      <c r="F291" t="s">
        <v>1441</v>
      </c>
      <c r="I291" s="152"/>
    </row>
    <row r="292" spans="1:9" customFormat="1" ht="14.4" x14ac:dyDescent="0.3">
      <c r="A292" t="s">
        <v>2269</v>
      </c>
      <c r="B292" t="s">
        <v>2325</v>
      </c>
      <c r="C292" t="s">
        <v>1615</v>
      </c>
      <c r="D292" t="s">
        <v>2334</v>
      </c>
      <c r="E292" s="45">
        <v>70</v>
      </c>
      <c r="F292" t="s">
        <v>1441</v>
      </c>
      <c r="I292" s="152"/>
    </row>
    <row r="293" spans="1:9" customFormat="1" ht="14.4" x14ac:dyDescent="0.3">
      <c r="A293" t="s">
        <v>2269</v>
      </c>
      <c r="B293" t="s">
        <v>2325</v>
      </c>
      <c r="C293" t="s">
        <v>1615</v>
      </c>
      <c r="D293" t="s">
        <v>2257</v>
      </c>
      <c r="E293" s="45">
        <v>30</v>
      </c>
      <c r="F293" t="s">
        <v>1441</v>
      </c>
      <c r="I293" s="152"/>
    </row>
    <row r="294" spans="1:9" customFormat="1" ht="14.4" x14ac:dyDescent="0.3">
      <c r="A294" t="s">
        <v>2269</v>
      </c>
      <c r="B294" t="s">
        <v>2325</v>
      </c>
      <c r="C294" t="s">
        <v>1615</v>
      </c>
      <c r="D294" t="s">
        <v>2335</v>
      </c>
      <c r="E294" s="45">
        <v>20</v>
      </c>
      <c r="F294" t="s">
        <v>1441</v>
      </c>
      <c r="I294" s="152"/>
    </row>
    <row r="295" spans="1:9" customFormat="1" ht="14.4" x14ac:dyDescent="0.3">
      <c r="A295" t="s">
        <v>2269</v>
      </c>
      <c r="B295" t="s">
        <v>2325</v>
      </c>
      <c r="C295" t="s">
        <v>1615</v>
      </c>
      <c r="D295" t="s">
        <v>2332</v>
      </c>
      <c r="E295" s="45">
        <v>15</v>
      </c>
      <c r="F295" t="s">
        <v>1441</v>
      </c>
      <c r="I295" s="152"/>
    </row>
    <row r="296" spans="1:9" customFormat="1" ht="14.4" x14ac:dyDescent="0.3">
      <c r="A296" t="s">
        <v>2269</v>
      </c>
      <c r="B296" t="s">
        <v>2325</v>
      </c>
      <c r="C296" t="s">
        <v>1615</v>
      </c>
      <c r="D296" t="s">
        <v>2336</v>
      </c>
      <c r="E296" s="45">
        <v>40</v>
      </c>
      <c r="F296" t="s">
        <v>1441</v>
      </c>
      <c r="I296" s="152"/>
    </row>
    <row r="297" spans="1:9" customFormat="1" ht="14.4" x14ac:dyDescent="0.3">
      <c r="A297" t="s">
        <v>2269</v>
      </c>
      <c r="B297" t="s">
        <v>2325</v>
      </c>
      <c r="C297" t="s">
        <v>1615</v>
      </c>
      <c r="D297" t="s">
        <v>1707</v>
      </c>
      <c r="E297" s="45">
        <v>30</v>
      </c>
      <c r="F297" t="s">
        <v>1441</v>
      </c>
      <c r="I297" s="152"/>
    </row>
    <row r="298" spans="1:9" customFormat="1" ht="14.4" x14ac:dyDescent="0.3">
      <c r="A298" t="s">
        <v>2269</v>
      </c>
      <c r="B298" t="s">
        <v>2325</v>
      </c>
      <c r="C298" t="s">
        <v>1615</v>
      </c>
      <c r="D298" t="s">
        <v>2015</v>
      </c>
      <c r="E298" s="45">
        <v>10</v>
      </c>
      <c r="F298" t="s">
        <v>1441</v>
      </c>
      <c r="I298" s="152"/>
    </row>
    <row r="299" spans="1:9" customFormat="1" ht="14.4" x14ac:dyDescent="0.3">
      <c r="A299" t="s">
        <v>2269</v>
      </c>
      <c r="B299" t="s">
        <v>2325</v>
      </c>
      <c r="C299" t="s">
        <v>1615</v>
      </c>
      <c r="D299" t="s">
        <v>1713</v>
      </c>
      <c r="E299" s="45">
        <v>60</v>
      </c>
      <c r="F299" t="s">
        <v>1441</v>
      </c>
      <c r="I299" s="152"/>
    </row>
    <row r="300" spans="1:9" customFormat="1" ht="14.4" x14ac:dyDescent="0.3">
      <c r="A300" t="s">
        <v>2269</v>
      </c>
      <c r="B300" t="s">
        <v>2325</v>
      </c>
      <c r="C300" t="s">
        <v>1615</v>
      </c>
      <c r="D300" t="s">
        <v>2337</v>
      </c>
      <c r="E300" s="45">
        <v>30</v>
      </c>
      <c r="F300" t="s">
        <v>1441</v>
      </c>
      <c r="I300" s="152"/>
    </row>
    <row r="301" spans="1:9" customFormat="1" ht="14.4" x14ac:dyDescent="0.3">
      <c r="A301" t="s">
        <v>2269</v>
      </c>
      <c r="B301" t="s">
        <v>2325</v>
      </c>
      <c r="C301" t="s">
        <v>1615</v>
      </c>
      <c r="D301" t="s">
        <v>2337</v>
      </c>
      <c r="E301" s="45">
        <v>50</v>
      </c>
      <c r="F301" t="s">
        <v>1441</v>
      </c>
      <c r="I301" s="152"/>
    </row>
    <row r="302" spans="1:9" customFormat="1" ht="14.4" x14ac:dyDescent="0.3">
      <c r="A302" t="s">
        <v>2269</v>
      </c>
      <c r="B302" t="s">
        <v>2325</v>
      </c>
      <c r="C302" t="s">
        <v>1615</v>
      </c>
      <c r="D302" t="s">
        <v>2338</v>
      </c>
      <c r="E302" s="45">
        <v>25</v>
      </c>
      <c r="F302" t="s">
        <v>1441</v>
      </c>
      <c r="I302" s="152"/>
    </row>
    <row r="303" spans="1:9" customFormat="1" ht="14.4" x14ac:dyDescent="0.3">
      <c r="A303" t="s">
        <v>2269</v>
      </c>
      <c r="B303" t="s">
        <v>2325</v>
      </c>
      <c r="C303" t="s">
        <v>1615</v>
      </c>
      <c r="D303" t="s">
        <v>1737</v>
      </c>
      <c r="E303" s="45">
        <v>30</v>
      </c>
      <c r="F303" t="s">
        <v>1441</v>
      </c>
      <c r="I303" s="152"/>
    </row>
    <row r="304" spans="1:9" customFormat="1" ht="14.4" x14ac:dyDescent="0.3">
      <c r="A304" t="s">
        <v>2269</v>
      </c>
      <c r="B304" t="s">
        <v>2325</v>
      </c>
      <c r="C304" t="s">
        <v>1615</v>
      </c>
      <c r="D304" t="s">
        <v>2339</v>
      </c>
      <c r="E304" s="45">
        <v>15</v>
      </c>
      <c r="F304" t="s">
        <v>1441</v>
      </c>
      <c r="I304" s="152"/>
    </row>
    <row r="305" spans="1:9" customFormat="1" ht="14.4" x14ac:dyDescent="0.3">
      <c r="A305" t="s">
        <v>2269</v>
      </c>
      <c r="B305" t="s">
        <v>2325</v>
      </c>
      <c r="C305" t="s">
        <v>1615</v>
      </c>
      <c r="D305" t="s">
        <v>2242</v>
      </c>
      <c r="E305" s="45">
        <v>45</v>
      </c>
      <c r="F305" t="s">
        <v>1441</v>
      </c>
      <c r="I305" s="152"/>
    </row>
    <row r="306" spans="1:9" customFormat="1" ht="14.4" x14ac:dyDescent="0.3">
      <c r="A306" t="s">
        <v>2269</v>
      </c>
      <c r="B306" t="s">
        <v>2325</v>
      </c>
      <c r="C306" t="s">
        <v>1615</v>
      </c>
      <c r="D306" t="s">
        <v>2340</v>
      </c>
      <c r="E306" s="45">
        <v>65</v>
      </c>
      <c r="F306" t="s">
        <v>1441</v>
      </c>
      <c r="I306" s="152"/>
    </row>
    <row r="307" spans="1:9" customFormat="1" ht="14.4" x14ac:dyDescent="0.3">
      <c r="A307" t="s">
        <v>2269</v>
      </c>
      <c r="B307" t="s">
        <v>2325</v>
      </c>
      <c r="C307" t="s">
        <v>1615</v>
      </c>
      <c r="D307" t="s">
        <v>2292</v>
      </c>
      <c r="E307" s="45">
        <v>35</v>
      </c>
      <c r="F307" t="s">
        <v>1441</v>
      </c>
      <c r="I307" s="152"/>
    </row>
    <row r="308" spans="1:9" customFormat="1" ht="14.4" x14ac:dyDescent="0.3">
      <c r="A308" t="s">
        <v>2269</v>
      </c>
      <c r="B308" t="s">
        <v>2325</v>
      </c>
      <c r="C308" t="s">
        <v>1615</v>
      </c>
      <c r="D308" t="s">
        <v>2341</v>
      </c>
      <c r="E308" s="45">
        <v>25</v>
      </c>
      <c r="F308" t="s">
        <v>1441</v>
      </c>
      <c r="I308" s="152"/>
    </row>
    <row r="309" spans="1:9" customFormat="1" ht="14.4" x14ac:dyDescent="0.3">
      <c r="A309" t="s">
        <v>2269</v>
      </c>
      <c r="B309" t="s">
        <v>2325</v>
      </c>
      <c r="C309" t="s">
        <v>1615</v>
      </c>
      <c r="D309" t="s">
        <v>1709</v>
      </c>
      <c r="E309" s="45">
        <v>25</v>
      </c>
      <c r="F309" t="s">
        <v>1441</v>
      </c>
      <c r="I309" s="152"/>
    </row>
    <row r="310" spans="1:9" customFormat="1" ht="14.4" x14ac:dyDescent="0.3">
      <c r="A310" t="s">
        <v>2269</v>
      </c>
      <c r="B310" t="s">
        <v>2325</v>
      </c>
      <c r="C310" t="s">
        <v>1615</v>
      </c>
      <c r="D310" t="s">
        <v>2342</v>
      </c>
      <c r="E310" s="45">
        <v>20</v>
      </c>
      <c r="F310" t="s">
        <v>1441</v>
      </c>
      <c r="I310" s="152"/>
    </row>
    <row r="311" spans="1:9" customFormat="1" ht="14.4" x14ac:dyDescent="0.3">
      <c r="A311" t="s">
        <v>2269</v>
      </c>
      <c r="B311" t="s">
        <v>2325</v>
      </c>
      <c r="C311" t="s">
        <v>1615</v>
      </c>
      <c r="D311" t="s">
        <v>1749</v>
      </c>
      <c r="E311" s="45">
        <v>20</v>
      </c>
      <c r="F311" t="s">
        <v>1441</v>
      </c>
      <c r="I311" s="152"/>
    </row>
    <row r="312" spans="1:9" customFormat="1" ht="14.4" x14ac:dyDescent="0.3">
      <c r="A312" t="s">
        <v>2269</v>
      </c>
      <c r="B312" t="s">
        <v>2325</v>
      </c>
      <c r="C312" t="s">
        <v>1615</v>
      </c>
      <c r="D312" t="s">
        <v>2342</v>
      </c>
      <c r="E312" s="45">
        <v>20</v>
      </c>
      <c r="F312" t="s">
        <v>1441</v>
      </c>
      <c r="I312" s="152"/>
    </row>
    <row r="313" spans="1:9" customFormat="1" ht="14.4" x14ac:dyDescent="0.3">
      <c r="A313" t="s">
        <v>2269</v>
      </c>
      <c r="B313" t="s">
        <v>2325</v>
      </c>
      <c r="C313" t="s">
        <v>1615</v>
      </c>
      <c r="D313" t="s">
        <v>2343</v>
      </c>
      <c r="E313" s="45">
        <v>10</v>
      </c>
      <c r="F313" t="s">
        <v>1441</v>
      </c>
      <c r="I313" s="152"/>
    </row>
    <row r="314" spans="1:9" customFormat="1" ht="14.4" x14ac:dyDescent="0.3">
      <c r="A314" t="s">
        <v>2269</v>
      </c>
      <c r="B314" t="s">
        <v>2325</v>
      </c>
      <c r="C314" t="s">
        <v>1615</v>
      </c>
      <c r="D314" t="s">
        <v>2257</v>
      </c>
      <c r="E314" s="45">
        <v>50</v>
      </c>
      <c r="F314" t="s">
        <v>1441</v>
      </c>
      <c r="I314" s="152"/>
    </row>
    <row r="315" spans="1:9" customFormat="1" ht="15" thickBot="1" x14ac:dyDescent="0.35">
      <c r="A315" s="54" t="s">
        <v>2269</v>
      </c>
      <c r="B315" s="54" t="s">
        <v>2325</v>
      </c>
      <c r="C315" s="54" t="s">
        <v>1615</v>
      </c>
      <c r="D315" s="54" t="s">
        <v>2344</v>
      </c>
      <c r="E315" s="153">
        <v>25</v>
      </c>
      <c r="F315" s="54" t="s">
        <v>1441</v>
      </c>
      <c r="G315" s="54"/>
      <c r="H315" s="54"/>
      <c r="I315" s="170"/>
    </row>
    <row r="316" spans="1:9" customFormat="1" ht="14.4" x14ac:dyDescent="0.3">
      <c r="A316" s="166"/>
      <c r="B316" s="166" t="s">
        <v>2173</v>
      </c>
      <c r="C316" s="166" t="s">
        <v>1144</v>
      </c>
      <c r="D316" s="166" t="s">
        <v>126</v>
      </c>
      <c r="E316" s="167">
        <v>-600</v>
      </c>
      <c r="F316" s="166"/>
      <c r="G316" s="166"/>
      <c r="H316" s="166"/>
      <c r="I316" s="152"/>
    </row>
    <row r="317" spans="1:9" customFormat="1" ht="14.4" x14ac:dyDescent="0.3">
      <c r="B317" t="s">
        <v>2173</v>
      </c>
      <c r="C317" t="s">
        <v>838</v>
      </c>
      <c r="D317" t="s">
        <v>101</v>
      </c>
      <c r="E317" s="45">
        <v>-499</v>
      </c>
      <c r="F317" t="s">
        <v>46</v>
      </c>
      <c r="G317" t="s">
        <v>586</v>
      </c>
      <c r="H317" t="s">
        <v>586</v>
      </c>
      <c r="I317" s="152"/>
    </row>
    <row r="318" spans="1:9" customFormat="1" ht="14.4" x14ac:dyDescent="0.3">
      <c r="B318" t="s">
        <v>2174</v>
      </c>
      <c r="C318" t="s">
        <v>508</v>
      </c>
      <c r="D318" t="s">
        <v>101</v>
      </c>
      <c r="E318" s="45">
        <v>-368</v>
      </c>
      <c r="F318" t="s">
        <v>508</v>
      </c>
      <c r="I318" s="152"/>
    </row>
    <row r="319" spans="1:9" customFormat="1" ht="14.4" x14ac:dyDescent="0.3">
      <c r="B319" t="s">
        <v>2174</v>
      </c>
      <c r="C319" t="s">
        <v>38</v>
      </c>
      <c r="D319" t="s">
        <v>101</v>
      </c>
      <c r="E319" s="45">
        <v>-15500</v>
      </c>
      <c r="F319" t="s">
        <v>1633</v>
      </c>
      <c r="G319" t="s">
        <v>580</v>
      </c>
      <c r="I319" s="152"/>
    </row>
    <row r="320" spans="1:9" customFormat="1" ht="14.4" x14ac:dyDescent="0.3">
      <c r="B320" t="s">
        <v>2174</v>
      </c>
      <c r="C320" t="s">
        <v>154</v>
      </c>
      <c r="D320" t="s">
        <v>122</v>
      </c>
      <c r="E320" s="45">
        <v>-1200</v>
      </c>
      <c r="F320" t="s">
        <v>154</v>
      </c>
      <c r="G320" t="s">
        <v>580</v>
      </c>
      <c r="H320" t="s">
        <v>858</v>
      </c>
      <c r="I320" s="152" t="s">
        <v>2264</v>
      </c>
    </row>
    <row r="321" spans="1:9" customFormat="1" ht="14.4" x14ac:dyDescent="0.3">
      <c r="A321" s="166"/>
      <c r="B321" s="166" t="s">
        <v>2175</v>
      </c>
      <c r="C321" s="166" t="s">
        <v>144</v>
      </c>
      <c r="D321" s="166" t="s">
        <v>145</v>
      </c>
      <c r="E321" s="167">
        <v>600</v>
      </c>
      <c r="F321" s="166"/>
      <c r="G321" s="166"/>
      <c r="H321" s="166"/>
      <c r="I321" s="152"/>
    </row>
    <row r="322" spans="1:9" customFormat="1" ht="14.4" x14ac:dyDescent="0.3">
      <c r="B322" t="s">
        <v>2175</v>
      </c>
      <c r="C322" t="s">
        <v>1558</v>
      </c>
      <c r="D322" t="s">
        <v>101</v>
      </c>
      <c r="E322" s="45">
        <v>-800</v>
      </c>
      <c r="F322" t="s">
        <v>46</v>
      </c>
      <c r="G322" t="s">
        <v>580</v>
      </c>
      <c r="H322" t="s">
        <v>1562</v>
      </c>
      <c r="I322" s="152"/>
    </row>
    <row r="323" spans="1:9" customFormat="1" ht="14.4" x14ac:dyDescent="0.3">
      <c r="B323" t="s">
        <v>2176</v>
      </c>
      <c r="C323" t="s">
        <v>144</v>
      </c>
      <c r="D323" t="s">
        <v>145</v>
      </c>
      <c r="E323" s="45">
        <v>3000</v>
      </c>
      <c r="F323" t="s">
        <v>24</v>
      </c>
      <c r="I323" s="152" t="s">
        <v>2263</v>
      </c>
    </row>
    <row r="324" spans="1:9" customFormat="1" ht="14.4" x14ac:dyDescent="0.3">
      <c r="B324" t="s">
        <v>2176</v>
      </c>
      <c r="C324" t="s">
        <v>942</v>
      </c>
      <c r="D324" t="s">
        <v>126</v>
      </c>
      <c r="E324" s="45">
        <v>-395</v>
      </c>
      <c r="F324" t="s">
        <v>39</v>
      </c>
      <c r="G324" t="s">
        <v>580</v>
      </c>
      <c r="H324" t="s">
        <v>592</v>
      </c>
      <c r="I324" s="152"/>
    </row>
    <row r="325" spans="1:9" customFormat="1" ht="14.4" x14ac:dyDescent="0.3">
      <c r="B325" t="s">
        <v>2176</v>
      </c>
      <c r="C325" t="s">
        <v>996</v>
      </c>
      <c r="D325" t="s">
        <v>126</v>
      </c>
      <c r="E325" s="45">
        <v>-345</v>
      </c>
      <c r="F325" t="s">
        <v>39</v>
      </c>
      <c r="G325" t="s">
        <v>580</v>
      </c>
      <c r="H325" t="s">
        <v>582</v>
      </c>
      <c r="I325" s="152"/>
    </row>
    <row r="326" spans="1:9" customFormat="1" ht="14.4" x14ac:dyDescent="0.3">
      <c r="B326" t="s">
        <v>2176</v>
      </c>
      <c r="C326" t="s">
        <v>928</v>
      </c>
      <c r="D326" t="s">
        <v>126</v>
      </c>
      <c r="E326" s="45">
        <v>-245</v>
      </c>
      <c r="F326" t="s">
        <v>39</v>
      </c>
      <c r="G326" t="s">
        <v>580</v>
      </c>
      <c r="H326" t="s">
        <v>594</v>
      </c>
      <c r="I326" s="152"/>
    </row>
    <row r="327" spans="1:9" customFormat="1" ht="14.4" x14ac:dyDescent="0.3">
      <c r="A327" s="166"/>
      <c r="B327" s="166" t="s">
        <v>2176</v>
      </c>
      <c r="C327" s="166" t="s">
        <v>1144</v>
      </c>
      <c r="D327" s="166" t="s">
        <v>126</v>
      </c>
      <c r="E327" s="167">
        <v>-1000</v>
      </c>
      <c r="F327" s="166"/>
      <c r="G327" s="166"/>
      <c r="H327" s="166"/>
      <c r="I327" s="152"/>
    </row>
    <row r="328" spans="1:9" customFormat="1" ht="14.4" x14ac:dyDescent="0.3">
      <c r="B328" t="s">
        <v>2176</v>
      </c>
      <c r="C328" t="s">
        <v>998</v>
      </c>
      <c r="D328" t="s">
        <v>126</v>
      </c>
      <c r="E328" s="45">
        <v>-425</v>
      </c>
      <c r="F328" t="s">
        <v>39</v>
      </c>
      <c r="G328" t="s">
        <v>580</v>
      </c>
      <c r="H328" t="s">
        <v>438</v>
      </c>
      <c r="I328" s="152"/>
    </row>
    <row r="329" spans="1:9" customFormat="1" ht="14.4" x14ac:dyDescent="0.3">
      <c r="B329" t="s">
        <v>2176</v>
      </c>
      <c r="C329" t="s">
        <v>1615</v>
      </c>
      <c r="D329" t="s">
        <v>1665</v>
      </c>
      <c r="E329" s="45">
        <v>15</v>
      </c>
      <c r="F329" t="s">
        <v>1441</v>
      </c>
      <c r="I329" s="152"/>
    </row>
    <row r="330" spans="1:9" customFormat="1" ht="14.4" x14ac:dyDescent="0.3">
      <c r="B330" t="s">
        <v>2176</v>
      </c>
      <c r="C330" t="s">
        <v>1615</v>
      </c>
      <c r="D330" t="s">
        <v>1816</v>
      </c>
      <c r="E330" s="45">
        <v>15</v>
      </c>
      <c r="F330" t="s">
        <v>1441</v>
      </c>
      <c r="I330" s="152"/>
    </row>
    <row r="331" spans="1:9" customFormat="1" ht="14.4" x14ac:dyDescent="0.3">
      <c r="B331" t="s">
        <v>2176</v>
      </c>
      <c r="C331" t="s">
        <v>1615</v>
      </c>
      <c r="D331" t="s">
        <v>2177</v>
      </c>
      <c r="E331" s="45">
        <v>40</v>
      </c>
      <c r="F331" t="s">
        <v>1441</v>
      </c>
      <c r="I331" s="152"/>
    </row>
    <row r="332" spans="1:9" customFormat="1" ht="14.4" x14ac:dyDescent="0.3">
      <c r="B332" t="s">
        <v>2176</v>
      </c>
      <c r="C332" t="s">
        <v>1615</v>
      </c>
      <c r="D332" t="s">
        <v>1682</v>
      </c>
      <c r="E332" s="45">
        <v>65</v>
      </c>
      <c r="F332" t="s">
        <v>1441</v>
      </c>
      <c r="I332" s="152"/>
    </row>
    <row r="333" spans="1:9" customFormat="1" ht="14.4" x14ac:dyDescent="0.3">
      <c r="B333" t="s">
        <v>2176</v>
      </c>
      <c r="C333" t="s">
        <v>1615</v>
      </c>
      <c r="D333" t="s">
        <v>1682</v>
      </c>
      <c r="E333" s="45">
        <v>10</v>
      </c>
      <c r="F333" t="s">
        <v>1441</v>
      </c>
      <c r="I333" s="152"/>
    </row>
    <row r="334" spans="1:9" customFormat="1" ht="14.4" x14ac:dyDescent="0.3">
      <c r="B334" t="s">
        <v>2176</v>
      </c>
      <c r="C334" t="s">
        <v>1615</v>
      </c>
      <c r="D334" t="s">
        <v>1845</v>
      </c>
      <c r="E334" s="45">
        <v>25</v>
      </c>
      <c r="F334" t="s">
        <v>1441</v>
      </c>
      <c r="I334" s="152"/>
    </row>
    <row r="335" spans="1:9" customFormat="1" ht="14.4" x14ac:dyDescent="0.3">
      <c r="B335" t="s">
        <v>2176</v>
      </c>
      <c r="C335" t="s">
        <v>1615</v>
      </c>
      <c r="D335" t="s">
        <v>2178</v>
      </c>
      <c r="E335" s="45">
        <v>15</v>
      </c>
      <c r="F335" t="s">
        <v>1441</v>
      </c>
      <c r="I335" s="152"/>
    </row>
    <row r="336" spans="1:9" customFormat="1" ht="14.4" x14ac:dyDescent="0.3">
      <c r="B336" t="s">
        <v>2176</v>
      </c>
      <c r="C336" t="s">
        <v>1615</v>
      </c>
      <c r="D336" t="s">
        <v>2179</v>
      </c>
      <c r="E336" s="45">
        <v>20</v>
      </c>
      <c r="F336" t="s">
        <v>1441</v>
      </c>
      <c r="I336" s="152"/>
    </row>
    <row r="337" spans="2:9" customFormat="1" ht="14.4" x14ac:dyDescent="0.3">
      <c r="B337" t="s">
        <v>2176</v>
      </c>
      <c r="C337" t="s">
        <v>1615</v>
      </c>
      <c r="D337" t="s">
        <v>1845</v>
      </c>
      <c r="E337" s="45">
        <v>70</v>
      </c>
      <c r="F337" t="s">
        <v>1441</v>
      </c>
      <c r="I337" s="152"/>
    </row>
    <row r="338" spans="2:9" customFormat="1" ht="14.4" x14ac:dyDescent="0.3">
      <c r="B338" t="s">
        <v>2176</v>
      </c>
      <c r="C338" t="s">
        <v>1615</v>
      </c>
      <c r="D338" t="s">
        <v>2180</v>
      </c>
      <c r="E338" s="45">
        <v>15</v>
      </c>
      <c r="F338" t="s">
        <v>1441</v>
      </c>
      <c r="I338" s="152"/>
    </row>
    <row r="339" spans="2:9" customFormat="1" ht="14.4" x14ac:dyDescent="0.3">
      <c r="B339" t="s">
        <v>2176</v>
      </c>
      <c r="C339" t="s">
        <v>1615</v>
      </c>
      <c r="D339" t="s">
        <v>2178</v>
      </c>
      <c r="E339" s="45">
        <v>40</v>
      </c>
      <c r="F339" t="s">
        <v>1441</v>
      </c>
      <c r="I339" s="152"/>
    </row>
    <row r="340" spans="2:9" customFormat="1" ht="14.4" x14ac:dyDescent="0.3">
      <c r="B340" t="s">
        <v>2176</v>
      </c>
      <c r="C340" t="s">
        <v>1615</v>
      </c>
      <c r="D340" t="s">
        <v>2180</v>
      </c>
      <c r="E340" s="45">
        <v>35</v>
      </c>
      <c r="F340" t="s">
        <v>1441</v>
      </c>
      <c r="I340" s="152"/>
    </row>
    <row r="341" spans="2:9" customFormat="1" ht="14.4" x14ac:dyDescent="0.3">
      <c r="B341" t="s">
        <v>2176</v>
      </c>
      <c r="C341" t="s">
        <v>1615</v>
      </c>
      <c r="D341" t="s">
        <v>2181</v>
      </c>
      <c r="E341" s="45">
        <v>45</v>
      </c>
      <c r="F341" t="s">
        <v>1441</v>
      </c>
      <c r="I341" s="152"/>
    </row>
    <row r="342" spans="2:9" customFormat="1" ht="14.4" x14ac:dyDescent="0.3">
      <c r="B342" t="s">
        <v>2176</v>
      </c>
      <c r="C342" t="s">
        <v>1615</v>
      </c>
      <c r="D342" t="s">
        <v>1688</v>
      </c>
      <c r="E342" s="45">
        <v>10</v>
      </c>
      <c r="F342" t="s">
        <v>1441</v>
      </c>
      <c r="I342" s="152"/>
    </row>
    <row r="343" spans="2:9" customFormat="1" ht="14.4" x14ac:dyDescent="0.3">
      <c r="B343" t="s">
        <v>2176</v>
      </c>
      <c r="C343" t="s">
        <v>1615</v>
      </c>
      <c r="D343" t="s">
        <v>1823</v>
      </c>
      <c r="E343" s="45">
        <v>20</v>
      </c>
      <c r="F343" t="s">
        <v>1441</v>
      </c>
      <c r="I343" s="152"/>
    </row>
    <row r="344" spans="2:9" customFormat="1" ht="14.4" x14ac:dyDescent="0.3">
      <c r="B344" t="s">
        <v>2176</v>
      </c>
      <c r="C344" t="s">
        <v>1615</v>
      </c>
      <c r="D344" t="s">
        <v>2182</v>
      </c>
      <c r="E344" s="45">
        <v>40</v>
      </c>
      <c r="F344" t="s">
        <v>1441</v>
      </c>
      <c r="I344" s="152"/>
    </row>
    <row r="345" spans="2:9" customFormat="1" ht="14.4" x14ac:dyDescent="0.3">
      <c r="B345" t="s">
        <v>2176</v>
      </c>
      <c r="C345" t="s">
        <v>1615</v>
      </c>
      <c r="D345" t="s">
        <v>2181</v>
      </c>
      <c r="E345" s="45">
        <v>45</v>
      </c>
      <c r="F345" t="s">
        <v>1441</v>
      </c>
      <c r="I345" s="152"/>
    </row>
    <row r="346" spans="2:9" customFormat="1" ht="14.4" x14ac:dyDescent="0.3">
      <c r="B346" t="s">
        <v>2176</v>
      </c>
      <c r="C346" t="s">
        <v>1615</v>
      </c>
      <c r="D346" t="s">
        <v>2183</v>
      </c>
      <c r="E346" s="45">
        <v>15</v>
      </c>
      <c r="F346" t="s">
        <v>1441</v>
      </c>
      <c r="I346" s="152"/>
    </row>
    <row r="347" spans="2:9" customFormat="1" ht="14.4" x14ac:dyDescent="0.3">
      <c r="B347" t="s">
        <v>2176</v>
      </c>
      <c r="C347" t="s">
        <v>1615</v>
      </c>
      <c r="D347" t="s">
        <v>1995</v>
      </c>
      <c r="E347" s="45">
        <v>20</v>
      </c>
      <c r="F347" t="s">
        <v>1441</v>
      </c>
      <c r="I347" s="152"/>
    </row>
    <row r="348" spans="2:9" customFormat="1" ht="14.4" x14ac:dyDescent="0.3">
      <c r="B348" t="s">
        <v>2176</v>
      </c>
      <c r="C348" t="s">
        <v>1615</v>
      </c>
      <c r="D348" t="s">
        <v>2184</v>
      </c>
      <c r="E348" s="45">
        <v>30</v>
      </c>
      <c r="F348" t="s">
        <v>1441</v>
      </c>
      <c r="I348" s="152"/>
    </row>
    <row r="349" spans="2:9" customFormat="1" ht="14.4" x14ac:dyDescent="0.3">
      <c r="B349" t="s">
        <v>2176</v>
      </c>
      <c r="C349" t="s">
        <v>1615</v>
      </c>
      <c r="D349" t="s">
        <v>2185</v>
      </c>
      <c r="E349" s="45">
        <v>11</v>
      </c>
      <c r="F349" t="s">
        <v>1441</v>
      </c>
      <c r="I349" s="152"/>
    </row>
    <row r="350" spans="2:9" customFormat="1" ht="14.4" x14ac:dyDescent="0.3">
      <c r="B350" t="s">
        <v>2176</v>
      </c>
      <c r="C350" t="s">
        <v>1615</v>
      </c>
      <c r="D350" t="s">
        <v>2186</v>
      </c>
      <c r="E350" s="45">
        <v>11</v>
      </c>
      <c r="F350" t="s">
        <v>1441</v>
      </c>
      <c r="I350" s="152"/>
    </row>
    <row r="351" spans="2:9" customFormat="1" ht="14.4" x14ac:dyDescent="0.3">
      <c r="B351" t="s">
        <v>2176</v>
      </c>
      <c r="C351" t="s">
        <v>1615</v>
      </c>
      <c r="D351" t="s">
        <v>2187</v>
      </c>
      <c r="E351" s="45">
        <v>31</v>
      </c>
      <c r="F351" t="s">
        <v>1441</v>
      </c>
      <c r="I351" s="152"/>
    </row>
    <row r="352" spans="2:9" customFormat="1" ht="14.4" x14ac:dyDescent="0.3">
      <c r="B352" t="s">
        <v>2176</v>
      </c>
      <c r="C352" t="s">
        <v>1615</v>
      </c>
      <c r="D352" t="s">
        <v>1669</v>
      </c>
      <c r="E352" s="45">
        <v>20</v>
      </c>
      <c r="F352" t="s">
        <v>1441</v>
      </c>
      <c r="I352" s="152"/>
    </row>
    <row r="353" spans="1:9" customFormat="1" ht="14.4" x14ac:dyDescent="0.3">
      <c r="B353" t="s">
        <v>2176</v>
      </c>
      <c r="C353" t="s">
        <v>1615</v>
      </c>
      <c r="D353" t="s">
        <v>1675</v>
      </c>
      <c r="E353" s="45">
        <v>42</v>
      </c>
      <c r="F353" t="s">
        <v>1441</v>
      </c>
      <c r="I353" s="152"/>
    </row>
    <row r="354" spans="1:9" customFormat="1" ht="14.4" x14ac:dyDescent="0.3">
      <c r="B354" t="s">
        <v>2176</v>
      </c>
      <c r="C354" t="s">
        <v>1615</v>
      </c>
      <c r="D354" t="s">
        <v>2186</v>
      </c>
      <c r="E354" s="45">
        <v>43</v>
      </c>
      <c r="F354" t="s">
        <v>1441</v>
      </c>
      <c r="I354" s="152"/>
    </row>
    <row r="355" spans="1:9" customFormat="1" ht="14.4" x14ac:dyDescent="0.3">
      <c r="B355" t="s">
        <v>2176</v>
      </c>
      <c r="C355" t="s">
        <v>1615</v>
      </c>
      <c r="D355" t="s">
        <v>2188</v>
      </c>
      <c r="E355" s="45">
        <v>46</v>
      </c>
      <c r="F355" t="s">
        <v>1441</v>
      </c>
      <c r="I355" s="152"/>
    </row>
    <row r="356" spans="1:9" customFormat="1" ht="14.4" x14ac:dyDescent="0.3">
      <c r="B356" t="s">
        <v>2176</v>
      </c>
      <c r="C356" t="s">
        <v>1615</v>
      </c>
      <c r="D356" t="s">
        <v>2185</v>
      </c>
      <c r="E356" s="45">
        <v>27</v>
      </c>
      <c r="F356" t="s">
        <v>1441</v>
      </c>
      <c r="I356" s="152"/>
    </row>
    <row r="357" spans="1:9" customFormat="1" ht="14.4" x14ac:dyDescent="0.3">
      <c r="B357" t="s">
        <v>2176</v>
      </c>
      <c r="C357" t="s">
        <v>1615</v>
      </c>
      <c r="D357" t="s">
        <v>2189</v>
      </c>
      <c r="E357" s="45">
        <v>10</v>
      </c>
      <c r="F357" t="s">
        <v>1441</v>
      </c>
      <c r="I357" s="152"/>
    </row>
    <row r="358" spans="1:9" customFormat="1" ht="14.4" x14ac:dyDescent="0.3">
      <c r="B358" t="s">
        <v>2176</v>
      </c>
      <c r="C358" t="s">
        <v>1615</v>
      </c>
      <c r="D358" t="s">
        <v>2100</v>
      </c>
      <c r="E358" s="45">
        <v>35</v>
      </c>
      <c r="F358" t="s">
        <v>1441</v>
      </c>
      <c r="I358" s="152"/>
    </row>
    <row r="359" spans="1:9" customFormat="1" ht="14.4" x14ac:dyDescent="0.3">
      <c r="B359" t="s">
        <v>2176</v>
      </c>
      <c r="C359" t="s">
        <v>1615</v>
      </c>
      <c r="D359" t="s">
        <v>1995</v>
      </c>
      <c r="E359" s="45">
        <v>20</v>
      </c>
      <c r="F359" t="s">
        <v>1441</v>
      </c>
      <c r="I359" s="152"/>
    </row>
    <row r="360" spans="1:9" customFormat="1" ht="14.4" x14ac:dyDescent="0.3">
      <c r="B360" t="s">
        <v>2176</v>
      </c>
      <c r="C360" t="s">
        <v>1615</v>
      </c>
      <c r="D360" t="s">
        <v>2100</v>
      </c>
      <c r="E360" s="45">
        <v>25</v>
      </c>
      <c r="F360" t="s">
        <v>1441</v>
      </c>
      <c r="I360" s="152"/>
    </row>
    <row r="361" spans="1:9" customFormat="1" ht="14.4" x14ac:dyDescent="0.3">
      <c r="B361" t="s">
        <v>2176</v>
      </c>
      <c r="C361" t="s">
        <v>1615</v>
      </c>
      <c r="D361" t="s">
        <v>1995</v>
      </c>
      <c r="E361" s="45">
        <v>15</v>
      </c>
      <c r="F361" t="s">
        <v>1441</v>
      </c>
      <c r="I361" s="152"/>
    </row>
    <row r="362" spans="1:9" customFormat="1" ht="14.4" x14ac:dyDescent="0.3">
      <c r="B362" t="s">
        <v>2190</v>
      </c>
      <c r="C362" t="s">
        <v>1615</v>
      </c>
      <c r="D362" t="s">
        <v>2120</v>
      </c>
      <c r="E362" s="45">
        <v>300</v>
      </c>
      <c r="F362" t="s">
        <v>1441</v>
      </c>
      <c r="I362" s="152"/>
    </row>
    <row r="363" spans="1:9" customFormat="1" ht="14.4" x14ac:dyDescent="0.3">
      <c r="B363" t="s">
        <v>2191</v>
      </c>
      <c r="C363" t="s">
        <v>35</v>
      </c>
      <c r="D363" t="s">
        <v>101</v>
      </c>
      <c r="E363" s="45">
        <v>-4000</v>
      </c>
      <c r="F363" t="s">
        <v>940</v>
      </c>
      <c r="G363" t="s">
        <v>580</v>
      </c>
      <c r="I363" s="152"/>
    </row>
    <row r="364" spans="1:9" customFormat="1" ht="14.4" x14ac:dyDescent="0.3">
      <c r="A364" s="166"/>
      <c r="B364" s="166" t="s">
        <v>2192</v>
      </c>
      <c r="C364" s="166" t="s">
        <v>144</v>
      </c>
      <c r="D364" s="166" t="s">
        <v>145</v>
      </c>
      <c r="E364" s="167">
        <v>1000</v>
      </c>
      <c r="F364" s="166"/>
      <c r="G364" s="166"/>
      <c r="H364" s="166"/>
      <c r="I364" s="152"/>
    </row>
    <row r="365" spans="1:9" customFormat="1" ht="14.4" x14ac:dyDescent="0.3">
      <c r="B365" t="s">
        <v>2193</v>
      </c>
      <c r="C365" t="s">
        <v>144</v>
      </c>
      <c r="D365" t="s">
        <v>145</v>
      </c>
      <c r="E365" s="45">
        <v>150</v>
      </c>
      <c r="F365" t="s">
        <v>22</v>
      </c>
      <c r="G365" t="s">
        <v>580</v>
      </c>
      <c r="H365" t="s">
        <v>1853</v>
      </c>
      <c r="I365" s="152"/>
    </row>
    <row r="366" spans="1:9" customFormat="1" ht="14.4" x14ac:dyDescent="0.3">
      <c r="B366" t="s">
        <v>2193</v>
      </c>
      <c r="C366" t="s">
        <v>995</v>
      </c>
      <c r="D366" t="s">
        <v>126</v>
      </c>
      <c r="E366" s="45">
        <v>-820</v>
      </c>
      <c r="F366" t="s">
        <v>39</v>
      </c>
      <c r="G366" t="s">
        <v>586</v>
      </c>
      <c r="H366" t="s">
        <v>586</v>
      </c>
      <c r="I366" s="152"/>
    </row>
    <row r="367" spans="1:9" customFormat="1" ht="14.4" x14ac:dyDescent="0.3">
      <c r="B367" t="s">
        <v>2193</v>
      </c>
      <c r="C367" t="s">
        <v>1477</v>
      </c>
      <c r="D367" t="s">
        <v>101</v>
      </c>
      <c r="E367" s="45">
        <v>-358</v>
      </c>
      <c r="F367" t="s">
        <v>46</v>
      </c>
      <c r="G367" t="s">
        <v>580</v>
      </c>
      <c r="H367" t="s">
        <v>1158</v>
      </c>
      <c r="I367" s="152"/>
    </row>
    <row r="368" spans="1:9" customFormat="1" ht="14.4" x14ac:dyDescent="0.3">
      <c r="B368" t="s">
        <v>2194</v>
      </c>
      <c r="C368" t="s">
        <v>1615</v>
      </c>
      <c r="D368" t="s">
        <v>2195</v>
      </c>
      <c r="E368" s="45">
        <v>10</v>
      </c>
      <c r="F368" t="s">
        <v>1441</v>
      </c>
      <c r="I368" s="152"/>
    </row>
    <row r="369" spans="2:9" customFormat="1" ht="14.4" x14ac:dyDescent="0.3">
      <c r="B369" t="s">
        <v>2194</v>
      </c>
      <c r="C369" t="s">
        <v>1615</v>
      </c>
      <c r="D369" t="s">
        <v>2196</v>
      </c>
      <c r="E369" s="45">
        <v>35</v>
      </c>
      <c r="F369" t="s">
        <v>1441</v>
      </c>
      <c r="I369" s="152"/>
    </row>
    <row r="370" spans="2:9" customFormat="1" ht="14.4" x14ac:dyDescent="0.3">
      <c r="B370" t="s">
        <v>2194</v>
      </c>
      <c r="C370" t="s">
        <v>1615</v>
      </c>
      <c r="D370" t="s">
        <v>2197</v>
      </c>
      <c r="E370" s="45">
        <v>30</v>
      </c>
      <c r="F370" t="s">
        <v>1441</v>
      </c>
      <c r="I370" s="152"/>
    </row>
    <row r="371" spans="2:9" customFormat="1" ht="14.4" x14ac:dyDescent="0.3">
      <c r="B371" t="s">
        <v>2194</v>
      </c>
      <c r="C371" t="s">
        <v>1615</v>
      </c>
      <c r="D371" t="s">
        <v>2198</v>
      </c>
      <c r="E371" s="45">
        <v>20</v>
      </c>
      <c r="F371" t="s">
        <v>1441</v>
      </c>
      <c r="I371" s="152"/>
    </row>
    <row r="372" spans="2:9" customFormat="1" ht="14.4" x14ac:dyDescent="0.3">
      <c r="B372" t="s">
        <v>2194</v>
      </c>
      <c r="C372" t="s">
        <v>1615</v>
      </c>
      <c r="D372" t="s">
        <v>2199</v>
      </c>
      <c r="E372" s="45">
        <v>10</v>
      </c>
      <c r="F372" t="s">
        <v>1441</v>
      </c>
      <c r="I372" s="152"/>
    </row>
    <row r="373" spans="2:9" customFormat="1" ht="14.4" x14ac:dyDescent="0.3">
      <c r="B373" t="s">
        <v>2194</v>
      </c>
      <c r="C373" t="s">
        <v>1615</v>
      </c>
      <c r="D373" t="s">
        <v>2200</v>
      </c>
      <c r="E373" s="45">
        <v>15</v>
      </c>
      <c r="F373" t="s">
        <v>1441</v>
      </c>
      <c r="I373" s="152"/>
    </row>
    <row r="374" spans="2:9" customFormat="1" ht="14.4" x14ac:dyDescent="0.3">
      <c r="B374" t="s">
        <v>2194</v>
      </c>
      <c r="C374" t="s">
        <v>1615</v>
      </c>
      <c r="D374" t="s">
        <v>2201</v>
      </c>
      <c r="E374" s="45">
        <v>15</v>
      </c>
      <c r="F374" t="s">
        <v>1441</v>
      </c>
      <c r="I374" s="152"/>
    </row>
    <row r="375" spans="2:9" customFormat="1" ht="14.4" x14ac:dyDescent="0.3">
      <c r="B375" t="s">
        <v>2194</v>
      </c>
      <c r="C375" t="s">
        <v>1615</v>
      </c>
      <c r="D375" t="s">
        <v>2201</v>
      </c>
      <c r="E375" s="45">
        <v>22</v>
      </c>
      <c r="F375" t="s">
        <v>1441</v>
      </c>
      <c r="I375" s="152"/>
    </row>
    <row r="376" spans="2:9" customFormat="1" ht="14.4" x14ac:dyDescent="0.3">
      <c r="B376" t="s">
        <v>2194</v>
      </c>
      <c r="C376" t="s">
        <v>1615</v>
      </c>
      <c r="D376" t="s">
        <v>2202</v>
      </c>
      <c r="E376" s="45">
        <v>45</v>
      </c>
      <c r="F376" t="s">
        <v>1441</v>
      </c>
      <c r="I376" s="152"/>
    </row>
    <row r="377" spans="2:9" customFormat="1" ht="14.4" x14ac:dyDescent="0.3">
      <c r="B377" t="s">
        <v>2194</v>
      </c>
      <c r="C377" t="s">
        <v>1615</v>
      </c>
      <c r="D377" t="s">
        <v>2203</v>
      </c>
      <c r="E377" s="45">
        <v>40</v>
      </c>
      <c r="F377" t="s">
        <v>1441</v>
      </c>
      <c r="I377" s="152"/>
    </row>
    <row r="378" spans="2:9" customFormat="1" ht="14.4" x14ac:dyDescent="0.3">
      <c r="B378" t="s">
        <v>2194</v>
      </c>
      <c r="C378" t="s">
        <v>1615</v>
      </c>
      <c r="D378" t="s">
        <v>2204</v>
      </c>
      <c r="E378" s="45">
        <v>15</v>
      </c>
      <c r="F378" t="s">
        <v>1441</v>
      </c>
      <c r="I378" s="152"/>
    </row>
    <row r="379" spans="2:9" customFormat="1" ht="14.4" x14ac:dyDescent="0.3">
      <c r="B379" t="s">
        <v>2194</v>
      </c>
      <c r="C379" t="s">
        <v>1615</v>
      </c>
      <c r="D379" t="s">
        <v>2205</v>
      </c>
      <c r="E379" s="45">
        <v>60</v>
      </c>
      <c r="F379" t="s">
        <v>1441</v>
      </c>
      <c r="I379" s="152"/>
    </row>
    <row r="380" spans="2:9" customFormat="1" ht="14.4" x14ac:dyDescent="0.3">
      <c r="B380" t="s">
        <v>2194</v>
      </c>
      <c r="C380" t="s">
        <v>1615</v>
      </c>
      <c r="D380" t="s">
        <v>2206</v>
      </c>
      <c r="E380" s="45">
        <v>30</v>
      </c>
      <c r="F380" t="s">
        <v>1441</v>
      </c>
      <c r="I380" s="152"/>
    </row>
    <row r="381" spans="2:9" customFormat="1" ht="14.4" x14ac:dyDescent="0.3">
      <c r="B381" t="s">
        <v>2194</v>
      </c>
      <c r="C381" t="s">
        <v>1615</v>
      </c>
      <c r="D381" t="s">
        <v>2107</v>
      </c>
      <c r="E381" s="45">
        <v>23</v>
      </c>
      <c r="F381" t="s">
        <v>1441</v>
      </c>
      <c r="I381" s="152"/>
    </row>
    <row r="382" spans="2:9" customFormat="1" ht="14.4" x14ac:dyDescent="0.3">
      <c r="B382" t="s">
        <v>2194</v>
      </c>
      <c r="C382" t="s">
        <v>1615</v>
      </c>
      <c r="D382" t="s">
        <v>1720</v>
      </c>
      <c r="E382" s="45">
        <v>10</v>
      </c>
      <c r="F382" t="s">
        <v>1441</v>
      </c>
      <c r="I382" s="152"/>
    </row>
    <row r="383" spans="2:9" customFormat="1" ht="14.4" x14ac:dyDescent="0.3">
      <c r="B383" t="s">
        <v>2194</v>
      </c>
      <c r="C383" t="s">
        <v>1615</v>
      </c>
      <c r="D383" t="s">
        <v>2207</v>
      </c>
      <c r="E383" s="45">
        <v>100</v>
      </c>
      <c r="F383" t="s">
        <v>1441</v>
      </c>
      <c r="I383" s="152"/>
    </row>
    <row r="384" spans="2:9" customFormat="1" ht="14.4" x14ac:dyDescent="0.3">
      <c r="B384" t="s">
        <v>2194</v>
      </c>
      <c r="C384" t="s">
        <v>1615</v>
      </c>
      <c r="D384" t="s">
        <v>2204</v>
      </c>
      <c r="E384" s="45">
        <v>15</v>
      </c>
      <c r="F384" t="s">
        <v>1441</v>
      </c>
      <c r="I384" s="152"/>
    </row>
    <row r="385" spans="2:9" customFormat="1" ht="14.4" x14ac:dyDescent="0.3">
      <c r="B385" t="s">
        <v>2194</v>
      </c>
      <c r="C385" t="s">
        <v>1615</v>
      </c>
      <c r="D385" t="s">
        <v>2208</v>
      </c>
      <c r="E385" s="45">
        <v>100</v>
      </c>
      <c r="F385" t="s">
        <v>1441</v>
      </c>
      <c r="I385" s="152"/>
    </row>
    <row r="386" spans="2:9" customFormat="1" ht="14.4" x14ac:dyDescent="0.3">
      <c r="B386" t="s">
        <v>2194</v>
      </c>
      <c r="C386" t="s">
        <v>1615</v>
      </c>
      <c r="D386" t="s">
        <v>2209</v>
      </c>
      <c r="E386" s="45">
        <v>60</v>
      </c>
      <c r="F386" t="s">
        <v>1441</v>
      </c>
      <c r="I386" s="152"/>
    </row>
    <row r="387" spans="2:9" customFormat="1" ht="14.4" x14ac:dyDescent="0.3">
      <c r="B387" t="s">
        <v>2194</v>
      </c>
      <c r="C387" t="s">
        <v>1615</v>
      </c>
      <c r="D387" t="s">
        <v>2160</v>
      </c>
      <c r="E387" s="45">
        <v>85</v>
      </c>
      <c r="F387" t="s">
        <v>1441</v>
      </c>
      <c r="I387" s="152"/>
    </row>
    <row r="388" spans="2:9" customFormat="1" ht="14.4" x14ac:dyDescent="0.3">
      <c r="B388" t="s">
        <v>2194</v>
      </c>
      <c r="C388" t="s">
        <v>1615</v>
      </c>
      <c r="D388" t="s">
        <v>2210</v>
      </c>
      <c r="E388" s="45">
        <v>35</v>
      </c>
      <c r="F388" t="s">
        <v>1441</v>
      </c>
      <c r="I388" s="152"/>
    </row>
    <row r="389" spans="2:9" customFormat="1" ht="14.4" x14ac:dyDescent="0.3">
      <c r="B389" t="s">
        <v>2194</v>
      </c>
      <c r="C389" t="s">
        <v>1615</v>
      </c>
      <c r="D389" t="s">
        <v>2211</v>
      </c>
      <c r="E389" s="45">
        <v>15</v>
      </c>
      <c r="F389" t="s">
        <v>1441</v>
      </c>
      <c r="I389" s="152"/>
    </row>
    <row r="390" spans="2:9" customFormat="1" ht="14.4" x14ac:dyDescent="0.3">
      <c r="B390" t="s">
        <v>2194</v>
      </c>
      <c r="C390" t="s">
        <v>1615</v>
      </c>
      <c r="D390" t="s">
        <v>2212</v>
      </c>
      <c r="E390" s="45">
        <v>30</v>
      </c>
      <c r="F390" t="s">
        <v>1441</v>
      </c>
      <c r="I390" s="152"/>
    </row>
    <row r="391" spans="2:9" customFormat="1" ht="14.4" x14ac:dyDescent="0.3">
      <c r="B391" t="s">
        <v>2194</v>
      </c>
      <c r="C391" t="s">
        <v>1615</v>
      </c>
      <c r="D391" t="s">
        <v>2213</v>
      </c>
      <c r="E391" s="45">
        <v>46</v>
      </c>
      <c r="F391" t="s">
        <v>1441</v>
      </c>
      <c r="I391" s="152"/>
    </row>
    <row r="392" spans="2:9" customFormat="1" ht="14.4" x14ac:dyDescent="0.3">
      <c r="B392" t="s">
        <v>2194</v>
      </c>
      <c r="C392" t="s">
        <v>1615</v>
      </c>
      <c r="D392" t="s">
        <v>2214</v>
      </c>
      <c r="E392" s="45">
        <v>20</v>
      </c>
      <c r="F392" t="s">
        <v>1441</v>
      </c>
      <c r="I392" s="152"/>
    </row>
    <row r="393" spans="2:9" customFormat="1" ht="14.4" x14ac:dyDescent="0.3">
      <c r="B393" t="s">
        <v>2194</v>
      </c>
      <c r="C393" t="s">
        <v>1615</v>
      </c>
      <c r="D393" t="s">
        <v>1710</v>
      </c>
      <c r="E393" s="45">
        <v>105</v>
      </c>
      <c r="F393" t="s">
        <v>1441</v>
      </c>
      <c r="I393" s="152"/>
    </row>
    <row r="394" spans="2:9" customFormat="1" ht="14.4" x14ac:dyDescent="0.3">
      <c r="B394" t="s">
        <v>2194</v>
      </c>
      <c r="C394" t="s">
        <v>1615</v>
      </c>
      <c r="D394" t="s">
        <v>2215</v>
      </c>
      <c r="E394" s="45">
        <v>15</v>
      </c>
      <c r="F394" t="s">
        <v>1441</v>
      </c>
      <c r="I394" s="152"/>
    </row>
    <row r="395" spans="2:9" customFormat="1" ht="14.4" x14ac:dyDescent="0.3">
      <c r="B395" t="s">
        <v>2194</v>
      </c>
      <c r="C395" t="s">
        <v>1615</v>
      </c>
      <c r="D395" t="s">
        <v>2216</v>
      </c>
      <c r="E395" s="45">
        <v>30</v>
      </c>
      <c r="F395" t="s">
        <v>1441</v>
      </c>
      <c r="I395" s="152"/>
    </row>
    <row r="396" spans="2:9" customFormat="1" ht="14.4" x14ac:dyDescent="0.3">
      <c r="B396" t="s">
        <v>2194</v>
      </c>
      <c r="C396" t="s">
        <v>1615</v>
      </c>
      <c r="D396" t="s">
        <v>1720</v>
      </c>
      <c r="E396" s="45">
        <v>40</v>
      </c>
      <c r="F396" t="s">
        <v>1441</v>
      </c>
      <c r="I396" s="152"/>
    </row>
    <row r="397" spans="2:9" customFormat="1" ht="14.4" x14ac:dyDescent="0.3">
      <c r="B397" t="s">
        <v>2194</v>
      </c>
      <c r="C397" t="s">
        <v>1615</v>
      </c>
      <c r="D397" t="s">
        <v>2210</v>
      </c>
      <c r="E397" s="45">
        <v>65</v>
      </c>
      <c r="F397" t="s">
        <v>1441</v>
      </c>
      <c r="I397" s="152"/>
    </row>
    <row r="398" spans="2:9" customFormat="1" ht="14.4" x14ac:dyDescent="0.3">
      <c r="B398" t="s">
        <v>2194</v>
      </c>
      <c r="C398" t="s">
        <v>1615</v>
      </c>
      <c r="D398" t="s">
        <v>1710</v>
      </c>
      <c r="E398" s="45">
        <v>30</v>
      </c>
      <c r="F398" t="s">
        <v>1441</v>
      </c>
      <c r="I398" s="152"/>
    </row>
    <row r="399" spans="2:9" customFormat="1" ht="14.4" x14ac:dyDescent="0.3">
      <c r="B399" t="s">
        <v>2194</v>
      </c>
      <c r="C399" t="s">
        <v>1615</v>
      </c>
      <c r="D399" t="s">
        <v>2217</v>
      </c>
      <c r="E399" s="45">
        <v>30</v>
      </c>
      <c r="F399" t="s">
        <v>1441</v>
      </c>
      <c r="I399" s="152"/>
    </row>
    <row r="400" spans="2:9" customFormat="1" ht="14.4" x14ac:dyDescent="0.3">
      <c r="B400" t="s">
        <v>2194</v>
      </c>
      <c r="C400" t="s">
        <v>1615</v>
      </c>
      <c r="D400" t="s">
        <v>1720</v>
      </c>
      <c r="E400" s="45">
        <v>25</v>
      </c>
      <c r="F400" t="s">
        <v>1441</v>
      </c>
      <c r="I400" s="152"/>
    </row>
    <row r="401" spans="2:9" customFormat="1" ht="14.4" x14ac:dyDescent="0.3">
      <c r="B401" t="s">
        <v>2194</v>
      </c>
      <c r="C401" t="s">
        <v>1615</v>
      </c>
      <c r="D401" t="s">
        <v>1720</v>
      </c>
      <c r="E401" s="45">
        <v>30</v>
      </c>
      <c r="F401" t="s">
        <v>1441</v>
      </c>
      <c r="I401" s="152"/>
    </row>
    <row r="402" spans="2:9" customFormat="1" ht="14.4" x14ac:dyDescent="0.3">
      <c r="B402" t="s">
        <v>2194</v>
      </c>
      <c r="C402" t="s">
        <v>1615</v>
      </c>
      <c r="D402" t="s">
        <v>2218</v>
      </c>
      <c r="E402" s="45">
        <v>90</v>
      </c>
      <c r="F402" t="s">
        <v>1441</v>
      </c>
      <c r="I402" s="152"/>
    </row>
    <row r="403" spans="2:9" customFormat="1" ht="14.4" x14ac:dyDescent="0.3">
      <c r="B403" t="s">
        <v>2194</v>
      </c>
      <c r="C403" t="s">
        <v>1615</v>
      </c>
      <c r="D403" t="s">
        <v>2219</v>
      </c>
      <c r="E403" s="45">
        <v>150</v>
      </c>
      <c r="F403" t="s">
        <v>1441</v>
      </c>
      <c r="I403" s="152"/>
    </row>
    <row r="404" spans="2:9" customFormat="1" ht="14.4" x14ac:dyDescent="0.3">
      <c r="B404" t="s">
        <v>2194</v>
      </c>
      <c r="C404" t="s">
        <v>1615</v>
      </c>
      <c r="D404" t="s">
        <v>2220</v>
      </c>
      <c r="E404" s="45">
        <v>80</v>
      </c>
      <c r="F404" t="s">
        <v>1441</v>
      </c>
      <c r="I404" s="152"/>
    </row>
    <row r="405" spans="2:9" customFormat="1" ht="14.4" x14ac:dyDescent="0.3">
      <c r="B405" t="s">
        <v>2194</v>
      </c>
      <c r="C405" t="s">
        <v>1615</v>
      </c>
      <c r="D405" t="s">
        <v>2221</v>
      </c>
      <c r="E405" s="45">
        <v>45</v>
      </c>
      <c r="F405" t="s">
        <v>1441</v>
      </c>
      <c r="I405" s="152"/>
    </row>
    <row r="406" spans="2:9" customFormat="1" ht="14.4" x14ac:dyDescent="0.3">
      <c r="B406" t="s">
        <v>2194</v>
      </c>
      <c r="C406" t="s">
        <v>1615</v>
      </c>
      <c r="D406" t="s">
        <v>2206</v>
      </c>
      <c r="E406" s="45">
        <v>45</v>
      </c>
      <c r="F406" t="s">
        <v>1441</v>
      </c>
      <c r="I406" s="152"/>
    </row>
    <row r="407" spans="2:9" customFormat="1" ht="14.4" x14ac:dyDescent="0.3">
      <c r="B407" t="s">
        <v>2194</v>
      </c>
      <c r="C407" t="s">
        <v>1615</v>
      </c>
      <c r="D407" t="s">
        <v>2215</v>
      </c>
      <c r="E407" s="45">
        <v>45</v>
      </c>
      <c r="F407" t="s">
        <v>1441</v>
      </c>
      <c r="I407" s="152"/>
    </row>
    <row r="408" spans="2:9" customFormat="1" ht="14.4" x14ac:dyDescent="0.3">
      <c r="B408" t="s">
        <v>2194</v>
      </c>
      <c r="C408" t="s">
        <v>1615</v>
      </c>
      <c r="D408" t="s">
        <v>2215</v>
      </c>
      <c r="E408" s="45">
        <v>45</v>
      </c>
      <c r="F408" t="s">
        <v>1441</v>
      </c>
      <c r="I408" s="152"/>
    </row>
    <row r="409" spans="2:9" customFormat="1" ht="14.4" x14ac:dyDescent="0.3">
      <c r="B409" t="s">
        <v>2194</v>
      </c>
      <c r="C409" t="s">
        <v>1615</v>
      </c>
      <c r="D409" t="s">
        <v>2222</v>
      </c>
      <c r="E409" s="45">
        <v>10</v>
      </c>
      <c r="F409" t="s">
        <v>1441</v>
      </c>
      <c r="I409" s="152"/>
    </row>
    <row r="410" spans="2:9" customFormat="1" ht="14.4" x14ac:dyDescent="0.3">
      <c r="B410" t="s">
        <v>2194</v>
      </c>
      <c r="C410" t="s">
        <v>1615</v>
      </c>
      <c r="D410" t="s">
        <v>2223</v>
      </c>
      <c r="E410" s="45">
        <v>20</v>
      </c>
      <c r="F410" t="s">
        <v>1441</v>
      </c>
      <c r="I410" s="152"/>
    </row>
    <row r="411" spans="2:9" customFormat="1" ht="14.4" x14ac:dyDescent="0.3">
      <c r="B411" t="s">
        <v>2194</v>
      </c>
      <c r="C411" t="s">
        <v>1615</v>
      </c>
      <c r="D411" t="s">
        <v>1710</v>
      </c>
      <c r="E411" s="45">
        <v>30</v>
      </c>
      <c r="F411" t="s">
        <v>1441</v>
      </c>
      <c r="I411" s="152"/>
    </row>
    <row r="412" spans="2:9" customFormat="1" ht="14.4" x14ac:dyDescent="0.3">
      <c r="B412" t="s">
        <v>2194</v>
      </c>
      <c r="C412" t="s">
        <v>1615</v>
      </c>
      <c r="D412" t="s">
        <v>2224</v>
      </c>
      <c r="E412" s="45">
        <v>10</v>
      </c>
      <c r="F412" t="s">
        <v>1441</v>
      </c>
      <c r="I412" s="152"/>
    </row>
    <row r="413" spans="2:9" customFormat="1" ht="14.4" x14ac:dyDescent="0.3">
      <c r="B413" t="s">
        <v>2194</v>
      </c>
      <c r="C413" t="s">
        <v>1615</v>
      </c>
      <c r="D413" t="s">
        <v>2225</v>
      </c>
      <c r="E413" s="45">
        <v>20</v>
      </c>
      <c r="F413" t="s">
        <v>1441</v>
      </c>
      <c r="I413" s="152"/>
    </row>
    <row r="414" spans="2:9" customFormat="1" ht="14.4" x14ac:dyDescent="0.3">
      <c r="B414" t="s">
        <v>2194</v>
      </c>
      <c r="C414" t="s">
        <v>1615</v>
      </c>
      <c r="D414" t="s">
        <v>2226</v>
      </c>
      <c r="E414" s="45">
        <v>75</v>
      </c>
      <c r="F414" t="s">
        <v>1441</v>
      </c>
      <c r="I414" s="152"/>
    </row>
    <row r="415" spans="2:9" customFormat="1" ht="14.4" x14ac:dyDescent="0.3">
      <c r="B415" t="s">
        <v>2194</v>
      </c>
      <c r="C415" t="s">
        <v>1615</v>
      </c>
      <c r="D415" t="s">
        <v>2227</v>
      </c>
      <c r="E415" s="45">
        <v>15</v>
      </c>
      <c r="F415" t="s">
        <v>1441</v>
      </c>
      <c r="I415" s="152"/>
    </row>
    <row r="416" spans="2:9" customFormat="1" ht="14.4" x14ac:dyDescent="0.3">
      <c r="B416" t="s">
        <v>2194</v>
      </c>
      <c r="C416" t="s">
        <v>1615</v>
      </c>
      <c r="D416" t="s">
        <v>2228</v>
      </c>
      <c r="E416" s="45">
        <v>20</v>
      </c>
      <c r="F416" t="s">
        <v>1441</v>
      </c>
      <c r="I416" s="152"/>
    </row>
    <row r="417" spans="2:9" customFormat="1" ht="14.4" x14ac:dyDescent="0.3">
      <c r="B417" t="s">
        <v>2194</v>
      </c>
      <c r="C417" t="s">
        <v>1615</v>
      </c>
      <c r="D417" t="s">
        <v>2217</v>
      </c>
      <c r="E417" s="45">
        <v>75</v>
      </c>
      <c r="F417" t="s">
        <v>1441</v>
      </c>
      <c r="I417" s="152"/>
    </row>
    <row r="418" spans="2:9" customFormat="1" ht="14.4" x14ac:dyDescent="0.3">
      <c r="B418" t="s">
        <v>2194</v>
      </c>
      <c r="C418" t="s">
        <v>1615</v>
      </c>
      <c r="D418" t="s">
        <v>2229</v>
      </c>
      <c r="E418" s="45">
        <v>55</v>
      </c>
      <c r="F418" t="s">
        <v>1441</v>
      </c>
      <c r="I418" s="152"/>
    </row>
    <row r="419" spans="2:9" customFormat="1" ht="14.4" x14ac:dyDescent="0.3">
      <c r="B419" t="s">
        <v>2194</v>
      </c>
      <c r="C419" t="s">
        <v>1615</v>
      </c>
      <c r="D419" t="s">
        <v>2221</v>
      </c>
      <c r="E419" s="45">
        <v>30</v>
      </c>
      <c r="F419" t="s">
        <v>1441</v>
      </c>
      <c r="I419" s="152"/>
    </row>
    <row r="420" spans="2:9" customFormat="1" ht="14.4" x14ac:dyDescent="0.3">
      <c r="B420" t="s">
        <v>2194</v>
      </c>
      <c r="C420" t="s">
        <v>1615</v>
      </c>
      <c r="D420" t="s">
        <v>2218</v>
      </c>
      <c r="E420" s="45">
        <v>60</v>
      </c>
      <c r="F420" t="s">
        <v>1441</v>
      </c>
      <c r="I420" s="152"/>
    </row>
    <row r="421" spans="2:9" customFormat="1" ht="14.4" x14ac:dyDescent="0.3">
      <c r="B421" t="s">
        <v>2194</v>
      </c>
      <c r="C421" t="s">
        <v>1615</v>
      </c>
      <c r="D421" t="s">
        <v>2230</v>
      </c>
      <c r="E421" s="45">
        <v>15</v>
      </c>
      <c r="F421" t="s">
        <v>1441</v>
      </c>
      <c r="I421" s="152"/>
    </row>
    <row r="422" spans="2:9" customFormat="1" ht="14.4" x14ac:dyDescent="0.3">
      <c r="B422" t="s">
        <v>2194</v>
      </c>
      <c r="C422" t="s">
        <v>1615</v>
      </c>
      <c r="D422" t="s">
        <v>2231</v>
      </c>
      <c r="E422" s="45">
        <v>90</v>
      </c>
      <c r="F422" t="s">
        <v>1441</v>
      </c>
      <c r="I422" s="152"/>
    </row>
    <row r="423" spans="2:9" customFormat="1" ht="14.4" x14ac:dyDescent="0.3">
      <c r="B423" t="s">
        <v>2194</v>
      </c>
      <c r="C423" t="s">
        <v>1615</v>
      </c>
      <c r="D423" t="s">
        <v>2232</v>
      </c>
      <c r="E423" s="45">
        <v>60</v>
      </c>
      <c r="F423" t="s">
        <v>1441</v>
      </c>
      <c r="I423" s="152"/>
    </row>
    <row r="424" spans="2:9" customFormat="1" ht="14.4" x14ac:dyDescent="0.3">
      <c r="B424" t="s">
        <v>2194</v>
      </c>
      <c r="C424" t="s">
        <v>1615</v>
      </c>
      <c r="D424" t="s">
        <v>2233</v>
      </c>
      <c r="E424" s="45">
        <v>120</v>
      </c>
      <c r="F424" t="s">
        <v>1441</v>
      </c>
      <c r="I424" s="152"/>
    </row>
    <row r="425" spans="2:9" customFormat="1" ht="14.4" x14ac:dyDescent="0.3">
      <c r="B425" t="s">
        <v>2194</v>
      </c>
      <c r="C425" t="s">
        <v>1615</v>
      </c>
      <c r="D425" t="s">
        <v>2208</v>
      </c>
      <c r="E425" s="45">
        <v>20</v>
      </c>
      <c r="F425" t="s">
        <v>1441</v>
      </c>
      <c r="I425" s="152"/>
    </row>
    <row r="426" spans="2:9" customFormat="1" ht="14.4" x14ac:dyDescent="0.3">
      <c r="B426" t="s">
        <v>2194</v>
      </c>
      <c r="C426" t="s">
        <v>1615</v>
      </c>
      <c r="D426" t="s">
        <v>2234</v>
      </c>
      <c r="E426" s="45">
        <v>25</v>
      </c>
      <c r="F426" t="s">
        <v>1441</v>
      </c>
      <c r="I426" s="152"/>
    </row>
    <row r="427" spans="2:9" customFormat="1" ht="14.4" x14ac:dyDescent="0.3">
      <c r="B427" t="s">
        <v>2194</v>
      </c>
      <c r="C427" t="s">
        <v>1615</v>
      </c>
      <c r="D427" t="s">
        <v>2235</v>
      </c>
      <c r="E427" s="45">
        <v>80</v>
      </c>
      <c r="F427" t="s">
        <v>1441</v>
      </c>
      <c r="I427" s="152"/>
    </row>
    <row r="428" spans="2:9" customFormat="1" ht="14.4" x14ac:dyDescent="0.3">
      <c r="B428" t="s">
        <v>2194</v>
      </c>
      <c r="C428" t="s">
        <v>1615</v>
      </c>
      <c r="D428" t="s">
        <v>2160</v>
      </c>
      <c r="E428" s="45">
        <v>45</v>
      </c>
      <c r="F428" t="s">
        <v>1441</v>
      </c>
      <c r="I428" s="152"/>
    </row>
    <row r="429" spans="2:9" customFormat="1" ht="14.4" x14ac:dyDescent="0.3">
      <c r="B429" t="s">
        <v>2194</v>
      </c>
      <c r="C429" t="s">
        <v>1615</v>
      </c>
      <c r="D429" t="s">
        <v>2211</v>
      </c>
      <c r="E429" s="45">
        <v>125</v>
      </c>
      <c r="F429" t="s">
        <v>1441</v>
      </c>
      <c r="I429" s="152"/>
    </row>
    <row r="430" spans="2:9" customFormat="1" ht="14.4" x14ac:dyDescent="0.3">
      <c r="B430" t="s">
        <v>2194</v>
      </c>
      <c r="C430" t="s">
        <v>1615</v>
      </c>
      <c r="D430" t="s">
        <v>2230</v>
      </c>
      <c r="E430" s="45">
        <v>25</v>
      </c>
      <c r="F430" t="s">
        <v>1441</v>
      </c>
      <c r="I430" s="152"/>
    </row>
    <row r="431" spans="2:9" customFormat="1" ht="14.4" x14ac:dyDescent="0.3">
      <c r="B431" t="s">
        <v>2194</v>
      </c>
      <c r="C431" t="s">
        <v>1615</v>
      </c>
      <c r="D431" t="s">
        <v>2236</v>
      </c>
      <c r="E431" s="45">
        <v>85</v>
      </c>
      <c r="F431" t="s">
        <v>1441</v>
      </c>
      <c r="I431" s="152"/>
    </row>
    <row r="432" spans="2:9" customFormat="1" ht="14.4" x14ac:dyDescent="0.3">
      <c r="B432" t="s">
        <v>2194</v>
      </c>
      <c r="C432" t="s">
        <v>1615</v>
      </c>
      <c r="D432" t="s">
        <v>2188</v>
      </c>
      <c r="E432" s="45">
        <v>15</v>
      </c>
      <c r="F432" t="s">
        <v>1441</v>
      </c>
      <c r="I432" s="152"/>
    </row>
    <row r="433" spans="2:9" customFormat="1" ht="14.4" x14ac:dyDescent="0.3">
      <c r="B433" t="s">
        <v>2194</v>
      </c>
      <c r="C433" t="s">
        <v>1615</v>
      </c>
      <c r="D433" t="s">
        <v>2188</v>
      </c>
      <c r="E433" s="45">
        <v>35</v>
      </c>
      <c r="F433" t="s">
        <v>1441</v>
      </c>
      <c r="I433" s="152"/>
    </row>
    <row r="434" spans="2:9" customFormat="1" ht="14.4" x14ac:dyDescent="0.3">
      <c r="B434" t="s">
        <v>2194</v>
      </c>
      <c r="C434" t="s">
        <v>1615</v>
      </c>
      <c r="D434" t="s">
        <v>2160</v>
      </c>
      <c r="E434" s="45">
        <v>30</v>
      </c>
      <c r="F434" t="s">
        <v>1441</v>
      </c>
      <c r="I434" s="152"/>
    </row>
    <row r="435" spans="2:9" customFormat="1" ht="14.4" x14ac:dyDescent="0.3">
      <c r="B435" t="s">
        <v>2194</v>
      </c>
      <c r="C435" t="s">
        <v>1615</v>
      </c>
      <c r="D435" t="s">
        <v>2204</v>
      </c>
      <c r="E435" s="45">
        <v>30</v>
      </c>
      <c r="F435" t="s">
        <v>1441</v>
      </c>
      <c r="I435" s="152"/>
    </row>
    <row r="436" spans="2:9" customFormat="1" ht="14.4" x14ac:dyDescent="0.3">
      <c r="B436" t="s">
        <v>2194</v>
      </c>
      <c r="C436" t="s">
        <v>1615</v>
      </c>
      <c r="D436" t="s">
        <v>2209</v>
      </c>
      <c r="E436" s="45">
        <v>60</v>
      </c>
      <c r="F436" t="s">
        <v>1441</v>
      </c>
      <c r="I436" s="152"/>
    </row>
    <row r="437" spans="2:9" customFormat="1" ht="14.4" x14ac:dyDescent="0.3">
      <c r="B437" t="s">
        <v>2194</v>
      </c>
      <c r="C437" t="s">
        <v>1615</v>
      </c>
      <c r="D437" t="s">
        <v>2237</v>
      </c>
      <c r="E437" s="45">
        <v>15</v>
      </c>
      <c r="F437" t="s">
        <v>1441</v>
      </c>
      <c r="I437" s="152"/>
    </row>
    <row r="438" spans="2:9" customFormat="1" ht="14.4" x14ac:dyDescent="0.3">
      <c r="B438" t="s">
        <v>2194</v>
      </c>
      <c r="C438" t="s">
        <v>1615</v>
      </c>
      <c r="D438" t="s">
        <v>1696</v>
      </c>
      <c r="E438" s="45">
        <v>20</v>
      </c>
      <c r="F438" t="s">
        <v>1441</v>
      </c>
      <c r="I438" s="152"/>
    </row>
    <row r="439" spans="2:9" customFormat="1" ht="14.4" x14ac:dyDescent="0.3">
      <c r="B439" t="s">
        <v>2194</v>
      </c>
      <c r="C439" t="s">
        <v>1615</v>
      </c>
      <c r="D439" t="s">
        <v>2225</v>
      </c>
      <c r="E439" s="45">
        <v>40</v>
      </c>
      <c r="F439" t="s">
        <v>1441</v>
      </c>
      <c r="I439" s="152"/>
    </row>
    <row r="440" spans="2:9" customFormat="1" ht="14.4" x14ac:dyDescent="0.3">
      <c r="B440" t="s">
        <v>2194</v>
      </c>
      <c r="C440" t="s">
        <v>1615</v>
      </c>
      <c r="D440" t="s">
        <v>2228</v>
      </c>
      <c r="E440" s="45">
        <v>25</v>
      </c>
      <c r="F440" t="s">
        <v>1441</v>
      </c>
      <c r="I440" s="152"/>
    </row>
    <row r="441" spans="2:9" customFormat="1" ht="14.4" x14ac:dyDescent="0.3">
      <c r="B441" t="s">
        <v>2194</v>
      </c>
      <c r="C441" t="s">
        <v>1615</v>
      </c>
      <c r="D441" t="s">
        <v>2228</v>
      </c>
      <c r="E441" s="45">
        <v>90</v>
      </c>
      <c r="F441" t="s">
        <v>1441</v>
      </c>
      <c r="I441" s="152"/>
    </row>
    <row r="442" spans="2:9" customFormat="1" ht="14.4" x14ac:dyDescent="0.3">
      <c r="B442" t="s">
        <v>2194</v>
      </c>
      <c r="C442" t="s">
        <v>1615</v>
      </c>
      <c r="D442" t="s">
        <v>1710</v>
      </c>
      <c r="E442" s="45">
        <v>30</v>
      </c>
      <c r="F442" t="s">
        <v>1441</v>
      </c>
      <c r="I442" s="152"/>
    </row>
    <row r="443" spans="2:9" customFormat="1" ht="14.4" x14ac:dyDescent="0.3">
      <c r="B443" t="s">
        <v>2194</v>
      </c>
      <c r="C443" t="s">
        <v>1615</v>
      </c>
      <c r="D443" t="s">
        <v>2238</v>
      </c>
      <c r="E443" s="45">
        <v>45</v>
      </c>
      <c r="F443" t="s">
        <v>1441</v>
      </c>
      <c r="I443" s="152"/>
    </row>
    <row r="444" spans="2:9" customFormat="1" ht="14.4" x14ac:dyDescent="0.3">
      <c r="B444" t="s">
        <v>2194</v>
      </c>
      <c r="C444" t="s">
        <v>1615</v>
      </c>
      <c r="D444" t="s">
        <v>2160</v>
      </c>
      <c r="E444" s="45">
        <v>30</v>
      </c>
      <c r="F444" t="s">
        <v>1441</v>
      </c>
      <c r="I444" s="152"/>
    </row>
    <row r="445" spans="2:9" customFormat="1" ht="14.4" x14ac:dyDescent="0.3">
      <c r="B445" t="s">
        <v>2194</v>
      </c>
      <c r="C445" t="s">
        <v>1615</v>
      </c>
      <c r="D445" t="s">
        <v>2213</v>
      </c>
      <c r="E445" s="45">
        <v>70</v>
      </c>
      <c r="F445" t="s">
        <v>1441</v>
      </c>
      <c r="I445" s="152"/>
    </row>
    <row r="446" spans="2:9" customFormat="1" ht="14.4" x14ac:dyDescent="0.3">
      <c r="B446" t="s">
        <v>2194</v>
      </c>
      <c r="C446" t="s">
        <v>1615</v>
      </c>
      <c r="D446" t="s">
        <v>1710</v>
      </c>
      <c r="E446" s="45">
        <v>120</v>
      </c>
      <c r="F446" t="s">
        <v>1441</v>
      </c>
      <c r="I446" s="152"/>
    </row>
    <row r="447" spans="2:9" customFormat="1" ht="14.4" x14ac:dyDescent="0.3">
      <c r="B447" t="s">
        <v>2194</v>
      </c>
      <c r="C447" t="s">
        <v>1615</v>
      </c>
      <c r="D447" t="s">
        <v>2219</v>
      </c>
      <c r="E447" s="45">
        <v>88</v>
      </c>
      <c r="F447" t="s">
        <v>1441</v>
      </c>
      <c r="I447" s="152"/>
    </row>
    <row r="448" spans="2:9" customFormat="1" ht="14.4" x14ac:dyDescent="0.3">
      <c r="B448" t="s">
        <v>2194</v>
      </c>
      <c r="C448" t="s">
        <v>1615</v>
      </c>
      <c r="D448" t="s">
        <v>2218</v>
      </c>
      <c r="E448" s="45">
        <v>40</v>
      </c>
      <c r="F448" t="s">
        <v>1441</v>
      </c>
      <c r="I448" s="152"/>
    </row>
    <row r="449" spans="2:9" customFormat="1" ht="14.4" x14ac:dyDescent="0.3">
      <c r="B449" t="s">
        <v>2194</v>
      </c>
      <c r="C449" t="s">
        <v>1615</v>
      </c>
      <c r="D449" t="s">
        <v>2233</v>
      </c>
      <c r="E449" s="45">
        <v>10</v>
      </c>
      <c r="F449" t="s">
        <v>1441</v>
      </c>
      <c r="I449" s="152"/>
    </row>
    <row r="450" spans="2:9" customFormat="1" ht="14.4" x14ac:dyDescent="0.3">
      <c r="B450" t="s">
        <v>2194</v>
      </c>
      <c r="C450" t="s">
        <v>1615</v>
      </c>
      <c r="D450" t="s">
        <v>2236</v>
      </c>
      <c r="E450" s="45">
        <v>25</v>
      </c>
      <c r="F450" t="s">
        <v>1441</v>
      </c>
      <c r="I450" s="152"/>
    </row>
    <row r="451" spans="2:9" customFormat="1" ht="14.4" x14ac:dyDescent="0.3">
      <c r="B451" t="s">
        <v>2194</v>
      </c>
      <c r="C451" t="s">
        <v>1615</v>
      </c>
      <c r="D451" t="s">
        <v>2222</v>
      </c>
      <c r="E451" s="45">
        <v>10</v>
      </c>
      <c r="F451" t="s">
        <v>1441</v>
      </c>
      <c r="I451" s="152"/>
    </row>
    <row r="452" spans="2:9" customFormat="1" ht="14.4" x14ac:dyDescent="0.3">
      <c r="B452" t="s">
        <v>2194</v>
      </c>
      <c r="C452" t="s">
        <v>1615</v>
      </c>
      <c r="D452" t="s">
        <v>2239</v>
      </c>
      <c r="E452" s="45">
        <v>10</v>
      </c>
      <c r="F452" t="s">
        <v>1441</v>
      </c>
      <c r="I452" s="152"/>
    </row>
    <row r="453" spans="2:9" customFormat="1" ht="14.4" x14ac:dyDescent="0.3">
      <c r="B453" t="s">
        <v>2194</v>
      </c>
      <c r="C453" t="s">
        <v>998</v>
      </c>
      <c r="D453" t="s">
        <v>126</v>
      </c>
      <c r="E453" s="45">
        <v>-425</v>
      </c>
      <c r="F453" t="s">
        <v>39</v>
      </c>
      <c r="G453" t="s">
        <v>580</v>
      </c>
      <c r="H453" t="s">
        <v>438</v>
      </c>
      <c r="I453" s="152"/>
    </row>
    <row r="454" spans="2:9" customFormat="1" ht="14.4" x14ac:dyDescent="0.3">
      <c r="B454" t="s">
        <v>2194</v>
      </c>
      <c r="C454" t="s">
        <v>1615</v>
      </c>
      <c r="D454" t="s">
        <v>2240</v>
      </c>
      <c r="E454" s="45">
        <v>50</v>
      </c>
      <c r="F454" t="s">
        <v>1441</v>
      </c>
      <c r="I454" s="152"/>
    </row>
    <row r="455" spans="2:9" customFormat="1" ht="14.4" x14ac:dyDescent="0.3">
      <c r="B455" t="s">
        <v>2194</v>
      </c>
      <c r="C455" t="s">
        <v>1615</v>
      </c>
      <c r="D455" t="s">
        <v>2241</v>
      </c>
      <c r="E455" s="45">
        <v>40</v>
      </c>
      <c r="F455" t="s">
        <v>1441</v>
      </c>
      <c r="I455" s="152"/>
    </row>
    <row r="456" spans="2:9" customFormat="1" ht="14.4" x14ac:dyDescent="0.3">
      <c r="B456" t="s">
        <v>2194</v>
      </c>
      <c r="C456" t="s">
        <v>1615</v>
      </c>
      <c r="D456" t="s">
        <v>2242</v>
      </c>
      <c r="E456" s="45">
        <v>25</v>
      </c>
      <c r="F456" t="s">
        <v>1441</v>
      </c>
      <c r="I456" s="152"/>
    </row>
    <row r="457" spans="2:9" customFormat="1" ht="14.4" x14ac:dyDescent="0.3">
      <c r="B457" t="s">
        <v>2194</v>
      </c>
      <c r="C457" t="s">
        <v>1615</v>
      </c>
      <c r="D457" t="s">
        <v>2243</v>
      </c>
      <c r="E457" s="45">
        <v>50</v>
      </c>
      <c r="F457" t="s">
        <v>1441</v>
      </c>
      <c r="I457" s="152"/>
    </row>
    <row r="458" spans="2:9" customFormat="1" ht="14.4" x14ac:dyDescent="0.3">
      <c r="B458" t="s">
        <v>2244</v>
      </c>
      <c r="C458" t="s">
        <v>952</v>
      </c>
      <c r="D458" t="s">
        <v>126</v>
      </c>
      <c r="E458" s="45">
        <v>-1800</v>
      </c>
      <c r="F458" t="s">
        <v>36</v>
      </c>
      <c r="G458" t="s">
        <v>580</v>
      </c>
      <c r="H458" t="s">
        <v>858</v>
      </c>
      <c r="I458" s="152"/>
    </row>
    <row r="459" spans="2:9" customFormat="1" ht="14.4" x14ac:dyDescent="0.3">
      <c r="B459" t="s">
        <v>2244</v>
      </c>
      <c r="C459" t="s">
        <v>1397</v>
      </c>
      <c r="D459" t="s">
        <v>126</v>
      </c>
      <c r="E459" s="45">
        <v>-490</v>
      </c>
      <c r="F459" t="s">
        <v>39</v>
      </c>
      <c r="G459" t="s">
        <v>580</v>
      </c>
      <c r="H459" t="s">
        <v>593</v>
      </c>
      <c r="I459" s="152"/>
    </row>
    <row r="460" spans="2:9" customFormat="1" ht="14.4" x14ac:dyDescent="0.3">
      <c r="B460" t="s">
        <v>2244</v>
      </c>
      <c r="C460" t="s">
        <v>1615</v>
      </c>
      <c r="D460" t="s">
        <v>1669</v>
      </c>
      <c r="E460" s="45">
        <v>15</v>
      </c>
      <c r="F460" t="s">
        <v>1441</v>
      </c>
      <c r="I460" s="152"/>
    </row>
    <row r="461" spans="2:9" customFormat="1" ht="14.4" x14ac:dyDescent="0.3">
      <c r="B461" t="s">
        <v>2244</v>
      </c>
      <c r="C461" t="s">
        <v>1615</v>
      </c>
      <c r="D461" t="s">
        <v>2245</v>
      </c>
      <c r="E461" s="45">
        <v>55</v>
      </c>
      <c r="F461" t="s">
        <v>1441</v>
      </c>
      <c r="I461" s="152"/>
    </row>
    <row r="462" spans="2:9" customFormat="1" ht="14.4" x14ac:dyDescent="0.3">
      <c r="B462" t="s">
        <v>2244</v>
      </c>
      <c r="C462" t="s">
        <v>1615</v>
      </c>
      <c r="D462" t="s">
        <v>1735</v>
      </c>
      <c r="E462" s="45">
        <v>45</v>
      </c>
      <c r="F462" t="s">
        <v>1441</v>
      </c>
      <c r="I462" s="152"/>
    </row>
    <row r="463" spans="2:9" customFormat="1" ht="14.4" x14ac:dyDescent="0.3">
      <c r="B463" t="s">
        <v>2244</v>
      </c>
      <c r="C463" t="s">
        <v>1615</v>
      </c>
      <c r="D463" t="s">
        <v>1672</v>
      </c>
      <c r="E463" s="45">
        <v>38</v>
      </c>
      <c r="F463" t="s">
        <v>1441</v>
      </c>
      <c r="I463" s="152"/>
    </row>
    <row r="464" spans="2:9" customFormat="1" ht="14.4" x14ac:dyDescent="0.3">
      <c r="B464" t="s">
        <v>2244</v>
      </c>
      <c r="C464" t="s">
        <v>1615</v>
      </c>
      <c r="D464" t="s">
        <v>1735</v>
      </c>
      <c r="E464" s="45">
        <v>91</v>
      </c>
      <c r="F464" t="s">
        <v>1441</v>
      </c>
      <c r="I464" s="152"/>
    </row>
    <row r="465" spans="1:9" customFormat="1" ht="14.4" x14ac:dyDescent="0.3">
      <c r="B465" t="s">
        <v>2244</v>
      </c>
      <c r="C465" t="s">
        <v>1615</v>
      </c>
      <c r="D465" t="s">
        <v>2246</v>
      </c>
      <c r="E465" s="45">
        <v>30</v>
      </c>
      <c r="F465" t="s">
        <v>1441</v>
      </c>
      <c r="I465" s="152"/>
    </row>
    <row r="466" spans="1:9" customFormat="1" ht="14.4" x14ac:dyDescent="0.3">
      <c r="B466" t="s">
        <v>2244</v>
      </c>
      <c r="C466" t="s">
        <v>1615</v>
      </c>
      <c r="D466" t="s">
        <v>1715</v>
      </c>
      <c r="E466" s="45">
        <v>20</v>
      </c>
      <c r="F466" t="s">
        <v>1441</v>
      </c>
      <c r="I466" s="152"/>
    </row>
    <row r="467" spans="1:9" customFormat="1" ht="14.4" x14ac:dyDescent="0.3">
      <c r="B467" t="s">
        <v>2244</v>
      </c>
      <c r="C467" t="s">
        <v>1615</v>
      </c>
      <c r="D467" t="s">
        <v>1669</v>
      </c>
      <c r="E467" s="45">
        <v>10</v>
      </c>
      <c r="F467" t="s">
        <v>1441</v>
      </c>
      <c r="I467" s="152"/>
    </row>
    <row r="468" spans="1:9" customFormat="1" ht="14.4" x14ac:dyDescent="0.3">
      <c r="B468" t="s">
        <v>2244</v>
      </c>
      <c r="C468" t="s">
        <v>1615</v>
      </c>
      <c r="D468" t="s">
        <v>1845</v>
      </c>
      <c r="E468" s="45">
        <v>45</v>
      </c>
      <c r="F468" t="s">
        <v>1441</v>
      </c>
      <c r="I468" s="152"/>
    </row>
    <row r="469" spans="1:9" customFormat="1" ht="14.4" x14ac:dyDescent="0.3">
      <c r="B469" t="s">
        <v>2244</v>
      </c>
      <c r="C469" t="s">
        <v>1615</v>
      </c>
      <c r="D469" t="s">
        <v>1845</v>
      </c>
      <c r="E469" s="45">
        <v>15</v>
      </c>
      <c r="F469" t="s">
        <v>1441</v>
      </c>
      <c r="I469" s="152"/>
    </row>
    <row r="470" spans="1:9" customFormat="1" ht="14.4" x14ac:dyDescent="0.3">
      <c r="B470" t="s">
        <v>2244</v>
      </c>
      <c r="C470" t="s">
        <v>1615</v>
      </c>
      <c r="D470" t="s">
        <v>2247</v>
      </c>
      <c r="E470" s="45">
        <v>10</v>
      </c>
      <c r="F470" t="s">
        <v>1441</v>
      </c>
      <c r="I470" s="152"/>
    </row>
    <row r="471" spans="1:9" customFormat="1" ht="14.4" x14ac:dyDescent="0.3">
      <c r="B471" t="s">
        <v>2244</v>
      </c>
      <c r="C471" t="s">
        <v>1615</v>
      </c>
      <c r="D471" t="s">
        <v>2248</v>
      </c>
      <c r="E471" s="45">
        <v>15</v>
      </c>
      <c r="F471" t="s">
        <v>1441</v>
      </c>
      <c r="I471" s="152"/>
    </row>
    <row r="472" spans="1:9" customFormat="1" ht="14.4" x14ac:dyDescent="0.3">
      <c r="B472" t="s">
        <v>2244</v>
      </c>
      <c r="C472" t="s">
        <v>1615</v>
      </c>
      <c r="D472" t="s">
        <v>2160</v>
      </c>
      <c r="E472" s="45">
        <v>30</v>
      </c>
      <c r="F472" t="s">
        <v>1441</v>
      </c>
      <c r="I472" s="152"/>
    </row>
    <row r="473" spans="1:9" customFormat="1" ht="14.4" x14ac:dyDescent="0.3">
      <c r="B473" t="s">
        <v>2244</v>
      </c>
      <c r="C473" t="s">
        <v>2249</v>
      </c>
      <c r="D473" t="s">
        <v>1185</v>
      </c>
      <c r="E473" s="45">
        <v>10000</v>
      </c>
      <c r="F473" t="s">
        <v>2143</v>
      </c>
      <c r="I473" s="152"/>
    </row>
    <row r="474" spans="1:9" customFormat="1" ht="14.4" x14ac:dyDescent="0.3">
      <c r="A474" s="166"/>
      <c r="B474" s="166" t="s">
        <v>2250</v>
      </c>
      <c r="C474" s="166" t="s">
        <v>1144</v>
      </c>
      <c r="D474" s="166" t="s">
        <v>126</v>
      </c>
      <c r="E474" s="167">
        <v>-600</v>
      </c>
      <c r="F474" s="166"/>
      <c r="G474" s="166"/>
      <c r="H474" s="166"/>
      <c r="I474" s="152"/>
    </row>
    <row r="475" spans="1:9" customFormat="1" ht="14.4" x14ac:dyDescent="0.3">
      <c r="B475" t="s">
        <v>2250</v>
      </c>
      <c r="C475" t="s">
        <v>942</v>
      </c>
      <c r="D475" t="s">
        <v>126</v>
      </c>
      <c r="E475" s="45">
        <v>-395</v>
      </c>
      <c r="F475" t="s">
        <v>39</v>
      </c>
      <c r="G475" t="s">
        <v>580</v>
      </c>
      <c r="H475" t="s">
        <v>592</v>
      </c>
      <c r="I475" s="152"/>
    </row>
    <row r="476" spans="1:9" customFormat="1" ht="14.4" x14ac:dyDescent="0.3">
      <c r="B476" t="s">
        <v>2250</v>
      </c>
      <c r="C476" t="s">
        <v>996</v>
      </c>
      <c r="D476" t="s">
        <v>126</v>
      </c>
      <c r="E476" s="45">
        <v>-395</v>
      </c>
      <c r="F476" t="s">
        <v>39</v>
      </c>
      <c r="G476" t="s">
        <v>580</v>
      </c>
      <c r="H476" t="s">
        <v>582</v>
      </c>
      <c r="I476" s="152"/>
    </row>
    <row r="477" spans="1:9" customFormat="1" ht="14.4" x14ac:dyDescent="0.3">
      <c r="B477" t="s">
        <v>2250</v>
      </c>
      <c r="C477" t="s">
        <v>996</v>
      </c>
      <c r="D477" t="s">
        <v>126</v>
      </c>
      <c r="E477" s="45">
        <v>-245</v>
      </c>
      <c r="F477" t="s">
        <v>39</v>
      </c>
      <c r="G477" t="s">
        <v>580</v>
      </c>
      <c r="H477" t="s">
        <v>582</v>
      </c>
      <c r="I477" s="152"/>
    </row>
    <row r="478" spans="1:9" customFormat="1" ht="14.4" x14ac:dyDescent="0.3">
      <c r="B478" t="s">
        <v>2250</v>
      </c>
      <c r="C478" t="s">
        <v>838</v>
      </c>
      <c r="D478" t="s">
        <v>101</v>
      </c>
      <c r="E478" s="45">
        <v>-91</v>
      </c>
      <c r="F478" t="s">
        <v>46</v>
      </c>
      <c r="G478" t="s">
        <v>586</v>
      </c>
      <c r="H478" t="s">
        <v>586</v>
      </c>
      <c r="I478" s="152"/>
    </row>
    <row r="479" spans="1:9" customFormat="1" ht="28.8" x14ac:dyDescent="0.3">
      <c r="B479" t="s">
        <v>2251</v>
      </c>
      <c r="C479" t="s">
        <v>144</v>
      </c>
      <c r="D479" t="s">
        <v>145</v>
      </c>
      <c r="E479" s="45">
        <v>825</v>
      </c>
      <c r="F479" s="166" t="s">
        <v>22</v>
      </c>
      <c r="G479" t="s">
        <v>580</v>
      </c>
      <c r="I479" s="231" t="s">
        <v>2262</v>
      </c>
    </row>
    <row r="480" spans="1:9" customFormat="1" ht="14.4" x14ac:dyDescent="0.3">
      <c r="B480" t="s">
        <v>2251</v>
      </c>
      <c r="C480" t="s">
        <v>2252</v>
      </c>
      <c r="D480" t="s">
        <v>126</v>
      </c>
      <c r="E480" s="45">
        <v>-3000</v>
      </c>
      <c r="F480" t="s">
        <v>489</v>
      </c>
      <c r="G480" t="s">
        <v>580</v>
      </c>
      <c r="H480" t="s">
        <v>438</v>
      </c>
      <c r="I480" s="152"/>
    </row>
    <row r="481" spans="2:9" customFormat="1" ht="14.4" x14ac:dyDescent="0.3">
      <c r="B481" t="s">
        <v>2253</v>
      </c>
      <c r="C481" t="s">
        <v>759</v>
      </c>
      <c r="D481" t="s">
        <v>101</v>
      </c>
      <c r="E481" s="45">
        <v>-36777</v>
      </c>
      <c r="F481" t="s">
        <v>759</v>
      </c>
      <c r="I481" s="152"/>
    </row>
    <row r="482" spans="2:9" customFormat="1" ht="14.4" x14ac:dyDescent="0.3">
      <c r="B482" t="s">
        <v>2151</v>
      </c>
      <c r="C482" t="s">
        <v>144</v>
      </c>
      <c r="D482" t="s">
        <v>145</v>
      </c>
      <c r="E482" s="45">
        <v>200</v>
      </c>
      <c r="F482" t="s">
        <v>22</v>
      </c>
      <c r="G482" t="s">
        <v>580</v>
      </c>
      <c r="I482" s="152"/>
    </row>
    <row r="483" spans="2:9" customFormat="1" ht="14.4" x14ac:dyDescent="0.3">
      <c r="B483" t="s">
        <v>2151</v>
      </c>
      <c r="C483" t="s">
        <v>2143</v>
      </c>
      <c r="D483" t="s">
        <v>101</v>
      </c>
      <c r="E483" s="45">
        <v>-15750</v>
      </c>
      <c r="F483" t="s">
        <v>2143</v>
      </c>
      <c r="G483" t="s">
        <v>107</v>
      </c>
      <c r="I483" s="152" t="s">
        <v>2261</v>
      </c>
    </row>
    <row r="484" spans="2:9" customFormat="1" ht="14.4" x14ac:dyDescent="0.3">
      <c r="B484" t="s">
        <v>2151</v>
      </c>
      <c r="C484" t="s">
        <v>2143</v>
      </c>
      <c r="D484" t="s">
        <v>126</v>
      </c>
      <c r="E484" s="45">
        <v>-4358</v>
      </c>
      <c r="F484" t="s">
        <v>2143</v>
      </c>
      <c r="G484" t="s">
        <v>107</v>
      </c>
      <c r="H484" t="s">
        <v>582</v>
      </c>
      <c r="I484" s="152"/>
    </row>
    <row r="485" spans="2:9" customFormat="1" ht="14.4" x14ac:dyDescent="0.3">
      <c r="B485" t="s">
        <v>2151</v>
      </c>
      <c r="C485" t="s">
        <v>2143</v>
      </c>
      <c r="D485" t="s">
        <v>126</v>
      </c>
      <c r="E485" s="45">
        <v>-3486</v>
      </c>
      <c r="F485" t="s">
        <v>2143</v>
      </c>
      <c r="G485" t="s">
        <v>107</v>
      </c>
      <c r="H485" t="s">
        <v>1757</v>
      </c>
      <c r="I485" s="152"/>
    </row>
    <row r="486" spans="2:9" customFormat="1" ht="14.4" x14ac:dyDescent="0.3">
      <c r="B486" t="s">
        <v>2151</v>
      </c>
      <c r="C486" t="s">
        <v>2143</v>
      </c>
      <c r="D486" t="s">
        <v>126</v>
      </c>
      <c r="E486" s="45">
        <v>-1453</v>
      </c>
      <c r="F486" t="s">
        <v>2143</v>
      </c>
      <c r="G486" t="s">
        <v>107</v>
      </c>
      <c r="H486" t="s">
        <v>438</v>
      </c>
      <c r="I486" s="152"/>
    </row>
    <row r="487" spans="2:9" customFormat="1" ht="14.4" x14ac:dyDescent="0.3">
      <c r="B487" t="s">
        <v>2151</v>
      </c>
      <c r="C487" t="s">
        <v>1148</v>
      </c>
      <c r="D487" t="s">
        <v>284</v>
      </c>
      <c r="E487" s="45">
        <v>340</v>
      </c>
      <c r="F487" t="s">
        <v>1441</v>
      </c>
      <c r="I487" s="152"/>
    </row>
    <row r="488" spans="2:9" customFormat="1" ht="14.4" x14ac:dyDescent="0.3">
      <c r="B488" t="s">
        <v>2151</v>
      </c>
      <c r="C488" t="s">
        <v>1615</v>
      </c>
      <c r="D488" t="s">
        <v>2254</v>
      </c>
      <c r="E488" s="45">
        <v>30</v>
      </c>
      <c r="F488" t="s">
        <v>1441</v>
      </c>
      <c r="I488" s="152"/>
    </row>
    <row r="489" spans="2:9" customFormat="1" ht="14.4" x14ac:dyDescent="0.3">
      <c r="B489" t="s">
        <v>2151</v>
      </c>
      <c r="C489" t="s">
        <v>1615</v>
      </c>
      <c r="D489" t="s">
        <v>2254</v>
      </c>
      <c r="E489" s="45">
        <v>60</v>
      </c>
      <c r="F489" t="s">
        <v>1441</v>
      </c>
      <c r="I489" s="152"/>
    </row>
    <row r="490" spans="2:9" customFormat="1" ht="14.4" x14ac:dyDescent="0.3">
      <c r="B490" t="s">
        <v>2151</v>
      </c>
      <c r="C490" t="s">
        <v>1615</v>
      </c>
      <c r="D490" t="s">
        <v>2255</v>
      </c>
      <c r="E490" s="45">
        <v>57</v>
      </c>
      <c r="F490" t="s">
        <v>1441</v>
      </c>
      <c r="I490" s="152"/>
    </row>
    <row r="491" spans="2:9" customFormat="1" ht="14.4" x14ac:dyDescent="0.3">
      <c r="B491" t="s">
        <v>2151</v>
      </c>
      <c r="C491" t="s">
        <v>1615</v>
      </c>
      <c r="D491" t="s">
        <v>2206</v>
      </c>
      <c r="E491" s="45">
        <v>60</v>
      </c>
      <c r="F491" t="s">
        <v>1441</v>
      </c>
      <c r="I491" s="152"/>
    </row>
    <row r="492" spans="2:9" customFormat="1" ht="14.4" x14ac:dyDescent="0.3">
      <c r="B492" t="s">
        <v>2151</v>
      </c>
      <c r="C492" t="s">
        <v>1615</v>
      </c>
      <c r="D492" t="s">
        <v>2256</v>
      </c>
      <c r="E492" s="45">
        <v>25</v>
      </c>
      <c r="F492" t="s">
        <v>1441</v>
      </c>
      <c r="I492" s="152"/>
    </row>
    <row r="493" spans="2:9" customFormat="1" ht="14.4" x14ac:dyDescent="0.3">
      <c r="B493" t="s">
        <v>2151</v>
      </c>
      <c r="C493" t="s">
        <v>1615</v>
      </c>
      <c r="D493" t="s">
        <v>1713</v>
      </c>
      <c r="E493" s="45">
        <v>15</v>
      </c>
      <c r="F493" t="s">
        <v>1441</v>
      </c>
      <c r="I493" s="152"/>
    </row>
    <row r="494" spans="2:9" customFormat="1" ht="14.4" x14ac:dyDescent="0.3">
      <c r="B494" t="s">
        <v>2151</v>
      </c>
      <c r="C494" t="s">
        <v>1615</v>
      </c>
      <c r="D494" t="s">
        <v>2257</v>
      </c>
      <c r="E494" s="45">
        <v>15</v>
      </c>
      <c r="F494" t="s">
        <v>1441</v>
      </c>
      <c r="I494" s="152"/>
    </row>
    <row r="495" spans="2:9" customFormat="1" ht="14.4" x14ac:dyDescent="0.3">
      <c r="B495" t="s">
        <v>2151</v>
      </c>
      <c r="C495" t="s">
        <v>1615</v>
      </c>
      <c r="D495" t="s">
        <v>2258</v>
      </c>
      <c r="E495" s="45">
        <v>15</v>
      </c>
      <c r="F495" t="s">
        <v>1441</v>
      </c>
      <c r="I495" s="152"/>
    </row>
    <row r="496" spans="2:9" customFormat="1" ht="14.4" x14ac:dyDescent="0.3">
      <c r="B496" t="s">
        <v>2151</v>
      </c>
      <c r="C496" t="s">
        <v>1615</v>
      </c>
      <c r="D496" t="s">
        <v>1713</v>
      </c>
      <c r="E496" s="45">
        <v>30</v>
      </c>
      <c r="F496" t="s">
        <v>1441</v>
      </c>
      <c r="I496" s="152"/>
    </row>
    <row r="497" spans="1:9" customFormat="1" ht="14.4" x14ac:dyDescent="0.3">
      <c r="B497" t="s">
        <v>2151</v>
      </c>
      <c r="C497" t="s">
        <v>1615</v>
      </c>
      <c r="D497" t="s">
        <v>1707</v>
      </c>
      <c r="E497" s="45">
        <v>55</v>
      </c>
      <c r="F497" t="s">
        <v>1441</v>
      </c>
      <c r="I497" s="152"/>
    </row>
    <row r="498" spans="1:9" customFormat="1" ht="14.4" x14ac:dyDescent="0.3">
      <c r="B498" t="s">
        <v>2151</v>
      </c>
      <c r="C498" t="s">
        <v>1615</v>
      </c>
      <c r="D498" t="s">
        <v>2256</v>
      </c>
      <c r="E498" s="45">
        <v>25</v>
      </c>
      <c r="F498" t="s">
        <v>1441</v>
      </c>
      <c r="I498" s="152"/>
    </row>
    <row r="499" spans="1:9" customFormat="1" ht="14.4" x14ac:dyDescent="0.3">
      <c r="B499" t="s">
        <v>2151</v>
      </c>
      <c r="C499" t="s">
        <v>1615</v>
      </c>
      <c r="D499" t="s">
        <v>2206</v>
      </c>
      <c r="E499" s="45">
        <v>25</v>
      </c>
      <c r="F499" t="s">
        <v>1441</v>
      </c>
      <c r="I499" s="152"/>
    </row>
    <row r="500" spans="1:9" customFormat="1" ht="14.4" x14ac:dyDescent="0.3">
      <c r="B500" t="s">
        <v>2151</v>
      </c>
      <c r="C500" t="s">
        <v>1615</v>
      </c>
      <c r="D500" t="s">
        <v>1996</v>
      </c>
      <c r="E500" s="45">
        <v>15</v>
      </c>
      <c r="F500" t="s">
        <v>1441</v>
      </c>
      <c r="I500" s="152"/>
    </row>
    <row r="501" spans="1:9" customFormat="1" ht="14.4" x14ac:dyDescent="0.3">
      <c r="B501" t="s">
        <v>2151</v>
      </c>
      <c r="C501" t="s">
        <v>1615</v>
      </c>
      <c r="D501" t="s">
        <v>2259</v>
      </c>
      <c r="E501" s="45">
        <v>45</v>
      </c>
      <c r="F501" t="s">
        <v>1441</v>
      </c>
      <c r="I501" s="152"/>
    </row>
    <row r="502" spans="1:9" customFormat="1" ht="14.4" x14ac:dyDescent="0.3">
      <c r="B502" t="s">
        <v>2151</v>
      </c>
      <c r="C502" t="s">
        <v>1615</v>
      </c>
      <c r="D502" t="s">
        <v>2260</v>
      </c>
      <c r="E502" s="45">
        <v>80</v>
      </c>
      <c r="F502" t="s">
        <v>1441</v>
      </c>
      <c r="I502" s="152"/>
    </row>
    <row r="503" spans="1:9" customFormat="1" ht="14.4" x14ac:dyDescent="0.3">
      <c r="B503" t="s">
        <v>2151</v>
      </c>
      <c r="C503" t="s">
        <v>1615</v>
      </c>
      <c r="D503" t="s">
        <v>2181</v>
      </c>
      <c r="E503" s="45">
        <v>40</v>
      </c>
      <c r="F503" t="s">
        <v>1441</v>
      </c>
      <c r="I503" s="152"/>
    </row>
    <row r="504" spans="1:9" customFormat="1" ht="14.4" x14ac:dyDescent="0.3">
      <c r="B504" t="s">
        <v>2151</v>
      </c>
      <c r="C504" t="s">
        <v>1615</v>
      </c>
      <c r="D504" t="s">
        <v>2259</v>
      </c>
      <c r="E504" s="45">
        <v>10</v>
      </c>
      <c r="F504" t="s">
        <v>1441</v>
      </c>
      <c r="I504" s="152"/>
    </row>
    <row r="505" spans="1:9" customFormat="1" ht="15" thickBot="1" x14ac:dyDescent="0.35">
      <c r="A505" s="54"/>
      <c r="B505" s="54" t="s">
        <v>2151</v>
      </c>
      <c r="C505" s="54" t="s">
        <v>1615</v>
      </c>
      <c r="D505" s="54" t="s">
        <v>2181</v>
      </c>
      <c r="E505" s="153">
        <v>37</v>
      </c>
      <c r="F505" s="54" t="s">
        <v>1441</v>
      </c>
      <c r="G505" s="54"/>
      <c r="H505" s="54"/>
      <c r="I505" s="152"/>
    </row>
    <row r="506" spans="1:9" customFormat="1" ht="14.4" x14ac:dyDescent="0.3">
      <c r="B506" t="s">
        <v>2151</v>
      </c>
      <c r="C506" t="s">
        <v>2143</v>
      </c>
      <c r="D506" t="s">
        <v>126</v>
      </c>
      <c r="E506" s="45">
        <v>-1743</v>
      </c>
      <c r="F506" t="s">
        <v>2143</v>
      </c>
      <c r="H506" t="s">
        <v>593</v>
      </c>
      <c r="I506" s="152"/>
    </row>
    <row r="507" spans="1:9" customFormat="1" ht="14.4" x14ac:dyDescent="0.3">
      <c r="B507" t="s">
        <v>2151</v>
      </c>
      <c r="C507" t="s">
        <v>2143</v>
      </c>
      <c r="D507" t="s">
        <v>126</v>
      </c>
      <c r="E507" s="45">
        <v>-1743</v>
      </c>
      <c r="F507" t="s">
        <v>2143</v>
      </c>
      <c r="H507" t="s">
        <v>342</v>
      </c>
      <c r="I507" s="152"/>
    </row>
    <row r="508" spans="1:9" customFormat="1" ht="14.4" x14ac:dyDescent="0.3">
      <c r="B508" t="s">
        <v>2151</v>
      </c>
      <c r="C508" t="s">
        <v>759</v>
      </c>
      <c r="D508" t="s">
        <v>126</v>
      </c>
      <c r="E508" s="45">
        <v>-800</v>
      </c>
      <c r="F508" t="s">
        <v>759</v>
      </c>
      <c r="I508" s="152"/>
    </row>
    <row r="509" spans="1:9" customFormat="1" ht="14.4" x14ac:dyDescent="0.3">
      <c r="B509" t="s">
        <v>2151</v>
      </c>
      <c r="C509" t="s">
        <v>995</v>
      </c>
      <c r="D509" t="s">
        <v>126</v>
      </c>
      <c r="E509" s="45">
        <v>-873</v>
      </c>
      <c r="F509" t="s">
        <v>39</v>
      </c>
      <c r="G509" t="s">
        <v>586</v>
      </c>
      <c r="H509" t="s">
        <v>586</v>
      </c>
      <c r="I509" s="152"/>
    </row>
    <row r="510" spans="1:9" customFormat="1" ht="14.4" x14ac:dyDescent="0.3">
      <c r="B510" t="s">
        <v>2151</v>
      </c>
      <c r="C510" t="s">
        <v>998</v>
      </c>
      <c r="D510" t="s">
        <v>126</v>
      </c>
      <c r="E510" s="45">
        <v>-612</v>
      </c>
      <c r="F510" t="s">
        <v>39</v>
      </c>
      <c r="G510" t="s">
        <v>580</v>
      </c>
      <c r="H510" t="s">
        <v>438</v>
      </c>
      <c r="I510" s="152"/>
    </row>
    <row r="511" spans="1:9" customFormat="1" ht="14.4" x14ac:dyDescent="0.3">
      <c r="B511" t="s">
        <v>2151</v>
      </c>
      <c r="C511" t="s">
        <v>1615</v>
      </c>
      <c r="D511" t="s">
        <v>2152</v>
      </c>
      <c r="E511" s="45">
        <v>30</v>
      </c>
      <c r="F511" t="s">
        <v>1441</v>
      </c>
      <c r="I511" s="152"/>
    </row>
    <row r="512" spans="1:9" customFormat="1" ht="14.4" x14ac:dyDescent="0.3">
      <c r="B512" t="s">
        <v>2151</v>
      </c>
      <c r="C512" t="s">
        <v>1615</v>
      </c>
      <c r="D512" t="s">
        <v>2153</v>
      </c>
      <c r="E512" s="45">
        <v>30</v>
      </c>
      <c r="F512" t="s">
        <v>1441</v>
      </c>
      <c r="I512" s="152"/>
    </row>
    <row r="513" spans="2:9" customFormat="1" ht="14.4" x14ac:dyDescent="0.3">
      <c r="B513" t="s">
        <v>2151</v>
      </c>
      <c r="C513" t="s">
        <v>1615</v>
      </c>
      <c r="D513" t="s">
        <v>2154</v>
      </c>
      <c r="E513" s="45">
        <v>20</v>
      </c>
      <c r="F513" t="s">
        <v>1441</v>
      </c>
      <c r="I513" s="152"/>
    </row>
    <row r="514" spans="2:9" customFormat="1" ht="14.4" x14ac:dyDescent="0.3">
      <c r="B514" t="s">
        <v>2151</v>
      </c>
      <c r="C514" t="s">
        <v>1615</v>
      </c>
      <c r="D514" t="s">
        <v>2155</v>
      </c>
      <c r="E514" s="45">
        <v>10</v>
      </c>
      <c r="F514" t="s">
        <v>1441</v>
      </c>
      <c r="I514" s="152"/>
    </row>
    <row r="515" spans="2:9" customFormat="1" ht="14.4" x14ac:dyDescent="0.3">
      <c r="B515" t="s">
        <v>2151</v>
      </c>
      <c r="C515" t="s">
        <v>1615</v>
      </c>
      <c r="D515" t="s">
        <v>1816</v>
      </c>
      <c r="E515" s="45">
        <v>10</v>
      </c>
      <c r="F515" t="s">
        <v>1441</v>
      </c>
      <c r="I515" s="152"/>
    </row>
    <row r="516" spans="2:9" customFormat="1" ht="14.4" x14ac:dyDescent="0.3">
      <c r="B516" t="s">
        <v>2151</v>
      </c>
      <c r="C516" t="s">
        <v>1615</v>
      </c>
      <c r="D516" t="s">
        <v>2156</v>
      </c>
      <c r="E516" s="45">
        <v>32</v>
      </c>
      <c r="F516" t="s">
        <v>1441</v>
      </c>
      <c r="I516" s="152"/>
    </row>
    <row r="517" spans="2:9" customFormat="1" ht="14.4" x14ac:dyDescent="0.3">
      <c r="B517" t="s">
        <v>2151</v>
      </c>
      <c r="C517" t="s">
        <v>1615</v>
      </c>
      <c r="D517" t="s">
        <v>2157</v>
      </c>
      <c r="E517" s="45">
        <v>15</v>
      </c>
      <c r="F517" t="s">
        <v>1441</v>
      </c>
      <c r="I517" s="152"/>
    </row>
    <row r="518" spans="2:9" customFormat="1" ht="14.4" x14ac:dyDescent="0.3">
      <c r="B518" t="s">
        <v>2151</v>
      </c>
      <c r="C518" t="s">
        <v>1615</v>
      </c>
      <c r="D518" t="s">
        <v>2157</v>
      </c>
      <c r="E518" s="45">
        <v>40</v>
      </c>
      <c r="F518" t="s">
        <v>1441</v>
      </c>
      <c r="I518" s="152"/>
    </row>
    <row r="519" spans="2:9" customFormat="1" ht="14.4" x14ac:dyDescent="0.3">
      <c r="B519" t="s">
        <v>2151</v>
      </c>
      <c r="C519" t="s">
        <v>1615</v>
      </c>
      <c r="D519" t="s">
        <v>2158</v>
      </c>
      <c r="E519" s="45">
        <v>20</v>
      </c>
      <c r="F519" t="s">
        <v>1441</v>
      </c>
      <c r="I519" s="152"/>
    </row>
    <row r="520" spans="2:9" customFormat="1" ht="14.4" x14ac:dyDescent="0.3">
      <c r="B520" t="s">
        <v>2151</v>
      </c>
      <c r="C520" t="s">
        <v>1615</v>
      </c>
      <c r="D520" t="s">
        <v>2159</v>
      </c>
      <c r="E520" s="45">
        <v>38</v>
      </c>
      <c r="F520" t="s">
        <v>1441</v>
      </c>
      <c r="I520" s="152"/>
    </row>
    <row r="521" spans="2:9" customFormat="1" ht="14.4" x14ac:dyDescent="0.3">
      <c r="B521" t="s">
        <v>2151</v>
      </c>
      <c r="C521" t="s">
        <v>1615</v>
      </c>
      <c r="D521" t="s">
        <v>2160</v>
      </c>
      <c r="E521" s="45">
        <v>30</v>
      </c>
      <c r="F521" t="s">
        <v>1441</v>
      </c>
      <c r="I521" s="152"/>
    </row>
    <row r="522" spans="2:9" customFormat="1" ht="14.4" x14ac:dyDescent="0.3">
      <c r="B522" t="s">
        <v>2151</v>
      </c>
      <c r="C522" t="s">
        <v>1615</v>
      </c>
      <c r="D522" t="s">
        <v>2161</v>
      </c>
      <c r="E522" s="45">
        <v>20</v>
      </c>
      <c r="F522" t="s">
        <v>1441</v>
      </c>
      <c r="I522" s="152"/>
    </row>
    <row r="523" spans="2:9" customFormat="1" ht="14.4" x14ac:dyDescent="0.3">
      <c r="B523" t="s">
        <v>2162</v>
      </c>
      <c r="C523" t="s">
        <v>144</v>
      </c>
      <c r="D523" t="s">
        <v>145</v>
      </c>
      <c r="E523" s="45">
        <v>400</v>
      </c>
      <c r="F523" t="s">
        <v>22</v>
      </c>
      <c r="I523" s="152"/>
    </row>
    <row r="524" spans="2:9" customFormat="1" ht="14.4" x14ac:dyDescent="0.3">
      <c r="B524" t="s">
        <v>2163</v>
      </c>
      <c r="C524" t="s">
        <v>998</v>
      </c>
      <c r="D524" t="s">
        <v>126</v>
      </c>
      <c r="E524" s="45">
        <v>-575</v>
      </c>
      <c r="F524" t="s">
        <v>39</v>
      </c>
      <c r="G524" t="s">
        <v>580</v>
      </c>
      <c r="H524" t="s">
        <v>438</v>
      </c>
      <c r="I524" s="152"/>
    </row>
    <row r="525" spans="2:9" customFormat="1" ht="14.4" x14ac:dyDescent="0.3">
      <c r="B525" t="s">
        <v>2163</v>
      </c>
      <c r="C525" t="s">
        <v>1615</v>
      </c>
      <c r="D525" t="s">
        <v>1695</v>
      </c>
      <c r="E525" s="45">
        <v>10</v>
      </c>
      <c r="F525" t="s">
        <v>1441</v>
      </c>
      <c r="I525" s="152"/>
    </row>
    <row r="526" spans="2:9" customFormat="1" ht="14.4" x14ac:dyDescent="0.3">
      <c r="B526" t="s">
        <v>2163</v>
      </c>
      <c r="C526" t="s">
        <v>1615</v>
      </c>
      <c r="D526" t="s">
        <v>1737</v>
      </c>
      <c r="E526" s="45">
        <v>10</v>
      </c>
      <c r="F526" t="s">
        <v>1441</v>
      </c>
      <c r="I526" s="152"/>
    </row>
    <row r="527" spans="2:9" customFormat="1" ht="14.4" x14ac:dyDescent="0.3">
      <c r="B527" t="s">
        <v>2163</v>
      </c>
      <c r="C527" t="s">
        <v>1615</v>
      </c>
      <c r="D527" t="s">
        <v>1653</v>
      </c>
      <c r="E527" s="45">
        <v>30</v>
      </c>
      <c r="F527" t="s">
        <v>1441</v>
      </c>
      <c r="I527" s="152"/>
    </row>
    <row r="528" spans="2:9" customFormat="1" ht="14.4" x14ac:dyDescent="0.3">
      <c r="B528" t="s">
        <v>2163</v>
      </c>
      <c r="C528" t="s">
        <v>1615</v>
      </c>
      <c r="D528" t="s">
        <v>2164</v>
      </c>
      <c r="E528" s="45">
        <v>50</v>
      </c>
      <c r="F528" t="s">
        <v>1441</v>
      </c>
      <c r="I528" s="152"/>
    </row>
    <row r="529" spans="1:9" customFormat="1" ht="14.4" x14ac:dyDescent="0.3">
      <c r="B529" t="s">
        <v>2165</v>
      </c>
      <c r="C529" t="s">
        <v>2166</v>
      </c>
      <c r="D529" t="s">
        <v>126</v>
      </c>
      <c r="E529" s="45">
        <v>-400</v>
      </c>
      <c r="I529" s="152"/>
    </row>
    <row r="530" spans="1:9" customFormat="1" ht="14.4" x14ac:dyDescent="0.3">
      <c r="A530" s="166"/>
      <c r="B530" s="166" t="s">
        <v>2165</v>
      </c>
      <c r="C530" s="166" t="s">
        <v>1144</v>
      </c>
      <c r="D530" s="166" t="s">
        <v>126</v>
      </c>
      <c r="E530" s="167">
        <v>-600</v>
      </c>
      <c r="F530" s="166"/>
      <c r="G530" s="166"/>
      <c r="H530" s="166"/>
      <c r="I530" s="152"/>
    </row>
    <row r="531" spans="1:9" customFormat="1" ht="28.8" x14ac:dyDescent="0.3">
      <c r="B531" t="s">
        <v>2167</v>
      </c>
      <c r="C531" t="s">
        <v>144</v>
      </c>
      <c r="D531" t="s">
        <v>145</v>
      </c>
      <c r="E531" s="45">
        <v>1000</v>
      </c>
      <c r="I531" s="231" t="s">
        <v>2171</v>
      </c>
    </row>
    <row r="532" spans="1:9" customFormat="1" ht="14.4" x14ac:dyDescent="0.3">
      <c r="A532" s="166"/>
      <c r="B532" s="166" t="s">
        <v>2168</v>
      </c>
      <c r="C532" s="166" t="s">
        <v>1144</v>
      </c>
      <c r="D532" s="166" t="s">
        <v>126</v>
      </c>
      <c r="E532" s="167">
        <v>-1200</v>
      </c>
      <c r="F532" s="166"/>
      <c r="G532" s="166"/>
      <c r="H532" s="166"/>
      <c r="I532" s="152"/>
    </row>
    <row r="533" spans="1:9" customFormat="1" ht="14.4" x14ac:dyDescent="0.3">
      <c r="A533" s="166"/>
      <c r="B533" s="166" t="s">
        <v>2169</v>
      </c>
      <c r="C533" s="166" t="s">
        <v>144</v>
      </c>
      <c r="D533" s="166" t="s">
        <v>145</v>
      </c>
      <c r="E533" s="167">
        <v>1200</v>
      </c>
      <c r="F533" s="166"/>
      <c r="G533" s="166"/>
      <c r="H533" s="166"/>
      <c r="I533" s="152"/>
    </row>
    <row r="534" spans="1:9" customFormat="1" ht="14.4" x14ac:dyDescent="0.3">
      <c r="B534" t="s">
        <v>2169</v>
      </c>
      <c r="C534" t="s">
        <v>1436</v>
      </c>
      <c r="D534" t="s">
        <v>1185</v>
      </c>
      <c r="E534" s="45">
        <v>8260</v>
      </c>
      <c r="F534" t="s">
        <v>1441</v>
      </c>
      <c r="I534" s="152"/>
    </row>
    <row r="535" spans="1:9" customFormat="1" ht="14.4" x14ac:dyDescent="0.3">
      <c r="B535" t="s">
        <v>2170</v>
      </c>
      <c r="C535" t="s">
        <v>928</v>
      </c>
      <c r="D535" t="s">
        <v>126</v>
      </c>
      <c r="E535" s="45">
        <v>-395</v>
      </c>
      <c r="F535" t="s">
        <v>39</v>
      </c>
      <c r="G535" t="s">
        <v>580</v>
      </c>
      <c r="H535" t="s">
        <v>594</v>
      </c>
      <c r="I535" s="152"/>
    </row>
    <row r="536" spans="1:9" customFormat="1" ht="14.4" x14ac:dyDescent="0.3">
      <c r="A536" s="215"/>
      <c r="B536" s="215" t="s">
        <v>2170</v>
      </c>
      <c r="C536" s="215" t="s">
        <v>759</v>
      </c>
      <c r="D536" s="215" t="s">
        <v>126</v>
      </c>
      <c r="E536" s="216">
        <v>-800</v>
      </c>
      <c r="F536" s="215" t="s">
        <v>759</v>
      </c>
      <c r="G536" s="215"/>
      <c r="H536" s="215"/>
      <c r="I536" s="152"/>
    </row>
    <row r="537" spans="1:9" customFormat="1" ht="14.4" x14ac:dyDescent="0.3">
      <c r="B537" t="s">
        <v>1865</v>
      </c>
      <c r="C537" t="s">
        <v>1439</v>
      </c>
      <c r="D537" t="s">
        <v>101</v>
      </c>
      <c r="E537" s="45">
        <v>-356</v>
      </c>
      <c r="F537" t="s">
        <v>46</v>
      </c>
      <c r="G537" t="s">
        <v>580</v>
      </c>
      <c r="H537" t="s">
        <v>593</v>
      </c>
      <c r="I537" s="152"/>
    </row>
    <row r="538" spans="1:9" customFormat="1" ht="14.4" x14ac:dyDescent="0.3">
      <c r="B538" t="s">
        <v>1865</v>
      </c>
      <c r="C538" t="s">
        <v>1416</v>
      </c>
      <c r="D538" t="s">
        <v>101</v>
      </c>
      <c r="E538" s="45">
        <v>-905</v>
      </c>
      <c r="F538" t="s">
        <v>46</v>
      </c>
      <c r="G538" t="s">
        <v>580</v>
      </c>
      <c r="H538" t="s">
        <v>582</v>
      </c>
      <c r="I538" s="152"/>
    </row>
    <row r="539" spans="1:9" customFormat="1" ht="14.4" x14ac:dyDescent="0.3">
      <c r="B539" t="s">
        <v>1866</v>
      </c>
      <c r="C539" t="s">
        <v>1615</v>
      </c>
      <c r="D539" t="s">
        <v>1867</v>
      </c>
      <c r="E539" s="45">
        <v>50</v>
      </c>
      <c r="F539" t="s">
        <v>2143</v>
      </c>
      <c r="I539" s="152"/>
    </row>
    <row r="540" spans="1:9" customFormat="1" ht="14.4" x14ac:dyDescent="0.3">
      <c r="B540" t="s">
        <v>1866</v>
      </c>
      <c r="C540" t="s">
        <v>1615</v>
      </c>
      <c r="D540" t="s">
        <v>1868</v>
      </c>
      <c r="E540" s="45">
        <v>50</v>
      </c>
      <c r="F540" t="s">
        <v>2143</v>
      </c>
      <c r="I540" s="152"/>
    </row>
    <row r="541" spans="1:9" customFormat="1" ht="14.4" x14ac:dyDescent="0.3">
      <c r="B541" t="s">
        <v>1866</v>
      </c>
      <c r="C541" t="s">
        <v>1615</v>
      </c>
      <c r="D541" t="s">
        <v>1869</v>
      </c>
      <c r="E541" s="45">
        <v>50</v>
      </c>
      <c r="F541" t="s">
        <v>2143</v>
      </c>
      <c r="I541" s="152"/>
    </row>
    <row r="542" spans="1:9" customFormat="1" ht="14.4" x14ac:dyDescent="0.3">
      <c r="B542" t="s">
        <v>1866</v>
      </c>
      <c r="C542" t="s">
        <v>1615</v>
      </c>
      <c r="D542" t="s">
        <v>1870</v>
      </c>
      <c r="E542" s="45">
        <v>50</v>
      </c>
      <c r="F542" t="s">
        <v>2143</v>
      </c>
      <c r="I542" s="152"/>
    </row>
    <row r="543" spans="1:9" customFormat="1" ht="14.4" x14ac:dyDescent="0.3">
      <c r="B543" t="s">
        <v>1866</v>
      </c>
      <c r="C543" t="s">
        <v>1615</v>
      </c>
      <c r="D543" t="s">
        <v>1871</v>
      </c>
      <c r="E543" s="45">
        <v>50</v>
      </c>
      <c r="F543" t="s">
        <v>2143</v>
      </c>
      <c r="I543" s="152"/>
    </row>
    <row r="544" spans="1:9" customFormat="1" ht="14.4" x14ac:dyDescent="0.3">
      <c r="B544" t="s">
        <v>1866</v>
      </c>
      <c r="C544" t="s">
        <v>1615</v>
      </c>
      <c r="D544" t="s">
        <v>1872</v>
      </c>
      <c r="E544" s="45">
        <v>50</v>
      </c>
      <c r="F544" t="s">
        <v>2143</v>
      </c>
      <c r="I544" s="152"/>
    </row>
    <row r="545" spans="2:9" customFormat="1" ht="14.4" x14ac:dyDescent="0.3">
      <c r="B545" t="s">
        <v>1866</v>
      </c>
      <c r="C545" t="s">
        <v>1615</v>
      </c>
      <c r="D545" t="s">
        <v>1873</v>
      </c>
      <c r="E545" s="45">
        <v>50</v>
      </c>
      <c r="F545" t="s">
        <v>2143</v>
      </c>
      <c r="I545" s="152"/>
    </row>
    <row r="546" spans="2:9" customFormat="1" ht="14.4" x14ac:dyDescent="0.3">
      <c r="B546" t="s">
        <v>1866</v>
      </c>
      <c r="C546" t="s">
        <v>1615</v>
      </c>
      <c r="D546" t="s">
        <v>1874</v>
      </c>
      <c r="E546" s="45">
        <v>50</v>
      </c>
      <c r="F546" t="s">
        <v>2143</v>
      </c>
      <c r="I546" s="152"/>
    </row>
    <row r="547" spans="2:9" customFormat="1" ht="14.4" x14ac:dyDescent="0.3">
      <c r="B547" t="s">
        <v>1866</v>
      </c>
      <c r="C547" t="s">
        <v>1615</v>
      </c>
      <c r="D547" t="s">
        <v>1875</v>
      </c>
      <c r="E547" s="45">
        <v>50</v>
      </c>
      <c r="F547" t="s">
        <v>2143</v>
      </c>
      <c r="I547" s="152"/>
    </row>
    <row r="548" spans="2:9" customFormat="1" ht="14.4" x14ac:dyDescent="0.3">
      <c r="B548" t="s">
        <v>1866</v>
      </c>
      <c r="C548" t="s">
        <v>1615</v>
      </c>
      <c r="D548" t="s">
        <v>1876</v>
      </c>
      <c r="E548" s="45">
        <v>50</v>
      </c>
      <c r="F548" t="s">
        <v>2143</v>
      </c>
      <c r="I548" s="152"/>
    </row>
    <row r="549" spans="2:9" customFormat="1" ht="14.4" x14ac:dyDescent="0.3">
      <c r="B549" t="s">
        <v>1866</v>
      </c>
      <c r="C549" t="s">
        <v>1615</v>
      </c>
      <c r="D549" t="s">
        <v>1877</v>
      </c>
      <c r="E549" s="45">
        <v>50</v>
      </c>
      <c r="F549" t="s">
        <v>2143</v>
      </c>
      <c r="I549" s="152"/>
    </row>
    <row r="550" spans="2:9" customFormat="1" ht="14.4" x14ac:dyDescent="0.3">
      <c r="B550" t="s">
        <v>1866</v>
      </c>
      <c r="C550" t="s">
        <v>1615</v>
      </c>
      <c r="D550" t="s">
        <v>1878</v>
      </c>
      <c r="E550" s="45">
        <v>50</v>
      </c>
      <c r="F550" t="s">
        <v>2143</v>
      </c>
      <c r="I550" s="152"/>
    </row>
    <row r="551" spans="2:9" customFormat="1" ht="14.4" x14ac:dyDescent="0.3">
      <c r="B551" t="s">
        <v>1866</v>
      </c>
      <c r="C551" t="s">
        <v>1615</v>
      </c>
      <c r="D551" t="s">
        <v>1879</v>
      </c>
      <c r="E551" s="45">
        <v>50</v>
      </c>
      <c r="F551" t="s">
        <v>2143</v>
      </c>
      <c r="I551" s="152"/>
    </row>
    <row r="552" spans="2:9" customFormat="1" ht="14.4" x14ac:dyDescent="0.3">
      <c r="B552" t="s">
        <v>1866</v>
      </c>
      <c r="C552" t="s">
        <v>1615</v>
      </c>
      <c r="D552" t="s">
        <v>1880</v>
      </c>
      <c r="E552" s="45">
        <v>50</v>
      </c>
      <c r="F552" t="s">
        <v>2143</v>
      </c>
      <c r="I552" s="152"/>
    </row>
    <row r="553" spans="2:9" customFormat="1" ht="14.4" x14ac:dyDescent="0.3">
      <c r="B553" t="s">
        <v>1866</v>
      </c>
      <c r="C553" t="s">
        <v>1615</v>
      </c>
      <c r="D553" t="s">
        <v>1881</v>
      </c>
      <c r="E553" s="45">
        <v>50</v>
      </c>
      <c r="F553" t="s">
        <v>2143</v>
      </c>
      <c r="I553" s="152"/>
    </row>
    <row r="554" spans="2:9" customFormat="1" ht="14.4" x14ac:dyDescent="0.3">
      <c r="B554" t="s">
        <v>1866</v>
      </c>
      <c r="C554" t="s">
        <v>1615</v>
      </c>
      <c r="D554" t="s">
        <v>1882</v>
      </c>
      <c r="E554" s="45">
        <v>50</v>
      </c>
      <c r="F554" t="s">
        <v>2143</v>
      </c>
      <c r="I554" s="152"/>
    </row>
    <row r="555" spans="2:9" customFormat="1" ht="14.4" x14ac:dyDescent="0.3">
      <c r="B555" t="s">
        <v>1866</v>
      </c>
      <c r="C555" t="s">
        <v>1615</v>
      </c>
      <c r="D555" t="s">
        <v>1883</v>
      </c>
      <c r="E555" s="45">
        <v>50</v>
      </c>
      <c r="F555" t="s">
        <v>2143</v>
      </c>
      <c r="I555" s="152"/>
    </row>
    <row r="556" spans="2:9" customFormat="1" ht="14.4" x14ac:dyDescent="0.3">
      <c r="B556" t="s">
        <v>1866</v>
      </c>
      <c r="C556" t="s">
        <v>1615</v>
      </c>
      <c r="D556" t="s">
        <v>1884</v>
      </c>
      <c r="E556" s="45">
        <v>50</v>
      </c>
      <c r="F556" t="s">
        <v>2143</v>
      </c>
      <c r="I556" s="152"/>
    </row>
    <row r="557" spans="2:9" customFormat="1" ht="14.4" x14ac:dyDescent="0.3">
      <c r="B557" t="s">
        <v>1866</v>
      </c>
      <c r="C557" t="s">
        <v>1615</v>
      </c>
      <c r="D557" t="s">
        <v>1885</v>
      </c>
      <c r="E557" s="45">
        <v>50</v>
      </c>
      <c r="F557" t="s">
        <v>2143</v>
      </c>
      <c r="I557" s="152"/>
    </row>
    <row r="558" spans="2:9" customFormat="1" ht="14.4" x14ac:dyDescent="0.3">
      <c r="B558" t="s">
        <v>1866</v>
      </c>
      <c r="C558" t="s">
        <v>1615</v>
      </c>
      <c r="D558" t="s">
        <v>1886</v>
      </c>
      <c r="E558" s="45">
        <v>50</v>
      </c>
      <c r="F558" t="s">
        <v>2143</v>
      </c>
      <c r="I558" s="152"/>
    </row>
    <row r="559" spans="2:9" customFormat="1" ht="14.4" x14ac:dyDescent="0.3">
      <c r="B559" t="s">
        <v>1866</v>
      </c>
      <c r="C559" t="s">
        <v>1615</v>
      </c>
      <c r="D559" t="s">
        <v>1887</v>
      </c>
      <c r="E559" s="45">
        <v>50</v>
      </c>
      <c r="F559" t="s">
        <v>2143</v>
      </c>
      <c r="I559" s="152"/>
    </row>
    <row r="560" spans="2:9" customFormat="1" ht="14.4" x14ac:dyDescent="0.3">
      <c r="B560" t="s">
        <v>1866</v>
      </c>
      <c r="C560" t="s">
        <v>1615</v>
      </c>
      <c r="D560" t="s">
        <v>1888</v>
      </c>
      <c r="E560" s="45">
        <v>50</v>
      </c>
      <c r="F560" t="s">
        <v>2143</v>
      </c>
      <c r="I560" s="152"/>
    </row>
    <row r="561" spans="2:9" customFormat="1" ht="14.4" x14ac:dyDescent="0.3">
      <c r="B561" t="s">
        <v>1866</v>
      </c>
      <c r="C561" t="s">
        <v>1615</v>
      </c>
      <c r="D561" t="s">
        <v>1889</v>
      </c>
      <c r="E561" s="45">
        <v>50</v>
      </c>
      <c r="F561" t="s">
        <v>2143</v>
      </c>
      <c r="I561" s="152"/>
    </row>
    <row r="562" spans="2:9" customFormat="1" ht="14.4" x14ac:dyDescent="0.3">
      <c r="B562" t="s">
        <v>1890</v>
      </c>
      <c r="C562" t="s">
        <v>759</v>
      </c>
      <c r="D562" t="s">
        <v>126</v>
      </c>
      <c r="E562" s="45">
        <v>-800</v>
      </c>
      <c r="F562" t="s">
        <v>759</v>
      </c>
      <c r="I562" s="152"/>
    </row>
    <row r="563" spans="2:9" customFormat="1" ht="14.4" x14ac:dyDescent="0.3">
      <c r="B563" t="s">
        <v>1890</v>
      </c>
      <c r="C563" t="s">
        <v>1615</v>
      </c>
      <c r="D563" t="s">
        <v>1891</v>
      </c>
      <c r="E563" s="45">
        <v>50</v>
      </c>
      <c r="F563" t="s">
        <v>2143</v>
      </c>
      <c r="I563" s="152"/>
    </row>
    <row r="564" spans="2:9" customFormat="1" ht="14.4" x14ac:dyDescent="0.3">
      <c r="B564" t="s">
        <v>1890</v>
      </c>
      <c r="C564" t="s">
        <v>1615</v>
      </c>
      <c r="D564" t="s">
        <v>1892</v>
      </c>
      <c r="E564" s="45">
        <v>50</v>
      </c>
      <c r="F564" t="s">
        <v>2143</v>
      </c>
      <c r="I564" s="152"/>
    </row>
    <row r="565" spans="2:9" customFormat="1" ht="14.4" x14ac:dyDescent="0.3">
      <c r="B565" t="s">
        <v>1890</v>
      </c>
      <c r="C565" t="s">
        <v>1615</v>
      </c>
      <c r="D565" t="s">
        <v>1893</v>
      </c>
      <c r="E565" s="45">
        <v>50</v>
      </c>
      <c r="F565" t="s">
        <v>2143</v>
      </c>
      <c r="I565" s="152"/>
    </row>
    <row r="566" spans="2:9" customFormat="1" ht="14.4" x14ac:dyDescent="0.3">
      <c r="B566" t="s">
        <v>1890</v>
      </c>
      <c r="C566" t="s">
        <v>1615</v>
      </c>
      <c r="D566" t="s">
        <v>1894</v>
      </c>
      <c r="E566" s="45">
        <v>50</v>
      </c>
      <c r="F566" t="s">
        <v>2143</v>
      </c>
      <c r="I566" s="152"/>
    </row>
    <row r="567" spans="2:9" customFormat="1" ht="14.4" x14ac:dyDescent="0.3">
      <c r="B567" t="s">
        <v>1890</v>
      </c>
      <c r="C567" t="s">
        <v>1615</v>
      </c>
      <c r="D567" t="s">
        <v>1895</v>
      </c>
      <c r="E567" s="45">
        <v>50</v>
      </c>
      <c r="F567" t="s">
        <v>2143</v>
      </c>
      <c r="I567" s="152"/>
    </row>
    <row r="568" spans="2:9" customFormat="1" ht="14.4" x14ac:dyDescent="0.3">
      <c r="B568" t="s">
        <v>1890</v>
      </c>
      <c r="C568" t="s">
        <v>1615</v>
      </c>
      <c r="D568" t="s">
        <v>1896</v>
      </c>
      <c r="E568" s="45">
        <v>50</v>
      </c>
      <c r="F568" t="s">
        <v>2143</v>
      </c>
      <c r="I568" s="152"/>
    </row>
    <row r="569" spans="2:9" customFormat="1" ht="14.4" x14ac:dyDescent="0.3">
      <c r="B569" t="s">
        <v>1890</v>
      </c>
      <c r="C569" t="s">
        <v>1615</v>
      </c>
      <c r="D569" t="s">
        <v>1897</v>
      </c>
      <c r="E569" s="45">
        <v>50</v>
      </c>
      <c r="F569" t="s">
        <v>2143</v>
      </c>
      <c r="I569" s="152"/>
    </row>
    <row r="570" spans="2:9" customFormat="1" ht="14.4" x14ac:dyDescent="0.3">
      <c r="B570" t="s">
        <v>1890</v>
      </c>
      <c r="C570" t="s">
        <v>1615</v>
      </c>
      <c r="D570" t="s">
        <v>1898</v>
      </c>
      <c r="E570" s="45">
        <v>50</v>
      </c>
      <c r="F570" t="s">
        <v>2143</v>
      </c>
      <c r="I570" s="152"/>
    </row>
    <row r="571" spans="2:9" customFormat="1" ht="14.4" x14ac:dyDescent="0.3">
      <c r="B571" t="s">
        <v>1890</v>
      </c>
      <c r="C571" t="s">
        <v>1615</v>
      </c>
      <c r="D571" t="s">
        <v>1899</v>
      </c>
      <c r="E571" s="45">
        <v>50</v>
      </c>
      <c r="F571" t="s">
        <v>2143</v>
      </c>
      <c r="I571" s="152"/>
    </row>
    <row r="572" spans="2:9" customFormat="1" ht="14.4" x14ac:dyDescent="0.3">
      <c r="B572" t="s">
        <v>1890</v>
      </c>
      <c r="C572" t="s">
        <v>1615</v>
      </c>
      <c r="D572" t="s">
        <v>1900</v>
      </c>
      <c r="E572" s="45">
        <v>50</v>
      </c>
      <c r="F572" t="s">
        <v>2143</v>
      </c>
      <c r="I572" s="152"/>
    </row>
    <row r="573" spans="2:9" customFormat="1" ht="14.4" x14ac:dyDescent="0.3">
      <c r="B573" t="s">
        <v>1890</v>
      </c>
      <c r="C573" t="s">
        <v>1615</v>
      </c>
      <c r="D573" t="s">
        <v>1901</v>
      </c>
      <c r="E573" s="45">
        <v>50</v>
      </c>
      <c r="F573" t="s">
        <v>2143</v>
      </c>
      <c r="I573" s="152"/>
    </row>
    <row r="574" spans="2:9" customFormat="1" ht="14.4" x14ac:dyDescent="0.3">
      <c r="B574" t="s">
        <v>1890</v>
      </c>
      <c r="C574" t="s">
        <v>1615</v>
      </c>
      <c r="D574" t="s">
        <v>1902</v>
      </c>
      <c r="E574" s="45">
        <v>50</v>
      </c>
      <c r="F574" t="s">
        <v>2143</v>
      </c>
      <c r="I574" s="152"/>
    </row>
    <row r="575" spans="2:9" customFormat="1" ht="14.4" x14ac:dyDescent="0.3">
      <c r="B575" t="s">
        <v>1890</v>
      </c>
      <c r="C575" t="s">
        <v>1615</v>
      </c>
      <c r="D575" t="s">
        <v>1903</v>
      </c>
      <c r="E575" s="45">
        <v>50</v>
      </c>
      <c r="F575" t="s">
        <v>2143</v>
      </c>
      <c r="I575" s="152"/>
    </row>
    <row r="576" spans="2:9" customFormat="1" ht="14.4" x14ac:dyDescent="0.3">
      <c r="B576" t="s">
        <v>1890</v>
      </c>
      <c r="C576" t="s">
        <v>1615</v>
      </c>
      <c r="D576" t="s">
        <v>1904</v>
      </c>
      <c r="E576" s="45">
        <v>50</v>
      </c>
      <c r="F576" t="s">
        <v>2143</v>
      </c>
      <c r="I576" s="152"/>
    </row>
    <row r="577" spans="2:9" customFormat="1" ht="14.4" x14ac:dyDescent="0.3">
      <c r="B577" t="s">
        <v>1890</v>
      </c>
      <c r="C577" t="s">
        <v>1615</v>
      </c>
      <c r="D577" t="s">
        <v>1905</v>
      </c>
      <c r="E577" s="45">
        <v>50</v>
      </c>
      <c r="F577" t="s">
        <v>2143</v>
      </c>
      <c r="I577" s="152"/>
    </row>
    <row r="578" spans="2:9" customFormat="1" ht="14.4" x14ac:dyDescent="0.3">
      <c r="B578" t="s">
        <v>1890</v>
      </c>
      <c r="C578" t="s">
        <v>1615</v>
      </c>
      <c r="D578" t="s">
        <v>1906</v>
      </c>
      <c r="E578" s="45">
        <v>50</v>
      </c>
      <c r="F578" t="s">
        <v>2143</v>
      </c>
      <c r="I578" s="152"/>
    </row>
    <row r="579" spans="2:9" customFormat="1" ht="14.4" x14ac:dyDescent="0.3">
      <c r="B579" t="s">
        <v>1890</v>
      </c>
      <c r="C579" t="s">
        <v>1615</v>
      </c>
      <c r="D579" t="s">
        <v>1907</v>
      </c>
      <c r="E579" s="45">
        <v>50</v>
      </c>
      <c r="F579" t="s">
        <v>2143</v>
      </c>
      <c r="I579" s="152"/>
    </row>
    <row r="580" spans="2:9" customFormat="1" ht="14.4" x14ac:dyDescent="0.3">
      <c r="B580" t="s">
        <v>1890</v>
      </c>
      <c r="C580" t="s">
        <v>1615</v>
      </c>
      <c r="D580" t="s">
        <v>1908</v>
      </c>
      <c r="E580" s="45">
        <v>50</v>
      </c>
      <c r="F580" t="s">
        <v>2143</v>
      </c>
      <c r="I580" s="152"/>
    </row>
    <row r="581" spans="2:9" customFormat="1" ht="14.4" x14ac:dyDescent="0.3">
      <c r="B581" t="s">
        <v>1890</v>
      </c>
      <c r="C581" t="s">
        <v>1615</v>
      </c>
      <c r="D581" t="s">
        <v>1909</v>
      </c>
      <c r="E581" s="45">
        <v>50</v>
      </c>
      <c r="F581" t="s">
        <v>2143</v>
      </c>
      <c r="I581" s="152"/>
    </row>
    <row r="582" spans="2:9" customFormat="1" ht="14.4" x14ac:dyDescent="0.3">
      <c r="B582" t="s">
        <v>1890</v>
      </c>
      <c r="C582" t="s">
        <v>1615</v>
      </c>
      <c r="D582" t="s">
        <v>1910</v>
      </c>
      <c r="E582" s="45">
        <v>50</v>
      </c>
      <c r="F582" t="s">
        <v>2143</v>
      </c>
      <c r="I582" s="152"/>
    </row>
    <row r="583" spans="2:9" customFormat="1" ht="14.4" x14ac:dyDescent="0.3">
      <c r="B583" t="s">
        <v>1890</v>
      </c>
      <c r="C583" t="s">
        <v>1615</v>
      </c>
      <c r="D583" t="s">
        <v>1911</v>
      </c>
      <c r="E583" s="45">
        <v>50</v>
      </c>
      <c r="F583" t="s">
        <v>2143</v>
      </c>
      <c r="I583" s="152"/>
    </row>
    <row r="584" spans="2:9" customFormat="1" ht="14.4" x14ac:dyDescent="0.3">
      <c r="B584" t="s">
        <v>1890</v>
      </c>
      <c r="C584" t="s">
        <v>1615</v>
      </c>
      <c r="D584" t="s">
        <v>1912</v>
      </c>
      <c r="E584" s="45">
        <v>50</v>
      </c>
      <c r="F584" t="s">
        <v>2143</v>
      </c>
      <c r="I584" s="152"/>
    </row>
    <row r="585" spans="2:9" customFormat="1" ht="14.4" x14ac:dyDescent="0.3">
      <c r="B585" t="s">
        <v>1890</v>
      </c>
      <c r="C585" t="s">
        <v>1615</v>
      </c>
      <c r="D585" t="s">
        <v>1913</v>
      </c>
      <c r="E585" s="45">
        <v>50</v>
      </c>
      <c r="F585" t="s">
        <v>2143</v>
      </c>
      <c r="I585" s="152"/>
    </row>
    <row r="586" spans="2:9" customFormat="1" ht="14.4" x14ac:dyDescent="0.3">
      <c r="B586" t="s">
        <v>1890</v>
      </c>
      <c r="C586" t="s">
        <v>1615</v>
      </c>
      <c r="D586" t="s">
        <v>1914</v>
      </c>
      <c r="E586" s="45">
        <v>50</v>
      </c>
      <c r="F586" t="s">
        <v>2143</v>
      </c>
      <c r="I586" s="152"/>
    </row>
    <row r="587" spans="2:9" customFormat="1" ht="14.4" x14ac:dyDescent="0.3">
      <c r="B587" t="s">
        <v>1890</v>
      </c>
      <c r="C587" t="s">
        <v>1615</v>
      </c>
      <c r="D587" t="s">
        <v>1915</v>
      </c>
      <c r="E587" s="45">
        <v>50</v>
      </c>
      <c r="F587" t="s">
        <v>2143</v>
      </c>
      <c r="I587" s="152"/>
    </row>
    <row r="588" spans="2:9" customFormat="1" ht="14.4" x14ac:dyDescent="0.3">
      <c r="B588" t="s">
        <v>1890</v>
      </c>
      <c r="C588" t="s">
        <v>1615</v>
      </c>
      <c r="D588" t="s">
        <v>1916</v>
      </c>
      <c r="E588" s="45">
        <v>50</v>
      </c>
      <c r="F588" t="s">
        <v>2143</v>
      </c>
      <c r="I588" s="152"/>
    </row>
    <row r="589" spans="2:9" customFormat="1" ht="14.4" x14ac:dyDescent="0.3">
      <c r="B589" t="s">
        <v>1890</v>
      </c>
      <c r="C589" t="s">
        <v>1615</v>
      </c>
      <c r="D589" t="s">
        <v>1917</v>
      </c>
      <c r="E589" s="45">
        <v>50</v>
      </c>
      <c r="F589" t="s">
        <v>2143</v>
      </c>
      <c r="I589" s="152"/>
    </row>
    <row r="590" spans="2:9" customFormat="1" ht="14.4" x14ac:dyDescent="0.3">
      <c r="B590" t="s">
        <v>1890</v>
      </c>
      <c r="C590" t="s">
        <v>1615</v>
      </c>
      <c r="D590" t="s">
        <v>1918</v>
      </c>
      <c r="E590" s="45">
        <v>50</v>
      </c>
      <c r="F590" t="s">
        <v>2143</v>
      </c>
      <c r="I590" s="152"/>
    </row>
    <row r="591" spans="2:9" customFormat="1" ht="14.4" x14ac:dyDescent="0.3">
      <c r="B591" t="s">
        <v>1890</v>
      </c>
      <c r="C591" t="s">
        <v>1615</v>
      </c>
      <c r="D591" t="s">
        <v>1919</v>
      </c>
      <c r="E591" s="45">
        <v>50</v>
      </c>
      <c r="F591" t="s">
        <v>2143</v>
      </c>
      <c r="I591" s="152"/>
    </row>
    <row r="592" spans="2:9" customFormat="1" ht="14.4" x14ac:dyDescent="0.3">
      <c r="B592" t="s">
        <v>1890</v>
      </c>
      <c r="C592" t="s">
        <v>1615</v>
      </c>
      <c r="D592" t="s">
        <v>1920</v>
      </c>
      <c r="E592" s="45">
        <v>50</v>
      </c>
      <c r="F592" t="s">
        <v>2143</v>
      </c>
      <c r="I592" s="152"/>
    </row>
    <row r="593" spans="2:9" customFormat="1" ht="14.4" x14ac:dyDescent="0.3">
      <c r="B593" t="s">
        <v>1890</v>
      </c>
      <c r="C593" t="s">
        <v>1615</v>
      </c>
      <c r="D593" t="s">
        <v>1921</v>
      </c>
      <c r="E593" s="45">
        <v>50</v>
      </c>
      <c r="F593" t="s">
        <v>2143</v>
      </c>
      <c r="I593" s="152"/>
    </row>
    <row r="594" spans="2:9" customFormat="1" ht="14.4" x14ac:dyDescent="0.3">
      <c r="B594" t="s">
        <v>1890</v>
      </c>
      <c r="C594" t="s">
        <v>1615</v>
      </c>
      <c r="D594" t="s">
        <v>1922</v>
      </c>
      <c r="E594" s="45">
        <v>50</v>
      </c>
      <c r="F594" t="s">
        <v>2143</v>
      </c>
      <c r="I594" s="152"/>
    </row>
    <row r="595" spans="2:9" customFormat="1" ht="14.4" x14ac:dyDescent="0.3">
      <c r="B595" t="s">
        <v>1890</v>
      </c>
      <c r="C595" t="s">
        <v>1615</v>
      </c>
      <c r="D595" t="s">
        <v>1923</v>
      </c>
      <c r="E595" s="45">
        <v>50</v>
      </c>
      <c r="F595" t="s">
        <v>2143</v>
      </c>
      <c r="I595" s="152"/>
    </row>
    <row r="596" spans="2:9" customFormat="1" ht="14.4" x14ac:dyDescent="0.3">
      <c r="B596" t="s">
        <v>1890</v>
      </c>
      <c r="C596" t="s">
        <v>1615</v>
      </c>
      <c r="D596" t="s">
        <v>1924</v>
      </c>
      <c r="E596" s="45">
        <v>50</v>
      </c>
      <c r="F596" t="s">
        <v>2143</v>
      </c>
      <c r="I596" s="152"/>
    </row>
    <row r="597" spans="2:9" customFormat="1" ht="14.4" x14ac:dyDescent="0.3">
      <c r="B597" t="s">
        <v>1890</v>
      </c>
      <c r="C597" t="s">
        <v>1615</v>
      </c>
      <c r="D597" t="s">
        <v>1925</v>
      </c>
      <c r="E597" s="45">
        <v>50</v>
      </c>
      <c r="F597" t="s">
        <v>2143</v>
      </c>
      <c r="I597" s="152"/>
    </row>
    <row r="598" spans="2:9" customFormat="1" ht="14.4" x14ac:dyDescent="0.3">
      <c r="B598" t="s">
        <v>1890</v>
      </c>
      <c r="C598" t="s">
        <v>1615</v>
      </c>
      <c r="D598" t="s">
        <v>1926</v>
      </c>
      <c r="E598" s="45">
        <v>50</v>
      </c>
      <c r="F598" t="s">
        <v>2143</v>
      </c>
      <c r="I598" s="152"/>
    </row>
    <row r="599" spans="2:9" customFormat="1" ht="14.4" x14ac:dyDescent="0.3">
      <c r="B599" t="s">
        <v>1890</v>
      </c>
      <c r="C599" t="s">
        <v>1615</v>
      </c>
      <c r="D599" t="s">
        <v>1927</v>
      </c>
      <c r="E599" s="45">
        <v>50</v>
      </c>
      <c r="F599" t="s">
        <v>2143</v>
      </c>
      <c r="I599" s="152"/>
    </row>
    <row r="600" spans="2:9" customFormat="1" ht="14.4" x14ac:dyDescent="0.3">
      <c r="B600" t="s">
        <v>1890</v>
      </c>
      <c r="C600" t="s">
        <v>1615</v>
      </c>
      <c r="D600" t="s">
        <v>1928</v>
      </c>
      <c r="E600" s="45">
        <v>50</v>
      </c>
      <c r="F600" t="s">
        <v>2143</v>
      </c>
      <c r="I600" s="152"/>
    </row>
    <row r="601" spans="2:9" customFormat="1" ht="14.4" x14ac:dyDescent="0.3">
      <c r="B601" t="s">
        <v>1890</v>
      </c>
      <c r="C601" t="s">
        <v>1615</v>
      </c>
      <c r="D601" t="s">
        <v>1929</v>
      </c>
      <c r="E601" s="45">
        <v>50</v>
      </c>
      <c r="F601" t="s">
        <v>2143</v>
      </c>
      <c r="I601" s="152"/>
    </row>
    <row r="602" spans="2:9" customFormat="1" ht="14.4" x14ac:dyDescent="0.3">
      <c r="B602" t="s">
        <v>1890</v>
      </c>
      <c r="C602" t="s">
        <v>1615</v>
      </c>
      <c r="D602" t="s">
        <v>1930</v>
      </c>
      <c r="E602" s="45">
        <v>50</v>
      </c>
      <c r="F602" t="s">
        <v>2143</v>
      </c>
      <c r="I602" s="152"/>
    </row>
    <row r="603" spans="2:9" customFormat="1" ht="14.4" x14ac:dyDescent="0.3">
      <c r="B603" t="s">
        <v>1890</v>
      </c>
      <c r="C603" t="s">
        <v>1615</v>
      </c>
      <c r="D603" t="s">
        <v>1931</v>
      </c>
      <c r="E603" s="45">
        <v>50</v>
      </c>
      <c r="F603" t="s">
        <v>2143</v>
      </c>
      <c r="I603" s="152"/>
    </row>
    <row r="604" spans="2:9" customFormat="1" ht="14.4" x14ac:dyDescent="0.3">
      <c r="B604" t="s">
        <v>1890</v>
      </c>
      <c r="C604" t="s">
        <v>1615</v>
      </c>
      <c r="D604" t="s">
        <v>1932</v>
      </c>
      <c r="E604" s="45">
        <v>50</v>
      </c>
      <c r="F604" t="s">
        <v>2143</v>
      </c>
      <c r="I604" s="152"/>
    </row>
    <row r="605" spans="2:9" customFormat="1" ht="14.4" x14ac:dyDescent="0.3">
      <c r="B605" t="s">
        <v>1890</v>
      </c>
      <c r="C605" t="s">
        <v>1615</v>
      </c>
      <c r="D605" t="s">
        <v>1933</v>
      </c>
      <c r="E605" s="45">
        <v>50</v>
      </c>
      <c r="F605" t="s">
        <v>2143</v>
      </c>
      <c r="I605" s="152"/>
    </row>
    <row r="606" spans="2:9" customFormat="1" ht="14.4" x14ac:dyDescent="0.3">
      <c r="B606" t="s">
        <v>1890</v>
      </c>
      <c r="C606" t="s">
        <v>1615</v>
      </c>
      <c r="D606" t="s">
        <v>1934</v>
      </c>
      <c r="E606" s="45">
        <v>50</v>
      </c>
      <c r="F606" t="s">
        <v>2143</v>
      </c>
      <c r="I606" s="152"/>
    </row>
    <row r="607" spans="2:9" customFormat="1" ht="14.4" x14ac:dyDescent="0.3">
      <c r="B607" t="s">
        <v>1890</v>
      </c>
      <c r="C607" t="s">
        <v>1615</v>
      </c>
      <c r="D607" t="s">
        <v>1935</v>
      </c>
      <c r="E607" s="45">
        <v>50</v>
      </c>
      <c r="F607" t="s">
        <v>2143</v>
      </c>
      <c r="I607" s="152"/>
    </row>
    <row r="608" spans="2:9" customFormat="1" ht="14.4" x14ac:dyDescent="0.3">
      <c r="B608" t="s">
        <v>1890</v>
      </c>
      <c r="C608" t="s">
        <v>1615</v>
      </c>
      <c r="D608" t="s">
        <v>1936</v>
      </c>
      <c r="E608" s="45">
        <v>50</v>
      </c>
      <c r="F608" t="s">
        <v>2143</v>
      </c>
      <c r="I608" s="152"/>
    </row>
    <row r="609" spans="2:9" customFormat="1" ht="14.4" x14ac:dyDescent="0.3">
      <c r="B609" t="s">
        <v>1890</v>
      </c>
      <c r="C609" t="s">
        <v>1615</v>
      </c>
      <c r="D609" t="s">
        <v>1937</v>
      </c>
      <c r="E609" s="45">
        <v>50</v>
      </c>
      <c r="F609" t="s">
        <v>2143</v>
      </c>
      <c r="I609" s="152"/>
    </row>
    <row r="610" spans="2:9" customFormat="1" ht="14.4" x14ac:dyDescent="0.3">
      <c r="B610" t="s">
        <v>1890</v>
      </c>
      <c r="C610" t="s">
        <v>1615</v>
      </c>
      <c r="D610" t="s">
        <v>1938</v>
      </c>
      <c r="E610" s="45">
        <v>50</v>
      </c>
      <c r="F610" t="s">
        <v>2143</v>
      </c>
      <c r="I610" s="152"/>
    </row>
    <row r="611" spans="2:9" customFormat="1" ht="14.4" x14ac:dyDescent="0.3">
      <c r="B611" t="s">
        <v>1890</v>
      </c>
      <c r="C611" t="s">
        <v>1615</v>
      </c>
      <c r="D611" t="s">
        <v>1939</v>
      </c>
      <c r="E611" s="45">
        <v>50</v>
      </c>
      <c r="F611" t="s">
        <v>2143</v>
      </c>
      <c r="I611" s="152"/>
    </row>
    <row r="612" spans="2:9" customFormat="1" ht="14.4" x14ac:dyDescent="0.3">
      <c r="B612" t="s">
        <v>1890</v>
      </c>
      <c r="C612" t="s">
        <v>1615</v>
      </c>
      <c r="D612" t="s">
        <v>1940</v>
      </c>
      <c r="E612" s="45">
        <v>50</v>
      </c>
      <c r="F612" t="s">
        <v>2143</v>
      </c>
      <c r="I612" s="152"/>
    </row>
    <row r="613" spans="2:9" customFormat="1" ht="14.4" x14ac:dyDescent="0.3">
      <c r="B613" t="s">
        <v>1890</v>
      </c>
      <c r="C613" t="s">
        <v>1615</v>
      </c>
      <c r="D613" t="s">
        <v>1941</v>
      </c>
      <c r="E613" s="45">
        <v>50</v>
      </c>
      <c r="F613" t="s">
        <v>2143</v>
      </c>
      <c r="I613" s="152"/>
    </row>
    <row r="614" spans="2:9" customFormat="1" ht="14.4" x14ac:dyDescent="0.3">
      <c r="B614" t="s">
        <v>1890</v>
      </c>
      <c r="C614" t="s">
        <v>1615</v>
      </c>
      <c r="D614" t="s">
        <v>1942</v>
      </c>
      <c r="E614" s="45">
        <v>50</v>
      </c>
      <c r="F614" t="s">
        <v>2143</v>
      </c>
      <c r="I614" s="152"/>
    </row>
    <row r="615" spans="2:9" customFormat="1" ht="14.4" x14ac:dyDescent="0.3">
      <c r="B615" t="s">
        <v>1890</v>
      </c>
      <c r="C615" t="s">
        <v>1615</v>
      </c>
      <c r="D615" t="s">
        <v>1943</v>
      </c>
      <c r="E615" s="45">
        <v>50</v>
      </c>
      <c r="F615" t="s">
        <v>2143</v>
      </c>
      <c r="I615" s="152"/>
    </row>
    <row r="616" spans="2:9" customFormat="1" ht="14.4" x14ac:dyDescent="0.3">
      <c r="B616" t="s">
        <v>1890</v>
      </c>
      <c r="C616" t="s">
        <v>1615</v>
      </c>
      <c r="D616" t="s">
        <v>1944</v>
      </c>
      <c r="E616" s="45">
        <v>50</v>
      </c>
      <c r="F616" t="s">
        <v>2143</v>
      </c>
      <c r="I616" s="152"/>
    </row>
    <row r="617" spans="2:9" customFormat="1" ht="14.4" x14ac:dyDescent="0.3">
      <c r="B617" t="s">
        <v>1890</v>
      </c>
      <c r="C617" t="s">
        <v>1615</v>
      </c>
      <c r="D617" t="s">
        <v>1945</v>
      </c>
      <c r="E617" s="45">
        <v>50</v>
      </c>
      <c r="F617" t="s">
        <v>2143</v>
      </c>
      <c r="I617" s="152"/>
    </row>
    <row r="618" spans="2:9" customFormat="1" ht="14.4" x14ac:dyDescent="0.3">
      <c r="B618" t="s">
        <v>1890</v>
      </c>
      <c r="C618" t="s">
        <v>1615</v>
      </c>
      <c r="D618" t="s">
        <v>1946</v>
      </c>
      <c r="E618" s="45">
        <v>50</v>
      </c>
      <c r="F618" t="s">
        <v>2143</v>
      </c>
      <c r="I618" s="152"/>
    </row>
    <row r="619" spans="2:9" customFormat="1" ht="14.4" x14ac:dyDescent="0.3">
      <c r="B619" t="s">
        <v>1890</v>
      </c>
      <c r="C619" t="s">
        <v>1615</v>
      </c>
      <c r="D619" t="s">
        <v>1947</v>
      </c>
      <c r="E619" s="45">
        <v>50</v>
      </c>
      <c r="F619" t="s">
        <v>2143</v>
      </c>
      <c r="I619" s="152"/>
    </row>
    <row r="620" spans="2:9" customFormat="1" ht="14.4" x14ac:dyDescent="0.3">
      <c r="B620" t="s">
        <v>1890</v>
      </c>
      <c r="C620" t="s">
        <v>1615</v>
      </c>
      <c r="D620" t="s">
        <v>1948</v>
      </c>
      <c r="E620" s="45">
        <v>50</v>
      </c>
      <c r="F620" t="s">
        <v>2143</v>
      </c>
      <c r="I620" s="152"/>
    </row>
    <row r="621" spans="2:9" customFormat="1" ht="14.4" x14ac:dyDescent="0.3">
      <c r="B621" t="s">
        <v>1890</v>
      </c>
      <c r="C621" t="s">
        <v>1615</v>
      </c>
      <c r="D621" t="s">
        <v>1949</v>
      </c>
      <c r="E621" s="45">
        <v>50</v>
      </c>
      <c r="F621" t="s">
        <v>2143</v>
      </c>
      <c r="I621" s="152"/>
    </row>
    <row r="622" spans="2:9" customFormat="1" ht="14.4" x14ac:dyDescent="0.3">
      <c r="B622" t="s">
        <v>1890</v>
      </c>
      <c r="C622" t="s">
        <v>1615</v>
      </c>
      <c r="D622" t="s">
        <v>1950</v>
      </c>
      <c r="E622" s="45">
        <v>50</v>
      </c>
      <c r="F622" t="s">
        <v>2143</v>
      </c>
      <c r="I622" s="152"/>
    </row>
    <row r="623" spans="2:9" customFormat="1" ht="14.4" x14ac:dyDescent="0.3">
      <c r="B623" t="s">
        <v>1890</v>
      </c>
      <c r="C623" t="s">
        <v>1615</v>
      </c>
      <c r="D623" t="s">
        <v>1951</v>
      </c>
      <c r="E623" s="45">
        <v>50</v>
      </c>
      <c r="F623" t="s">
        <v>2143</v>
      </c>
      <c r="I623" s="152"/>
    </row>
    <row r="624" spans="2:9" customFormat="1" ht="14.4" x14ac:dyDescent="0.3">
      <c r="B624" t="s">
        <v>1890</v>
      </c>
      <c r="C624" t="s">
        <v>1615</v>
      </c>
      <c r="D624" t="s">
        <v>1952</v>
      </c>
      <c r="E624" s="45">
        <v>50</v>
      </c>
      <c r="F624" t="s">
        <v>2143</v>
      </c>
      <c r="I624" s="152"/>
    </row>
    <row r="625" spans="2:9" customFormat="1" ht="14.4" x14ac:dyDescent="0.3">
      <c r="B625" t="s">
        <v>1890</v>
      </c>
      <c r="C625" t="s">
        <v>1615</v>
      </c>
      <c r="D625" t="s">
        <v>1953</v>
      </c>
      <c r="E625" s="45">
        <v>50</v>
      </c>
      <c r="F625" t="s">
        <v>2143</v>
      </c>
      <c r="I625" s="152"/>
    </row>
    <row r="626" spans="2:9" customFormat="1" ht="14.4" x14ac:dyDescent="0.3">
      <c r="B626" t="s">
        <v>1890</v>
      </c>
      <c r="C626" t="s">
        <v>1615</v>
      </c>
      <c r="D626" t="s">
        <v>1954</v>
      </c>
      <c r="E626" s="45">
        <v>50</v>
      </c>
      <c r="F626" t="s">
        <v>2143</v>
      </c>
      <c r="I626" s="152"/>
    </row>
    <row r="627" spans="2:9" customFormat="1" ht="14.4" x14ac:dyDescent="0.3">
      <c r="B627" t="s">
        <v>1890</v>
      </c>
      <c r="C627" t="s">
        <v>1615</v>
      </c>
      <c r="D627" t="s">
        <v>1955</v>
      </c>
      <c r="E627" s="45">
        <v>50</v>
      </c>
      <c r="F627" t="s">
        <v>2143</v>
      </c>
      <c r="I627" s="152"/>
    </row>
    <row r="628" spans="2:9" customFormat="1" ht="14.4" x14ac:dyDescent="0.3">
      <c r="B628" t="s">
        <v>1890</v>
      </c>
      <c r="C628" t="s">
        <v>1615</v>
      </c>
      <c r="D628" t="s">
        <v>1956</v>
      </c>
      <c r="E628" s="45">
        <v>50</v>
      </c>
      <c r="F628" t="s">
        <v>2143</v>
      </c>
      <c r="I628" s="152"/>
    </row>
    <row r="629" spans="2:9" customFormat="1" ht="14.4" x14ac:dyDescent="0.3">
      <c r="B629" t="s">
        <v>1890</v>
      </c>
      <c r="C629" t="s">
        <v>1615</v>
      </c>
      <c r="D629" t="s">
        <v>1957</v>
      </c>
      <c r="E629" s="45">
        <v>50</v>
      </c>
      <c r="F629" t="s">
        <v>2143</v>
      </c>
      <c r="I629" s="152"/>
    </row>
    <row r="630" spans="2:9" customFormat="1" ht="14.4" x14ac:dyDescent="0.3">
      <c r="B630" t="s">
        <v>1890</v>
      </c>
      <c r="C630" t="s">
        <v>1615</v>
      </c>
      <c r="D630" t="s">
        <v>1958</v>
      </c>
      <c r="E630" s="45">
        <v>50</v>
      </c>
      <c r="F630" t="s">
        <v>2143</v>
      </c>
      <c r="I630" s="152"/>
    </row>
    <row r="631" spans="2:9" customFormat="1" ht="14.4" x14ac:dyDescent="0.3">
      <c r="B631" t="s">
        <v>1890</v>
      </c>
      <c r="C631" t="s">
        <v>1615</v>
      </c>
      <c r="D631" t="s">
        <v>1959</v>
      </c>
      <c r="E631" s="45">
        <v>50</v>
      </c>
      <c r="F631" t="s">
        <v>2143</v>
      </c>
      <c r="I631" s="152"/>
    </row>
    <row r="632" spans="2:9" customFormat="1" ht="14.4" x14ac:dyDescent="0.3">
      <c r="B632" t="s">
        <v>1890</v>
      </c>
      <c r="C632" t="s">
        <v>1615</v>
      </c>
      <c r="D632" t="s">
        <v>1960</v>
      </c>
      <c r="E632" s="45">
        <v>50</v>
      </c>
      <c r="F632" t="s">
        <v>2143</v>
      </c>
      <c r="I632" s="152"/>
    </row>
    <row r="633" spans="2:9" customFormat="1" ht="14.4" x14ac:dyDescent="0.3">
      <c r="B633" t="s">
        <v>1890</v>
      </c>
      <c r="C633" t="s">
        <v>1615</v>
      </c>
      <c r="D633" t="s">
        <v>1961</v>
      </c>
      <c r="E633" s="45">
        <v>50</v>
      </c>
      <c r="F633" t="s">
        <v>2143</v>
      </c>
      <c r="I633" s="152"/>
    </row>
    <row r="634" spans="2:9" customFormat="1" ht="14.4" x14ac:dyDescent="0.3">
      <c r="B634" t="s">
        <v>1890</v>
      </c>
      <c r="C634" t="s">
        <v>1615</v>
      </c>
      <c r="D634" t="s">
        <v>1962</v>
      </c>
      <c r="E634" s="45">
        <v>50</v>
      </c>
      <c r="F634" t="s">
        <v>2143</v>
      </c>
      <c r="I634" s="152"/>
    </row>
    <row r="635" spans="2:9" customFormat="1" ht="14.4" x14ac:dyDescent="0.3">
      <c r="B635" t="s">
        <v>1890</v>
      </c>
      <c r="C635" t="s">
        <v>1615</v>
      </c>
      <c r="D635" t="s">
        <v>1963</v>
      </c>
      <c r="E635" s="45">
        <v>50</v>
      </c>
      <c r="F635" t="s">
        <v>2143</v>
      </c>
      <c r="I635" s="152"/>
    </row>
    <row r="636" spans="2:9" customFormat="1" ht="14.4" x14ac:dyDescent="0.3">
      <c r="B636" t="s">
        <v>1890</v>
      </c>
      <c r="C636" t="s">
        <v>1615</v>
      </c>
      <c r="D636" t="s">
        <v>1964</v>
      </c>
      <c r="E636" s="45">
        <v>50</v>
      </c>
      <c r="F636" t="s">
        <v>2143</v>
      </c>
      <c r="I636" s="152"/>
    </row>
    <row r="637" spans="2:9" customFormat="1" ht="14.4" x14ac:dyDescent="0.3">
      <c r="B637" t="s">
        <v>1890</v>
      </c>
      <c r="C637" t="s">
        <v>1615</v>
      </c>
      <c r="D637" t="s">
        <v>1965</v>
      </c>
      <c r="E637" s="45">
        <v>50</v>
      </c>
      <c r="F637" t="s">
        <v>2143</v>
      </c>
      <c r="I637" s="152"/>
    </row>
    <row r="638" spans="2:9" customFormat="1" ht="14.4" x14ac:dyDescent="0.3">
      <c r="B638" t="s">
        <v>1890</v>
      </c>
      <c r="C638" t="s">
        <v>1615</v>
      </c>
      <c r="D638" t="s">
        <v>1966</v>
      </c>
      <c r="E638" s="45">
        <v>50</v>
      </c>
      <c r="F638" t="s">
        <v>2143</v>
      </c>
      <c r="I638" s="152"/>
    </row>
    <row r="639" spans="2:9" customFormat="1" ht="14.4" x14ac:dyDescent="0.3">
      <c r="B639" t="s">
        <v>1890</v>
      </c>
      <c r="C639" t="s">
        <v>1615</v>
      </c>
      <c r="D639" t="s">
        <v>1967</v>
      </c>
      <c r="E639" s="45">
        <v>50</v>
      </c>
      <c r="F639" t="s">
        <v>2143</v>
      </c>
      <c r="I639" s="152"/>
    </row>
    <row r="640" spans="2:9" customFormat="1" ht="14.4" x14ac:dyDescent="0.3">
      <c r="B640" t="s">
        <v>1890</v>
      </c>
      <c r="C640" t="s">
        <v>1615</v>
      </c>
      <c r="D640" t="s">
        <v>1968</v>
      </c>
      <c r="E640" s="45">
        <v>50</v>
      </c>
      <c r="F640" t="s">
        <v>2143</v>
      </c>
      <c r="I640" s="152"/>
    </row>
    <row r="641" spans="2:9" customFormat="1" ht="14.4" x14ac:dyDescent="0.3">
      <c r="B641" t="s">
        <v>1890</v>
      </c>
      <c r="C641" t="s">
        <v>1615</v>
      </c>
      <c r="D641" t="s">
        <v>1969</v>
      </c>
      <c r="E641" s="45">
        <v>50</v>
      </c>
      <c r="F641" t="s">
        <v>2143</v>
      </c>
      <c r="I641" s="152"/>
    </row>
    <row r="642" spans="2:9" customFormat="1" ht="14.4" x14ac:dyDescent="0.3">
      <c r="B642" t="s">
        <v>1890</v>
      </c>
      <c r="C642" t="s">
        <v>1615</v>
      </c>
      <c r="D642" t="s">
        <v>1970</v>
      </c>
      <c r="E642" s="45">
        <v>50</v>
      </c>
      <c r="F642" t="s">
        <v>2143</v>
      </c>
      <c r="I642" s="152"/>
    </row>
    <row r="643" spans="2:9" customFormat="1" ht="14.4" x14ac:dyDescent="0.3">
      <c r="B643" t="s">
        <v>1890</v>
      </c>
      <c r="C643" t="s">
        <v>1615</v>
      </c>
      <c r="D643" t="s">
        <v>1971</v>
      </c>
      <c r="E643" s="45">
        <v>50</v>
      </c>
      <c r="F643" t="s">
        <v>2143</v>
      </c>
      <c r="I643" s="152"/>
    </row>
    <row r="644" spans="2:9" customFormat="1" ht="14.4" x14ac:dyDescent="0.3">
      <c r="B644" t="s">
        <v>1890</v>
      </c>
      <c r="C644" t="s">
        <v>1615</v>
      </c>
      <c r="D644" t="s">
        <v>1972</v>
      </c>
      <c r="E644" s="45">
        <v>50</v>
      </c>
      <c r="F644" t="s">
        <v>2143</v>
      </c>
      <c r="I644" s="152"/>
    </row>
    <row r="645" spans="2:9" customFormat="1" ht="14.4" x14ac:dyDescent="0.3">
      <c r="B645" t="s">
        <v>1890</v>
      </c>
      <c r="C645" t="s">
        <v>1615</v>
      </c>
      <c r="D645" t="s">
        <v>1973</v>
      </c>
      <c r="E645" s="45">
        <v>50</v>
      </c>
      <c r="F645" t="s">
        <v>2143</v>
      </c>
      <c r="I645" s="152"/>
    </row>
    <row r="646" spans="2:9" customFormat="1" ht="14.4" x14ac:dyDescent="0.3">
      <c r="B646" t="s">
        <v>1890</v>
      </c>
      <c r="C646" t="s">
        <v>1615</v>
      </c>
      <c r="D646" t="s">
        <v>1974</v>
      </c>
      <c r="E646" s="45">
        <v>50</v>
      </c>
      <c r="F646" t="s">
        <v>2143</v>
      </c>
      <c r="I646" s="152"/>
    </row>
    <row r="647" spans="2:9" customFormat="1" ht="14.4" x14ac:dyDescent="0.3">
      <c r="B647" t="s">
        <v>1890</v>
      </c>
      <c r="C647" t="s">
        <v>1615</v>
      </c>
      <c r="D647" t="s">
        <v>1975</v>
      </c>
      <c r="E647" s="45">
        <v>50</v>
      </c>
      <c r="F647" t="s">
        <v>2143</v>
      </c>
      <c r="I647" s="152"/>
    </row>
    <row r="648" spans="2:9" customFormat="1" ht="14.4" x14ac:dyDescent="0.3">
      <c r="B648" t="s">
        <v>1890</v>
      </c>
      <c r="C648" t="s">
        <v>1615</v>
      </c>
      <c r="D648" t="s">
        <v>1976</v>
      </c>
      <c r="E648" s="45">
        <v>50</v>
      </c>
      <c r="F648" t="s">
        <v>2143</v>
      </c>
      <c r="I648" s="152"/>
    </row>
    <row r="649" spans="2:9" customFormat="1" ht="14.4" x14ac:dyDescent="0.3">
      <c r="B649" t="s">
        <v>1890</v>
      </c>
      <c r="C649" t="s">
        <v>1615</v>
      </c>
      <c r="D649" t="s">
        <v>1977</v>
      </c>
      <c r="E649" s="45">
        <v>50</v>
      </c>
      <c r="F649" t="s">
        <v>2143</v>
      </c>
      <c r="I649" s="152"/>
    </row>
    <row r="650" spans="2:9" customFormat="1" ht="14.4" x14ac:dyDescent="0.3">
      <c r="B650" t="s">
        <v>1890</v>
      </c>
      <c r="C650" t="s">
        <v>1615</v>
      </c>
      <c r="D650" t="s">
        <v>1978</v>
      </c>
      <c r="E650" s="45">
        <v>50</v>
      </c>
      <c r="F650" t="s">
        <v>2143</v>
      </c>
      <c r="I650" s="152"/>
    </row>
    <row r="651" spans="2:9" customFormat="1" ht="14.4" x14ac:dyDescent="0.3">
      <c r="B651" t="s">
        <v>1890</v>
      </c>
      <c r="C651" t="s">
        <v>1615</v>
      </c>
      <c r="D651" t="s">
        <v>1979</v>
      </c>
      <c r="E651" s="45">
        <v>50</v>
      </c>
      <c r="F651" t="s">
        <v>2143</v>
      </c>
      <c r="I651" s="152"/>
    </row>
    <row r="652" spans="2:9" customFormat="1" ht="14.4" x14ac:dyDescent="0.3">
      <c r="B652" t="s">
        <v>1890</v>
      </c>
      <c r="C652" t="s">
        <v>1615</v>
      </c>
      <c r="D652" t="s">
        <v>1980</v>
      </c>
      <c r="E652" s="45">
        <v>50</v>
      </c>
      <c r="F652" t="s">
        <v>2143</v>
      </c>
      <c r="I652" s="152"/>
    </row>
    <row r="653" spans="2:9" customFormat="1" ht="14.4" x14ac:dyDescent="0.3">
      <c r="B653" t="s">
        <v>1890</v>
      </c>
      <c r="C653" t="s">
        <v>1615</v>
      </c>
      <c r="D653" t="s">
        <v>1981</v>
      </c>
      <c r="E653" s="45">
        <v>50</v>
      </c>
      <c r="F653" t="s">
        <v>2143</v>
      </c>
      <c r="I653" s="152"/>
    </row>
    <row r="654" spans="2:9" customFormat="1" ht="14.4" x14ac:dyDescent="0.3">
      <c r="B654" t="s">
        <v>1890</v>
      </c>
      <c r="C654" t="s">
        <v>1615</v>
      </c>
      <c r="D654" t="s">
        <v>1982</v>
      </c>
      <c r="E654" s="45">
        <v>50</v>
      </c>
      <c r="F654" t="s">
        <v>2143</v>
      </c>
      <c r="I654" s="152"/>
    </row>
    <row r="655" spans="2:9" customFormat="1" ht="14.4" x14ac:dyDescent="0.3">
      <c r="B655" t="s">
        <v>1890</v>
      </c>
      <c r="C655" t="s">
        <v>1436</v>
      </c>
      <c r="D655" t="s">
        <v>1188</v>
      </c>
      <c r="E655" s="45">
        <v>509</v>
      </c>
      <c r="F655" t="s">
        <v>1441</v>
      </c>
      <c r="I655" s="152"/>
    </row>
    <row r="656" spans="2:9" customFormat="1" ht="14.4" x14ac:dyDescent="0.3">
      <c r="B656" t="s">
        <v>1890</v>
      </c>
      <c r="C656" t="s">
        <v>1983</v>
      </c>
      <c r="D656" t="s">
        <v>1185</v>
      </c>
      <c r="E656" s="45">
        <v>9420</v>
      </c>
      <c r="F656" t="s">
        <v>1441</v>
      </c>
      <c r="I656" s="152"/>
    </row>
    <row r="657" spans="1:9" customFormat="1" ht="14.4" x14ac:dyDescent="0.3">
      <c r="B657" t="s">
        <v>1890</v>
      </c>
      <c r="C657" t="s">
        <v>759</v>
      </c>
      <c r="D657" t="s">
        <v>101</v>
      </c>
      <c r="E657" s="45">
        <v>-28998</v>
      </c>
      <c r="F657" t="s">
        <v>759</v>
      </c>
      <c r="I657" s="152"/>
    </row>
    <row r="658" spans="1:9" customFormat="1" ht="14.4" x14ac:dyDescent="0.3">
      <c r="B658" t="s">
        <v>1984</v>
      </c>
      <c r="C658" t="s">
        <v>759</v>
      </c>
      <c r="D658" t="s">
        <v>126</v>
      </c>
      <c r="E658" s="45">
        <v>-800</v>
      </c>
      <c r="F658" t="s">
        <v>759</v>
      </c>
      <c r="I658" s="152"/>
    </row>
    <row r="659" spans="1:9" customFormat="1" ht="14.4" x14ac:dyDescent="0.3">
      <c r="B659" t="s">
        <v>1984</v>
      </c>
      <c r="C659" t="s">
        <v>759</v>
      </c>
      <c r="D659" t="s">
        <v>126</v>
      </c>
      <c r="E659" s="45">
        <v>-800</v>
      </c>
      <c r="F659" t="s">
        <v>759</v>
      </c>
      <c r="I659" s="152"/>
    </row>
    <row r="660" spans="1:9" customFormat="1" ht="14.4" x14ac:dyDescent="0.3">
      <c r="B660" t="s">
        <v>1984</v>
      </c>
      <c r="C660" t="s">
        <v>838</v>
      </c>
      <c r="D660" t="s">
        <v>101</v>
      </c>
      <c r="E660" s="45">
        <v>-1439</v>
      </c>
      <c r="F660" t="s">
        <v>46</v>
      </c>
      <c r="G660" t="s">
        <v>586</v>
      </c>
      <c r="H660" t="s">
        <v>586</v>
      </c>
      <c r="I660" s="152"/>
    </row>
    <row r="661" spans="1:9" customFormat="1" ht="14.4" x14ac:dyDescent="0.3">
      <c r="B661" t="s">
        <v>1984</v>
      </c>
      <c r="C661" t="s">
        <v>504</v>
      </c>
      <c r="D661" t="s">
        <v>101</v>
      </c>
      <c r="E661" s="45">
        <v>-331</v>
      </c>
      <c r="F661" t="s">
        <v>46</v>
      </c>
      <c r="G661" t="s">
        <v>580</v>
      </c>
      <c r="H661" t="s">
        <v>342</v>
      </c>
      <c r="I661" s="152"/>
    </row>
    <row r="662" spans="1:9" customFormat="1" ht="14.4" x14ac:dyDescent="0.3">
      <c r="B662" t="s">
        <v>1984</v>
      </c>
      <c r="C662" t="s">
        <v>975</v>
      </c>
      <c r="D662" t="s">
        <v>101</v>
      </c>
      <c r="E662" s="45">
        <v>-2500</v>
      </c>
      <c r="F662" t="s">
        <v>46</v>
      </c>
      <c r="G662" t="s">
        <v>107</v>
      </c>
      <c r="I662" s="152"/>
    </row>
    <row r="663" spans="1:9" customFormat="1" ht="14.4" x14ac:dyDescent="0.3">
      <c r="B663" t="s">
        <v>1984</v>
      </c>
      <c r="C663" t="s">
        <v>1558</v>
      </c>
      <c r="D663" t="s">
        <v>101</v>
      </c>
      <c r="E663" s="45">
        <v>-264</v>
      </c>
      <c r="F663" t="s">
        <v>759</v>
      </c>
      <c r="I663" s="152"/>
    </row>
    <row r="664" spans="1:9" customFormat="1" ht="14.4" x14ac:dyDescent="0.3">
      <c r="B664" t="s">
        <v>1985</v>
      </c>
      <c r="C664" t="s">
        <v>759</v>
      </c>
      <c r="D664" t="s">
        <v>126</v>
      </c>
      <c r="E664" s="45">
        <v>-800</v>
      </c>
      <c r="F664" t="s">
        <v>759</v>
      </c>
      <c r="I664" s="152"/>
    </row>
    <row r="665" spans="1:9" customFormat="1" ht="14.4" x14ac:dyDescent="0.3">
      <c r="B665" t="s">
        <v>1985</v>
      </c>
      <c r="C665" t="s">
        <v>759</v>
      </c>
      <c r="D665" t="s">
        <v>126</v>
      </c>
      <c r="E665" s="45">
        <v>-800</v>
      </c>
      <c r="F665" t="s">
        <v>759</v>
      </c>
      <c r="I665" s="152"/>
    </row>
    <row r="666" spans="1:9" customFormat="1" ht="14.4" x14ac:dyDescent="0.3">
      <c r="B666" t="s">
        <v>1985</v>
      </c>
      <c r="C666" t="s">
        <v>759</v>
      </c>
      <c r="D666" t="s">
        <v>126</v>
      </c>
      <c r="E666" s="45">
        <v>-800</v>
      </c>
      <c r="F666" t="s">
        <v>759</v>
      </c>
      <c r="I666" s="152"/>
    </row>
    <row r="667" spans="1:9" customFormat="1" ht="14.4" x14ac:dyDescent="0.3">
      <c r="B667" t="s">
        <v>1985</v>
      </c>
      <c r="C667" t="s">
        <v>759</v>
      </c>
      <c r="D667" t="s">
        <v>126</v>
      </c>
      <c r="E667" s="45">
        <v>-800</v>
      </c>
      <c r="F667" t="s">
        <v>759</v>
      </c>
      <c r="I667" s="152"/>
    </row>
    <row r="668" spans="1:9" customFormat="1" ht="14.4" x14ac:dyDescent="0.3">
      <c r="A668" s="166"/>
      <c r="B668" s="166" t="s">
        <v>1985</v>
      </c>
      <c r="C668" s="166" t="s">
        <v>1144</v>
      </c>
      <c r="D668" s="166" t="s">
        <v>126</v>
      </c>
      <c r="E668" s="167">
        <v>-2400</v>
      </c>
      <c r="F668" s="166"/>
      <c r="G668" s="166"/>
      <c r="H668" s="166"/>
      <c r="I668" s="152" t="s">
        <v>1144</v>
      </c>
    </row>
    <row r="669" spans="1:9" customFormat="1" ht="14.4" x14ac:dyDescent="0.3">
      <c r="B669" t="s">
        <v>1985</v>
      </c>
      <c r="C669" t="s">
        <v>759</v>
      </c>
      <c r="D669" t="s">
        <v>126</v>
      </c>
      <c r="E669" s="45">
        <v>-800</v>
      </c>
      <c r="F669" t="s">
        <v>759</v>
      </c>
      <c r="I669" s="152"/>
    </row>
    <row r="670" spans="1:9" customFormat="1" ht="14.4" x14ac:dyDescent="0.3">
      <c r="B670" t="s">
        <v>1985</v>
      </c>
      <c r="C670" t="s">
        <v>759</v>
      </c>
      <c r="D670" t="s">
        <v>126</v>
      </c>
      <c r="E670" s="45">
        <v>-800</v>
      </c>
      <c r="F670" t="s">
        <v>759</v>
      </c>
      <c r="I670" s="152"/>
    </row>
    <row r="671" spans="1:9" customFormat="1" ht="14.4" x14ac:dyDescent="0.3">
      <c r="B671" t="s">
        <v>1985</v>
      </c>
      <c r="C671" t="s">
        <v>759</v>
      </c>
      <c r="D671" t="s">
        <v>126</v>
      </c>
      <c r="E671" s="45">
        <v>-800</v>
      </c>
      <c r="F671" t="s">
        <v>759</v>
      </c>
      <c r="I671" s="152"/>
    </row>
    <row r="672" spans="1:9" customFormat="1" ht="14.4" x14ac:dyDescent="0.3">
      <c r="B672" t="s">
        <v>1985</v>
      </c>
      <c r="C672" t="s">
        <v>759</v>
      </c>
      <c r="D672" t="s">
        <v>126</v>
      </c>
      <c r="E672" s="45">
        <v>-800</v>
      </c>
      <c r="F672" t="s">
        <v>759</v>
      </c>
      <c r="I672" s="152"/>
    </row>
    <row r="673" spans="1:9" customFormat="1" ht="14.4" x14ac:dyDescent="0.3">
      <c r="B673" t="s">
        <v>1985</v>
      </c>
      <c r="C673" t="s">
        <v>759</v>
      </c>
      <c r="D673" t="s">
        <v>126</v>
      </c>
      <c r="E673" s="45">
        <v>-800</v>
      </c>
      <c r="F673" t="s">
        <v>759</v>
      </c>
      <c r="I673" s="152"/>
    </row>
    <row r="674" spans="1:9" customFormat="1" ht="14.4" x14ac:dyDescent="0.3">
      <c r="B674" t="s">
        <v>1985</v>
      </c>
      <c r="C674" t="s">
        <v>759</v>
      </c>
      <c r="D674" t="s">
        <v>126</v>
      </c>
      <c r="E674" s="45">
        <v>-800</v>
      </c>
      <c r="F674" t="s">
        <v>759</v>
      </c>
      <c r="I674" s="152"/>
    </row>
    <row r="675" spans="1:9" customFormat="1" ht="14.4" x14ac:dyDescent="0.3">
      <c r="B675" t="s">
        <v>1986</v>
      </c>
      <c r="C675" t="s">
        <v>38</v>
      </c>
      <c r="D675" t="s">
        <v>101</v>
      </c>
      <c r="E675" s="45">
        <v>-500</v>
      </c>
      <c r="F675" t="s">
        <v>1633</v>
      </c>
      <c r="G675" t="s">
        <v>580</v>
      </c>
      <c r="I675" s="152"/>
    </row>
    <row r="676" spans="1:9" customFormat="1" ht="14.4" x14ac:dyDescent="0.3">
      <c r="B676" t="s">
        <v>1986</v>
      </c>
      <c r="C676" t="s">
        <v>508</v>
      </c>
      <c r="D676" t="s">
        <v>101</v>
      </c>
      <c r="E676" s="45">
        <v>-111</v>
      </c>
      <c r="F676" t="s">
        <v>508</v>
      </c>
      <c r="I676" s="152"/>
    </row>
    <row r="677" spans="1:9" customFormat="1" ht="14.4" x14ac:dyDescent="0.3">
      <c r="A677" s="166"/>
      <c r="B677" s="166" t="s">
        <v>1987</v>
      </c>
      <c r="C677" s="166" t="s">
        <v>144</v>
      </c>
      <c r="D677" s="166" t="s">
        <v>145</v>
      </c>
      <c r="E677" s="167">
        <v>2400</v>
      </c>
      <c r="F677" s="166"/>
      <c r="G677" s="166"/>
      <c r="H677" s="166"/>
      <c r="I677" s="152" t="s">
        <v>1144</v>
      </c>
    </row>
    <row r="678" spans="1:9" customFormat="1" ht="14.4" x14ac:dyDescent="0.3">
      <c r="B678" t="s">
        <v>1987</v>
      </c>
      <c r="C678" t="s">
        <v>838</v>
      </c>
      <c r="D678" t="s">
        <v>101</v>
      </c>
      <c r="E678" s="45">
        <v>-38</v>
      </c>
      <c r="F678" t="s">
        <v>46</v>
      </c>
      <c r="G678" t="s">
        <v>586</v>
      </c>
      <c r="H678" t="s">
        <v>586</v>
      </c>
      <c r="I678" s="152"/>
    </row>
    <row r="679" spans="1:9" customFormat="1" ht="14.4" x14ac:dyDescent="0.3">
      <c r="B679" t="s">
        <v>1987</v>
      </c>
      <c r="C679" t="s">
        <v>975</v>
      </c>
      <c r="D679" t="s">
        <v>101</v>
      </c>
      <c r="E679" s="45">
        <v>-641</v>
      </c>
      <c r="F679" t="s">
        <v>46</v>
      </c>
      <c r="G679" t="s">
        <v>107</v>
      </c>
      <c r="I679" s="152"/>
    </row>
    <row r="680" spans="1:9" customFormat="1" ht="14.4" x14ac:dyDescent="0.3">
      <c r="B680" t="s">
        <v>1988</v>
      </c>
      <c r="C680" t="s">
        <v>144</v>
      </c>
      <c r="D680" t="s">
        <v>145</v>
      </c>
      <c r="E680" s="45">
        <v>81000</v>
      </c>
      <c r="F680" t="s">
        <v>759</v>
      </c>
      <c r="I680" s="152"/>
    </row>
    <row r="681" spans="1:9" customFormat="1" ht="14.4" x14ac:dyDescent="0.3">
      <c r="B681" t="s">
        <v>1989</v>
      </c>
      <c r="C681" t="s">
        <v>759</v>
      </c>
      <c r="D681" t="s">
        <v>126</v>
      </c>
      <c r="E681" s="45">
        <v>-800</v>
      </c>
      <c r="F681" t="s">
        <v>759</v>
      </c>
      <c r="I681" s="152"/>
    </row>
    <row r="682" spans="1:9" customFormat="1" ht="14.4" x14ac:dyDescent="0.3">
      <c r="B682" t="s">
        <v>1989</v>
      </c>
      <c r="C682" t="s">
        <v>759</v>
      </c>
      <c r="D682" t="s">
        <v>126</v>
      </c>
      <c r="E682" s="45">
        <v>-800</v>
      </c>
      <c r="F682" t="s">
        <v>759</v>
      </c>
      <c r="I682" s="152"/>
    </row>
    <row r="683" spans="1:9" customFormat="1" ht="14.4" x14ac:dyDescent="0.3">
      <c r="B683" t="s">
        <v>1989</v>
      </c>
      <c r="C683" t="s">
        <v>759</v>
      </c>
      <c r="D683" t="s">
        <v>126</v>
      </c>
      <c r="E683" s="45">
        <v>-800</v>
      </c>
      <c r="F683" t="s">
        <v>759</v>
      </c>
      <c r="I683" s="152"/>
    </row>
    <row r="684" spans="1:9" customFormat="1" ht="14.4" x14ac:dyDescent="0.3">
      <c r="B684" t="s">
        <v>1989</v>
      </c>
      <c r="C684" t="s">
        <v>759</v>
      </c>
      <c r="D684" t="s">
        <v>126</v>
      </c>
      <c r="E684" s="45">
        <v>-800</v>
      </c>
      <c r="F684" t="s">
        <v>759</v>
      </c>
      <c r="I684" s="152"/>
    </row>
    <row r="685" spans="1:9" customFormat="1" ht="14.4" x14ac:dyDescent="0.3">
      <c r="B685" t="s">
        <v>1989</v>
      </c>
      <c r="C685" t="s">
        <v>759</v>
      </c>
      <c r="D685" t="s">
        <v>126</v>
      </c>
      <c r="E685" s="45">
        <v>-800</v>
      </c>
      <c r="F685" t="s">
        <v>759</v>
      </c>
      <c r="I685" s="152"/>
    </row>
    <row r="686" spans="1:9" customFormat="1" ht="14.4" x14ac:dyDescent="0.3">
      <c r="B686" t="s">
        <v>1989</v>
      </c>
      <c r="C686" t="s">
        <v>759</v>
      </c>
      <c r="D686" t="s">
        <v>126</v>
      </c>
      <c r="E686" s="45">
        <v>-800</v>
      </c>
      <c r="F686" t="s">
        <v>759</v>
      </c>
      <c r="I686" s="152"/>
    </row>
    <row r="687" spans="1:9" customFormat="1" ht="14.4" x14ac:dyDescent="0.3">
      <c r="B687" t="s">
        <v>1989</v>
      </c>
      <c r="C687" t="s">
        <v>759</v>
      </c>
      <c r="D687" t="s">
        <v>126</v>
      </c>
      <c r="E687" s="45">
        <v>-800</v>
      </c>
      <c r="F687" t="s">
        <v>759</v>
      </c>
      <c r="I687" s="152"/>
    </row>
    <row r="688" spans="1:9" customFormat="1" ht="14.4" x14ac:dyDescent="0.3">
      <c r="B688" t="s">
        <v>1989</v>
      </c>
      <c r="C688" t="s">
        <v>508</v>
      </c>
      <c r="D688" t="s">
        <v>101</v>
      </c>
      <c r="E688" s="45">
        <v>-5145</v>
      </c>
      <c r="F688" t="s">
        <v>508</v>
      </c>
      <c r="I688" s="152"/>
    </row>
    <row r="689" spans="1:9" customFormat="1" ht="14.4" x14ac:dyDescent="0.3">
      <c r="B689" t="s">
        <v>1989</v>
      </c>
      <c r="C689" t="s">
        <v>975</v>
      </c>
      <c r="D689" t="s">
        <v>101</v>
      </c>
      <c r="E689" s="45">
        <v>-258</v>
      </c>
      <c r="F689" t="s">
        <v>46</v>
      </c>
      <c r="G689" t="s">
        <v>107</v>
      </c>
      <c r="I689" s="152"/>
    </row>
    <row r="690" spans="1:9" customFormat="1" ht="14.4" x14ac:dyDescent="0.3">
      <c r="B690" t="s">
        <v>1990</v>
      </c>
      <c r="C690" t="s">
        <v>144</v>
      </c>
      <c r="D690" t="s">
        <v>145</v>
      </c>
      <c r="E690" s="45">
        <v>905</v>
      </c>
      <c r="F690" t="s">
        <v>46</v>
      </c>
      <c r="G690" t="s">
        <v>580</v>
      </c>
      <c r="H690" t="s">
        <v>582</v>
      </c>
      <c r="I690" s="152" t="s">
        <v>2147</v>
      </c>
    </row>
    <row r="691" spans="1:9" customFormat="1" ht="14.4" x14ac:dyDescent="0.3">
      <c r="B691" t="s">
        <v>1991</v>
      </c>
      <c r="C691" t="s">
        <v>1992</v>
      </c>
      <c r="D691" t="s">
        <v>126</v>
      </c>
      <c r="E691" s="45">
        <v>-5000</v>
      </c>
      <c r="F691" t="s">
        <v>24</v>
      </c>
      <c r="G691" t="s">
        <v>580</v>
      </c>
      <c r="H691" t="s">
        <v>593</v>
      </c>
      <c r="I691" s="152"/>
    </row>
    <row r="692" spans="1:9" customFormat="1" ht="14.4" x14ac:dyDescent="0.3">
      <c r="A692" s="166"/>
      <c r="B692" s="166" t="s">
        <v>1991</v>
      </c>
      <c r="C692" s="166" t="s">
        <v>1144</v>
      </c>
      <c r="D692" s="166" t="s">
        <v>126</v>
      </c>
      <c r="E692" s="167">
        <v>-400</v>
      </c>
      <c r="F692" s="166"/>
      <c r="G692" s="166"/>
      <c r="H692" s="166"/>
      <c r="I692" s="152" t="s">
        <v>1144</v>
      </c>
    </row>
    <row r="693" spans="1:9" customFormat="1" ht="14.4" x14ac:dyDescent="0.3">
      <c r="B693" t="s">
        <v>1991</v>
      </c>
      <c r="C693" t="s">
        <v>1615</v>
      </c>
      <c r="D693" t="s">
        <v>1993</v>
      </c>
      <c r="E693" s="45">
        <v>15</v>
      </c>
      <c r="F693" t="s">
        <v>1441</v>
      </c>
      <c r="I693" s="152"/>
    </row>
    <row r="694" spans="1:9" customFormat="1" ht="14.4" x14ac:dyDescent="0.3">
      <c r="B694" t="s">
        <v>1991</v>
      </c>
      <c r="C694" t="s">
        <v>1615</v>
      </c>
      <c r="D694" t="s">
        <v>1994</v>
      </c>
      <c r="E694" s="45">
        <v>35</v>
      </c>
      <c r="F694" t="s">
        <v>1441</v>
      </c>
      <c r="I694" s="152"/>
    </row>
    <row r="695" spans="1:9" customFormat="1" ht="14.4" x14ac:dyDescent="0.3">
      <c r="B695" t="s">
        <v>1991</v>
      </c>
      <c r="C695" t="s">
        <v>1615</v>
      </c>
      <c r="D695" t="s">
        <v>1995</v>
      </c>
      <c r="E695" s="45">
        <v>25</v>
      </c>
      <c r="F695" t="s">
        <v>1441</v>
      </c>
      <c r="I695" s="152"/>
    </row>
    <row r="696" spans="1:9" customFormat="1" ht="14.4" x14ac:dyDescent="0.3">
      <c r="B696" t="s">
        <v>1991</v>
      </c>
      <c r="C696" t="s">
        <v>1615</v>
      </c>
      <c r="D696" t="s">
        <v>1996</v>
      </c>
      <c r="E696" s="45">
        <v>10</v>
      </c>
      <c r="F696" t="s">
        <v>1441</v>
      </c>
      <c r="I696" s="152"/>
    </row>
    <row r="697" spans="1:9" customFormat="1" ht="14.4" x14ac:dyDescent="0.3">
      <c r="B697" t="s">
        <v>1991</v>
      </c>
      <c r="C697" t="s">
        <v>1615</v>
      </c>
      <c r="D697" t="s">
        <v>1997</v>
      </c>
      <c r="E697" s="45">
        <v>30</v>
      </c>
      <c r="F697" t="s">
        <v>1441</v>
      </c>
      <c r="I697" s="152"/>
    </row>
    <row r="698" spans="1:9" customFormat="1" ht="14.4" x14ac:dyDescent="0.3">
      <c r="B698" t="s">
        <v>1991</v>
      </c>
      <c r="C698" t="s">
        <v>1615</v>
      </c>
      <c r="D698" t="s">
        <v>1998</v>
      </c>
      <c r="E698" s="45">
        <v>15</v>
      </c>
      <c r="F698" t="s">
        <v>1441</v>
      </c>
      <c r="I698" s="152"/>
    </row>
    <row r="699" spans="1:9" customFormat="1" ht="14.4" x14ac:dyDescent="0.3">
      <c r="B699" t="s">
        <v>1991</v>
      </c>
      <c r="C699" t="s">
        <v>1615</v>
      </c>
      <c r="D699" t="s">
        <v>1999</v>
      </c>
      <c r="E699" s="45">
        <v>25</v>
      </c>
      <c r="F699" t="s">
        <v>1441</v>
      </c>
      <c r="I699" s="152"/>
    </row>
    <row r="700" spans="1:9" customFormat="1" ht="14.4" x14ac:dyDescent="0.3">
      <c r="B700" t="s">
        <v>1991</v>
      </c>
      <c r="C700" t="s">
        <v>1615</v>
      </c>
      <c r="D700" t="s">
        <v>2000</v>
      </c>
      <c r="E700" s="45">
        <v>25</v>
      </c>
      <c r="F700" t="s">
        <v>1441</v>
      </c>
      <c r="I700" s="152"/>
    </row>
    <row r="701" spans="1:9" customFormat="1" ht="14.4" x14ac:dyDescent="0.3">
      <c r="B701" t="s">
        <v>1991</v>
      </c>
      <c r="C701" t="s">
        <v>1615</v>
      </c>
      <c r="D701" t="s">
        <v>2001</v>
      </c>
      <c r="E701" s="45">
        <v>27</v>
      </c>
      <c r="F701" t="s">
        <v>1441</v>
      </c>
      <c r="I701" s="152"/>
    </row>
    <row r="702" spans="1:9" customFormat="1" ht="14.4" x14ac:dyDescent="0.3">
      <c r="B702" t="s">
        <v>2002</v>
      </c>
      <c r="C702" t="s">
        <v>144</v>
      </c>
      <c r="D702" t="s">
        <v>145</v>
      </c>
      <c r="E702" s="45">
        <v>800</v>
      </c>
      <c r="F702" t="s">
        <v>22</v>
      </c>
      <c r="G702" t="s">
        <v>580</v>
      </c>
      <c r="H702" t="s">
        <v>593</v>
      </c>
      <c r="I702" s="152"/>
    </row>
    <row r="703" spans="1:9" customFormat="1" ht="14.4" x14ac:dyDescent="0.3">
      <c r="B703" t="s">
        <v>2003</v>
      </c>
      <c r="C703" t="s">
        <v>144</v>
      </c>
      <c r="D703" t="s">
        <v>145</v>
      </c>
      <c r="E703" s="45">
        <v>5480</v>
      </c>
      <c r="F703" t="s">
        <v>24</v>
      </c>
      <c r="I703" s="231" t="s">
        <v>2146</v>
      </c>
    </row>
    <row r="704" spans="1:9" customFormat="1" ht="14.4" x14ac:dyDescent="0.3">
      <c r="B704" t="s">
        <v>2003</v>
      </c>
      <c r="C704" t="s">
        <v>1148</v>
      </c>
      <c r="D704" t="s">
        <v>284</v>
      </c>
      <c r="E704" s="45">
        <v>125</v>
      </c>
      <c r="F704" t="s">
        <v>1441</v>
      </c>
      <c r="I704" s="152"/>
    </row>
    <row r="705" spans="1:9" customFormat="1" ht="14.4" x14ac:dyDescent="0.3">
      <c r="B705" t="s">
        <v>2004</v>
      </c>
      <c r="C705" t="s">
        <v>493</v>
      </c>
      <c r="D705" t="s">
        <v>101</v>
      </c>
      <c r="E705" s="45">
        <v>-341</v>
      </c>
      <c r="F705" t="s">
        <v>493</v>
      </c>
      <c r="I705" s="152" t="s">
        <v>231</v>
      </c>
    </row>
    <row r="706" spans="1:9" customFormat="1" ht="14.4" x14ac:dyDescent="0.3">
      <c r="B706" t="s">
        <v>2004</v>
      </c>
      <c r="C706" t="s">
        <v>1404</v>
      </c>
      <c r="D706" t="s">
        <v>101</v>
      </c>
      <c r="E706" s="45">
        <v>-1208</v>
      </c>
      <c r="F706" t="s">
        <v>46</v>
      </c>
      <c r="G706" t="s">
        <v>586</v>
      </c>
      <c r="H706" t="s">
        <v>586</v>
      </c>
      <c r="I706" s="152"/>
    </row>
    <row r="707" spans="1:9" customFormat="1" ht="14.4" x14ac:dyDescent="0.3">
      <c r="B707" t="s">
        <v>2005</v>
      </c>
      <c r="C707" t="s">
        <v>995</v>
      </c>
      <c r="D707" t="s">
        <v>126</v>
      </c>
      <c r="E707" s="45">
        <v>-775</v>
      </c>
      <c r="F707" t="s">
        <v>39</v>
      </c>
      <c r="G707" t="s">
        <v>586</v>
      </c>
      <c r="H707" t="s">
        <v>586</v>
      </c>
      <c r="I707" s="152"/>
    </row>
    <row r="708" spans="1:9" customFormat="1" ht="14.4" x14ac:dyDescent="0.3">
      <c r="B708" t="s">
        <v>2005</v>
      </c>
      <c r="C708" t="s">
        <v>2006</v>
      </c>
      <c r="D708" t="s">
        <v>284</v>
      </c>
      <c r="E708" s="45">
        <v>899</v>
      </c>
      <c r="F708" t="s">
        <v>46</v>
      </c>
      <c r="G708" t="s">
        <v>586</v>
      </c>
      <c r="H708" t="s">
        <v>586</v>
      </c>
      <c r="I708" s="152"/>
    </row>
    <row r="709" spans="1:9" customFormat="1" ht="14.4" x14ac:dyDescent="0.3">
      <c r="B709" t="s">
        <v>2005</v>
      </c>
      <c r="C709" t="s">
        <v>1148</v>
      </c>
      <c r="D709" t="s">
        <v>284</v>
      </c>
      <c r="E709" s="45">
        <v>300</v>
      </c>
      <c r="F709" t="s">
        <v>1441</v>
      </c>
      <c r="I709" s="152"/>
    </row>
    <row r="710" spans="1:9" customFormat="1" ht="14.4" x14ac:dyDescent="0.3">
      <c r="B710" t="s">
        <v>2005</v>
      </c>
      <c r="C710" t="s">
        <v>154</v>
      </c>
      <c r="D710" t="s">
        <v>101</v>
      </c>
      <c r="E710" s="45">
        <v>-1900</v>
      </c>
      <c r="F710" t="s">
        <v>154</v>
      </c>
      <c r="G710" t="s">
        <v>580</v>
      </c>
      <c r="H710" t="s">
        <v>592</v>
      </c>
      <c r="I710" s="152" t="s">
        <v>2145</v>
      </c>
    </row>
    <row r="711" spans="1:9" customFormat="1" ht="14.4" x14ac:dyDescent="0.3">
      <c r="B711" t="s">
        <v>2005</v>
      </c>
      <c r="C711" t="s">
        <v>1615</v>
      </c>
      <c r="D711" t="s">
        <v>1817</v>
      </c>
      <c r="E711" s="45">
        <v>15</v>
      </c>
      <c r="F711" t="s">
        <v>1441</v>
      </c>
      <c r="I711" s="152"/>
    </row>
    <row r="712" spans="1:9" customFormat="1" ht="14.4" x14ac:dyDescent="0.3">
      <c r="B712" t="s">
        <v>2005</v>
      </c>
      <c r="C712" t="s">
        <v>1615</v>
      </c>
      <c r="D712" t="s">
        <v>2007</v>
      </c>
      <c r="E712" s="45">
        <v>10</v>
      </c>
      <c r="F712" t="s">
        <v>1441</v>
      </c>
      <c r="I712" s="152"/>
    </row>
    <row r="713" spans="1:9" customFormat="1" ht="14.4" x14ac:dyDescent="0.3">
      <c r="B713" t="s">
        <v>2005</v>
      </c>
      <c r="C713" t="s">
        <v>1615</v>
      </c>
      <c r="D713" t="s">
        <v>1819</v>
      </c>
      <c r="E713" s="45">
        <v>37</v>
      </c>
      <c r="F713" t="s">
        <v>1441</v>
      </c>
      <c r="I713" s="152"/>
    </row>
    <row r="714" spans="1:9" customFormat="1" ht="14.4" x14ac:dyDescent="0.3">
      <c r="B714" t="s">
        <v>2005</v>
      </c>
      <c r="C714" t="s">
        <v>1615</v>
      </c>
      <c r="D714" t="s">
        <v>1665</v>
      </c>
      <c r="E714" s="45">
        <v>10</v>
      </c>
      <c r="F714" t="s">
        <v>1441</v>
      </c>
      <c r="I714" s="152"/>
    </row>
    <row r="715" spans="1:9" customFormat="1" ht="14.4" x14ac:dyDescent="0.3">
      <c r="B715" t="s">
        <v>2005</v>
      </c>
      <c r="C715" t="s">
        <v>1615</v>
      </c>
      <c r="D715" t="s">
        <v>2008</v>
      </c>
      <c r="E715" s="45">
        <v>10</v>
      </c>
      <c r="F715" t="s">
        <v>1441</v>
      </c>
      <c r="I715" s="152"/>
    </row>
    <row r="716" spans="1:9" customFormat="1" ht="14.4" x14ac:dyDescent="0.3">
      <c r="B716" t="s">
        <v>2005</v>
      </c>
      <c r="C716" t="s">
        <v>1615</v>
      </c>
      <c r="D716" t="s">
        <v>2009</v>
      </c>
      <c r="E716" s="45">
        <v>38</v>
      </c>
      <c r="F716" t="s">
        <v>1441</v>
      </c>
      <c r="I716" s="152"/>
    </row>
    <row r="717" spans="1:9" customFormat="1" ht="14.4" x14ac:dyDescent="0.3">
      <c r="B717" t="s">
        <v>2005</v>
      </c>
      <c r="C717" t="s">
        <v>1615</v>
      </c>
      <c r="D717" t="s">
        <v>1823</v>
      </c>
      <c r="E717" s="45">
        <v>187</v>
      </c>
      <c r="F717" t="s">
        <v>1441</v>
      </c>
      <c r="I717" s="152"/>
    </row>
    <row r="718" spans="1:9" customFormat="1" ht="14.4" x14ac:dyDescent="0.3">
      <c r="A718" s="166"/>
      <c r="B718" s="166" t="s">
        <v>2005</v>
      </c>
      <c r="C718" s="166" t="s">
        <v>1144</v>
      </c>
      <c r="D718" s="166" t="s">
        <v>126</v>
      </c>
      <c r="E718" s="167">
        <v>-2000</v>
      </c>
      <c r="F718" s="166"/>
      <c r="G718" s="166"/>
      <c r="H718" s="166"/>
      <c r="I718" s="152"/>
    </row>
    <row r="719" spans="1:9" customFormat="1" ht="28.8" x14ac:dyDescent="0.3">
      <c r="B719" t="s">
        <v>2010</v>
      </c>
      <c r="C719" t="s">
        <v>144</v>
      </c>
      <c r="D719" t="s">
        <v>145</v>
      </c>
      <c r="E719" s="45">
        <v>3200</v>
      </c>
      <c r="F719" t="s">
        <v>22</v>
      </c>
      <c r="I719" s="231" t="s">
        <v>2144</v>
      </c>
    </row>
    <row r="720" spans="1:9" customFormat="1" ht="14.4" x14ac:dyDescent="0.3">
      <c r="B720" t="s">
        <v>2010</v>
      </c>
      <c r="C720" t="s">
        <v>1615</v>
      </c>
      <c r="D720" t="s">
        <v>1715</v>
      </c>
      <c r="E720" s="45">
        <v>67</v>
      </c>
      <c r="F720" t="s">
        <v>1441</v>
      </c>
      <c r="I720" s="152"/>
    </row>
    <row r="721" spans="2:9" customFormat="1" ht="14.4" x14ac:dyDescent="0.3">
      <c r="B721" t="s">
        <v>2010</v>
      </c>
      <c r="C721" t="s">
        <v>1615</v>
      </c>
      <c r="D721" t="s">
        <v>2011</v>
      </c>
      <c r="E721" s="45">
        <v>15</v>
      </c>
      <c r="F721" t="s">
        <v>1441</v>
      </c>
      <c r="I721" s="152"/>
    </row>
    <row r="722" spans="2:9" customFormat="1" ht="14.4" x14ac:dyDescent="0.3">
      <c r="B722" t="s">
        <v>2010</v>
      </c>
      <c r="C722" t="s">
        <v>2012</v>
      </c>
      <c r="D722" t="s">
        <v>101</v>
      </c>
      <c r="E722" s="45">
        <v>-1341</v>
      </c>
      <c r="F722" t="s">
        <v>46</v>
      </c>
      <c r="G722" t="s">
        <v>580</v>
      </c>
      <c r="H722" t="s">
        <v>1853</v>
      </c>
      <c r="I722" s="152"/>
    </row>
    <row r="723" spans="2:9" customFormat="1" ht="14.4" x14ac:dyDescent="0.3">
      <c r="B723" t="s">
        <v>2010</v>
      </c>
      <c r="C723" t="s">
        <v>838</v>
      </c>
      <c r="D723" t="s">
        <v>101</v>
      </c>
      <c r="E723" s="45">
        <v>-3265</v>
      </c>
      <c r="F723" t="s">
        <v>46</v>
      </c>
      <c r="G723" t="s">
        <v>586</v>
      </c>
      <c r="H723" t="s">
        <v>586</v>
      </c>
      <c r="I723" s="152"/>
    </row>
    <row r="724" spans="2:9" customFormat="1" ht="14.4" x14ac:dyDescent="0.3">
      <c r="B724" t="s">
        <v>2010</v>
      </c>
      <c r="C724" t="s">
        <v>940</v>
      </c>
      <c r="D724" t="s">
        <v>101</v>
      </c>
      <c r="E724" s="45">
        <v>-5500</v>
      </c>
      <c r="F724" t="s">
        <v>940</v>
      </c>
      <c r="G724" t="s">
        <v>580</v>
      </c>
      <c r="I724" s="152" t="s">
        <v>1758</v>
      </c>
    </row>
    <row r="725" spans="2:9" customFormat="1" ht="14.4" x14ac:dyDescent="0.3">
      <c r="B725" t="s">
        <v>2013</v>
      </c>
      <c r="C725" t="s">
        <v>1452</v>
      </c>
      <c r="D725" t="s">
        <v>101</v>
      </c>
      <c r="E725" s="45">
        <v>-1400</v>
      </c>
      <c r="F725" t="s">
        <v>36</v>
      </c>
      <c r="G725" t="s">
        <v>580</v>
      </c>
      <c r="H725" t="s">
        <v>1158</v>
      </c>
      <c r="I725" s="152"/>
    </row>
    <row r="726" spans="2:9" customFormat="1" ht="14.4" x14ac:dyDescent="0.3">
      <c r="B726" t="s">
        <v>2013</v>
      </c>
      <c r="C726" t="s">
        <v>1615</v>
      </c>
      <c r="D726" t="s">
        <v>2014</v>
      </c>
      <c r="E726" s="45">
        <v>70</v>
      </c>
      <c r="F726" t="s">
        <v>1441</v>
      </c>
      <c r="I726" s="152"/>
    </row>
    <row r="727" spans="2:9" customFormat="1" ht="14.4" x14ac:dyDescent="0.3">
      <c r="B727" t="s">
        <v>2013</v>
      </c>
      <c r="C727" t="s">
        <v>1615</v>
      </c>
      <c r="D727" t="s">
        <v>2015</v>
      </c>
      <c r="E727" s="45">
        <v>10</v>
      </c>
      <c r="F727" t="s">
        <v>1441</v>
      </c>
      <c r="I727" s="152"/>
    </row>
    <row r="728" spans="2:9" customFormat="1" ht="14.4" x14ac:dyDescent="0.3">
      <c r="B728" t="s">
        <v>2013</v>
      </c>
      <c r="C728" t="s">
        <v>1615</v>
      </c>
      <c r="D728" t="s">
        <v>1711</v>
      </c>
      <c r="E728" s="45">
        <v>10</v>
      </c>
      <c r="F728" t="s">
        <v>1441</v>
      </c>
      <c r="I728" s="152"/>
    </row>
    <row r="729" spans="2:9" customFormat="1" ht="14.4" x14ac:dyDescent="0.3">
      <c r="B729" t="s">
        <v>2013</v>
      </c>
      <c r="C729" t="s">
        <v>1615</v>
      </c>
      <c r="D729" t="s">
        <v>1711</v>
      </c>
      <c r="E729" s="45">
        <v>10</v>
      </c>
      <c r="F729" t="s">
        <v>1441</v>
      </c>
      <c r="I729" s="152"/>
    </row>
    <row r="730" spans="2:9" customFormat="1" ht="14.4" x14ac:dyDescent="0.3">
      <c r="B730" t="s">
        <v>2013</v>
      </c>
      <c r="C730" t="s">
        <v>1615</v>
      </c>
      <c r="D730" t="s">
        <v>2016</v>
      </c>
      <c r="E730" s="45">
        <v>10</v>
      </c>
      <c r="F730" t="s">
        <v>1441</v>
      </c>
      <c r="I730" s="152"/>
    </row>
    <row r="731" spans="2:9" customFormat="1" ht="14.4" x14ac:dyDescent="0.3">
      <c r="B731" t="s">
        <v>2013</v>
      </c>
      <c r="C731" t="s">
        <v>1615</v>
      </c>
      <c r="D731" t="s">
        <v>2017</v>
      </c>
      <c r="E731" s="45">
        <v>20</v>
      </c>
      <c r="F731" t="s">
        <v>1441</v>
      </c>
      <c r="I731" s="152"/>
    </row>
    <row r="732" spans="2:9" customFormat="1" ht="14.4" x14ac:dyDescent="0.3">
      <c r="B732" t="s">
        <v>2013</v>
      </c>
      <c r="C732" t="s">
        <v>1615</v>
      </c>
      <c r="D732" t="s">
        <v>2018</v>
      </c>
      <c r="E732" s="45">
        <v>30</v>
      </c>
      <c r="F732" t="s">
        <v>1441</v>
      </c>
      <c r="I732" s="152"/>
    </row>
    <row r="733" spans="2:9" customFormat="1" ht="14.4" x14ac:dyDescent="0.3">
      <c r="B733" t="s">
        <v>2013</v>
      </c>
      <c r="C733" t="s">
        <v>1615</v>
      </c>
      <c r="D733" t="s">
        <v>2016</v>
      </c>
      <c r="E733" s="45">
        <v>60</v>
      </c>
      <c r="F733" t="s">
        <v>1441</v>
      </c>
      <c r="I733" s="152"/>
    </row>
    <row r="734" spans="2:9" customFormat="1" ht="14.4" x14ac:dyDescent="0.3">
      <c r="B734" t="s">
        <v>2013</v>
      </c>
      <c r="C734" t="s">
        <v>1615</v>
      </c>
      <c r="D734" t="s">
        <v>2019</v>
      </c>
      <c r="E734" s="45">
        <v>20</v>
      </c>
      <c r="F734" t="s">
        <v>1441</v>
      </c>
      <c r="I734" s="152"/>
    </row>
    <row r="735" spans="2:9" customFormat="1" ht="14.4" x14ac:dyDescent="0.3">
      <c r="B735" t="s">
        <v>2013</v>
      </c>
      <c r="C735" t="s">
        <v>1615</v>
      </c>
      <c r="D735" t="s">
        <v>2020</v>
      </c>
      <c r="E735" s="45">
        <v>24</v>
      </c>
      <c r="F735" t="s">
        <v>1441</v>
      </c>
      <c r="I735" s="152"/>
    </row>
    <row r="736" spans="2:9" customFormat="1" ht="14.4" x14ac:dyDescent="0.3">
      <c r="B736" t="s">
        <v>2013</v>
      </c>
      <c r="C736" t="s">
        <v>1615</v>
      </c>
      <c r="D736" t="s">
        <v>2021</v>
      </c>
      <c r="E736" s="45">
        <v>80</v>
      </c>
      <c r="F736" t="s">
        <v>1441</v>
      </c>
      <c r="I736" s="152"/>
    </row>
    <row r="737" spans="2:9" customFormat="1" ht="14.4" x14ac:dyDescent="0.3">
      <c r="B737" t="s">
        <v>2013</v>
      </c>
      <c r="C737" t="s">
        <v>1615</v>
      </c>
      <c r="D737" t="s">
        <v>2022</v>
      </c>
      <c r="E737" s="45">
        <v>50</v>
      </c>
      <c r="F737" t="s">
        <v>1441</v>
      </c>
      <c r="I737" s="152"/>
    </row>
    <row r="738" spans="2:9" customFormat="1" ht="14.4" x14ac:dyDescent="0.3">
      <c r="B738" t="s">
        <v>2013</v>
      </c>
      <c r="C738" t="s">
        <v>1615</v>
      </c>
      <c r="D738" t="s">
        <v>2023</v>
      </c>
      <c r="E738" s="45">
        <v>46</v>
      </c>
      <c r="F738" t="s">
        <v>1441</v>
      </c>
      <c r="I738" s="152"/>
    </row>
    <row r="739" spans="2:9" customFormat="1" ht="14.4" x14ac:dyDescent="0.3">
      <c r="B739" t="s">
        <v>2013</v>
      </c>
      <c r="C739" t="s">
        <v>1615</v>
      </c>
      <c r="D739" t="s">
        <v>2024</v>
      </c>
      <c r="E739" s="45">
        <v>15</v>
      </c>
      <c r="F739" t="s">
        <v>1441</v>
      </c>
      <c r="I739" s="152"/>
    </row>
    <row r="740" spans="2:9" customFormat="1" ht="14.4" x14ac:dyDescent="0.3">
      <c r="B740" t="s">
        <v>2013</v>
      </c>
      <c r="C740" t="s">
        <v>1615</v>
      </c>
      <c r="D740" t="s">
        <v>2025</v>
      </c>
      <c r="E740" s="45">
        <v>30</v>
      </c>
      <c r="F740" t="s">
        <v>1441</v>
      </c>
      <c r="I740" s="152"/>
    </row>
    <row r="741" spans="2:9" customFormat="1" ht="14.4" x14ac:dyDescent="0.3">
      <c r="B741" t="s">
        <v>2013</v>
      </c>
      <c r="C741" t="s">
        <v>1615</v>
      </c>
      <c r="D741" t="s">
        <v>2026</v>
      </c>
      <c r="E741" s="45">
        <v>40</v>
      </c>
      <c r="F741" t="s">
        <v>1441</v>
      </c>
      <c r="I741" s="152"/>
    </row>
    <row r="742" spans="2:9" customFormat="1" ht="14.4" x14ac:dyDescent="0.3">
      <c r="B742" t="s">
        <v>2013</v>
      </c>
      <c r="C742" t="s">
        <v>1615</v>
      </c>
      <c r="D742" t="s">
        <v>2024</v>
      </c>
      <c r="E742" s="45">
        <v>15</v>
      </c>
      <c r="F742" t="s">
        <v>1441</v>
      </c>
      <c r="I742" s="152"/>
    </row>
    <row r="743" spans="2:9" customFormat="1" ht="14.4" x14ac:dyDescent="0.3">
      <c r="B743" t="s">
        <v>2013</v>
      </c>
      <c r="C743" t="s">
        <v>1615</v>
      </c>
      <c r="D743" t="s">
        <v>2027</v>
      </c>
      <c r="E743" s="45">
        <v>42</v>
      </c>
      <c r="F743" t="s">
        <v>1441</v>
      </c>
      <c r="I743" s="152"/>
    </row>
    <row r="744" spans="2:9" customFormat="1" ht="14.4" x14ac:dyDescent="0.3">
      <c r="B744" t="s">
        <v>2013</v>
      </c>
      <c r="C744" t="s">
        <v>1615</v>
      </c>
      <c r="D744" t="s">
        <v>2028</v>
      </c>
      <c r="E744" s="45">
        <v>45</v>
      </c>
      <c r="F744" t="s">
        <v>1441</v>
      </c>
      <c r="I744" s="152"/>
    </row>
    <row r="745" spans="2:9" customFormat="1" ht="14.4" x14ac:dyDescent="0.3">
      <c r="B745" t="s">
        <v>2013</v>
      </c>
      <c r="C745" t="s">
        <v>1615</v>
      </c>
      <c r="D745" t="s">
        <v>2021</v>
      </c>
      <c r="E745" s="45">
        <v>30</v>
      </c>
      <c r="F745" t="s">
        <v>1441</v>
      </c>
      <c r="I745" s="152"/>
    </row>
    <row r="746" spans="2:9" customFormat="1" ht="14.4" x14ac:dyDescent="0.3">
      <c r="B746" t="s">
        <v>2013</v>
      </c>
      <c r="C746" t="s">
        <v>1615</v>
      </c>
      <c r="D746" t="s">
        <v>1711</v>
      </c>
      <c r="E746" s="45">
        <v>10</v>
      </c>
      <c r="F746" t="s">
        <v>1441</v>
      </c>
      <c r="I746" s="152"/>
    </row>
    <row r="747" spans="2:9" customFormat="1" ht="14.4" x14ac:dyDescent="0.3">
      <c r="B747" t="s">
        <v>2013</v>
      </c>
      <c r="C747" t="s">
        <v>1615</v>
      </c>
      <c r="D747" t="s">
        <v>2029</v>
      </c>
      <c r="E747" s="45">
        <v>50</v>
      </c>
      <c r="F747" t="s">
        <v>1441</v>
      </c>
      <c r="I747" s="152"/>
    </row>
    <row r="748" spans="2:9" customFormat="1" ht="14.4" x14ac:dyDescent="0.3">
      <c r="B748" t="s">
        <v>2013</v>
      </c>
      <c r="C748" t="s">
        <v>1615</v>
      </c>
      <c r="D748" t="s">
        <v>2030</v>
      </c>
      <c r="E748" s="45">
        <v>15</v>
      </c>
      <c r="F748" t="s">
        <v>1441</v>
      </c>
      <c r="I748" s="152"/>
    </row>
    <row r="749" spans="2:9" customFormat="1" ht="14.4" x14ac:dyDescent="0.3">
      <c r="B749" t="s">
        <v>2013</v>
      </c>
      <c r="C749" t="s">
        <v>1615</v>
      </c>
      <c r="D749" t="s">
        <v>2031</v>
      </c>
      <c r="E749" s="45">
        <v>10</v>
      </c>
      <c r="F749" t="s">
        <v>1441</v>
      </c>
      <c r="I749" s="152"/>
    </row>
    <row r="750" spans="2:9" customFormat="1" ht="14.4" x14ac:dyDescent="0.3">
      <c r="B750" t="s">
        <v>2013</v>
      </c>
      <c r="C750" t="s">
        <v>1615</v>
      </c>
      <c r="D750" t="s">
        <v>2032</v>
      </c>
      <c r="E750" s="45">
        <v>30</v>
      </c>
      <c r="F750" t="s">
        <v>1441</v>
      </c>
      <c r="I750" s="152"/>
    </row>
    <row r="751" spans="2:9" customFormat="1" ht="14.4" x14ac:dyDescent="0.3">
      <c r="B751" t="s">
        <v>2013</v>
      </c>
      <c r="C751" t="s">
        <v>1615</v>
      </c>
      <c r="D751" t="s">
        <v>2031</v>
      </c>
      <c r="E751" s="45">
        <v>15</v>
      </c>
      <c r="F751" t="s">
        <v>1441</v>
      </c>
      <c r="I751" s="152"/>
    </row>
    <row r="752" spans="2:9" customFormat="1" ht="14.4" x14ac:dyDescent="0.3">
      <c r="B752" t="s">
        <v>2013</v>
      </c>
      <c r="C752" t="s">
        <v>1615</v>
      </c>
      <c r="D752" t="s">
        <v>2019</v>
      </c>
      <c r="E752" s="45">
        <v>10</v>
      </c>
      <c r="F752" t="s">
        <v>1441</v>
      </c>
      <c r="I752" s="152"/>
    </row>
    <row r="753" spans="2:9" customFormat="1" ht="14.4" x14ac:dyDescent="0.3">
      <c r="B753" t="s">
        <v>2013</v>
      </c>
      <c r="C753" t="s">
        <v>1615</v>
      </c>
      <c r="D753" t="s">
        <v>2033</v>
      </c>
      <c r="E753" s="45">
        <v>50</v>
      </c>
      <c r="F753" t="s">
        <v>1441</v>
      </c>
      <c r="I753" s="152"/>
    </row>
    <row r="754" spans="2:9" customFormat="1" ht="14.4" x14ac:dyDescent="0.3">
      <c r="B754" t="s">
        <v>2013</v>
      </c>
      <c r="C754" t="s">
        <v>1615</v>
      </c>
      <c r="D754" t="s">
        <v>2026</v>
      </c>
      <c r="E754" s="45">
        <v>25</v>
      </c>
      <c r="F754" t="s">
        <v>1441</v>
      </c>
      <c r="I754" s="152"/>
    </row>
    <row r="755" spans="2:9" customFormat="1" ht="14.4" x14ac:dyDescent="0.3">
      <c r="B755" t="s">
        <v>2013</v>
      </c>
      <c r="C755" t="s">
        <v>1615</v>
      </c>
      <c r="D755" t="s">
        <v>2034</v>
      </c>
      <c r="E755" s="45">
        <v>30</v>
      </c>
      <c r="F755" t="s">
        <v>1441</v>
      </c>
      <c r="I755" s="152"/>
    </row>
    <row r="756" spans="2:9" customFormat="1" ht="14.4" x14ac:dyDescent="0.3">
      <c r="B756" t="s">
        <v>2013</v>
      </c>
      <c r="C756" t="s">
        <v>1615</v>
      </c>
      <c r="D756" t="s">
        <v>2035</v>
      </c>
      <c r="E756" s="45">
        <v>75</v>
      </c>
      <c r="F756" t="s">
        <v>1441</v>
      </c>
      <c r="I756" s="152"/>
    </row>
    <row r="757" spans="2:9" customFormat="1" ht="14.4" x14ac:dyDescent="0.3">
      <c r="B757" t="s">
        <v>2013</v>
      </c>
      <c r="C757" t="s">
        <v>1615</v>
      </c>
      <c r="D757" t="s">
        <v>2036</v>
      </c>
      <c r="E757" s="45">
        <v>95</v>
      </c>
      <c r="F757" t="s">
        <v>1441</v>
      </c>
      <c r="I757" s="152"/>
    </row>
    <row r="758" spans="2:9" customFormat="1" ht="14.4" x14ac:dyDescent="0.3">
      <c r="B758" t="s">
        <v>2013</v>
      </c>
      <c r="C758" t="s">
        <v>1615</v>
      </c>
      <c r="D758" t="s">
        <v>2030</v>
      </c>
      <c r="E758" s="45">
        <v>30</v>
      </c>
      <c r="F758" t="s">
        <v>1441</v>
      </c>
      <c r="I758" s="152"/>
    </row>
    <row r="759" spans="2:9" customFormat="1" ht="14.4" x14ac:dyDescent="0.3">
      <c r="B759" t="s">
        <v>2013</v>
      </c>
      <c r="C759" t="s">
        <v>1615</v>
      </c>
      <c r="D759" t="s">
        <v>2019</v>
      </c>
      <c r="E759" s="45">
        <v>10</v>
      </c>
      <c r="F759" t="s">
        <v>1441</v>
      </c>
      <c r="I759" s="152"/>
    </row>
    <row r="760" spans="2:9" customFormat="1" ht="14.4" x14ac:dyDescent="0.3">
      <c r="B760" t="s">
        <v>2013</v>
      </c>
      <c r="C760" t="s">
        <v>1615</v>
      </c>
      <c r="D760" t="s">
        <v>2014</v>
      </c>
      <c r="E760" s="45">
        <v>70</v>
      </c>
      <c r="F760" t="s">
        <v>1441</v>
      </c>
      <c r="I760" s="152"/>
    </row>
    <row r="761" spans="2:9" customFormat="1" ht="14.4" x14ac:dyDescent="0.3">
      <c r="B761" t="s">
        <v>2013</v>
      </c>
      <c r="C761" t="s">
        <v>1615</v>
      </c>
      <c r="D761" t="s">
        <v>2037</v>
      </c>
      <c r="E761" s="45">
        <v>40</v>
      </c>
      <c r="F761" t="s">
        <v>1441</v>
      </c>
      <c r="I761" s="152"/>
    </row>
    <row r="762" spans="2:9" customFormat="1" ht="14.4" x14ac:dyDescent="0.3">
      <c r="B762" t="s">
        <v>2013</v>
      </c>
      <c r="C762" t="s">
        <v>1615</v>
      </c>
      <c r="D762" t="s">
        <v>2038</v>
      </c>
      <c r="E762" s="45">
        <v>60</v>
      </c>
      <c r="F762" t="s">
        <v>1441</v>
      </c>
      <c r="I762" s="152"/>
    </row>
    <row r="763" spans="2:9" customFormat="1" ht="14.4" x14ac:dyDescent="0.3">
      <c r="B763" t="s">
        <v>2013</v>
      </c>
      <c r="C763" t="s">
        <v>1615</v>
      </c>
      <c r="D763" t="s">
        <v>2039</v>
      </c>
      <c r="E763" s="45">
        <v>135</v>
      </c>
      <c r="F763" t="s">
        <v>1441</v>
      </c>
      <c r="I763" s="152"/>
    </row>
    <row r="764" spans="2:9" customFormat="1" ht="14.4" x14ac:dyDescent="0.3">
      <c r="B764" t="s">
        <v>2013</v>
      </c>
      <c r="C764" t="s">
        <v>1615</v>
      </c>
      <c r="D764" t="s">
        <v>1808</v>
      </c>
      <c r="E764" s="45">
        <v>60</v>
      </c>
      <c r="F764" t="s">
        <v>1441</v>
      </c>
      <c r="I764" s="152"/>
    </row>
    <row r="765" spans="2:9" customFormat="1" ht="14.4" x14ac:dyDescent="0.3">
      <c r="B765" t="s">
        <v>2013</v>
      </c>
      <c r="C765" t="s">
        <v>1615</v>
      </c>
      <c r="D765" t="s">
        <v>2015</v>
      </c>
      <c r="E765" s="45">
        <v>27</v>
      </c>
      <c r="F765" t="s">
        <v>1441</v>
      </c>
      <c r="I765" s="152"/>
    </row>
    <row r="766" spans="2:9" customFormat="1" ht="14.4" x14ac:dyDescent="0.3">
      <c r="B766" t="s">
        <v>2013</v>
      </c>
      <c r="C766" t="s">
        <v>1615</v>
      </c>
      <c r="D766" t="s">
        <v>2040</v>
      </c>
      <c r="E766" s="45">
        <v>120</v>
      </c>
      <c r="F766" t="s">
        <v>1441</v>
      </c>
      <c r="I766" s="152"/>
    </row>
    <row r="767" spans="2:9" customFormat="1" ht="14.4" x14ac:dyDescent="0.3">
      <c r="B767" t="s">
        <v>2013</v>
      </c>
      <c r="C767" t="s">
        <v>1615</v>
      </c>
      <c r="D767" t="s">
        <v>2025</v>
      </c>
      <c r="E767" s="45">
        <v>85</v>
      </c>
      <c r="F767" t="s">
        <v>1441</v>
      </c>
      <c r="I767" s="152"/>
    </row>
    <row r="768" spans="2:9" customFormat="1" ht="14.4" x14ac:dyDescent="0.3">
      <c r="B768" t="s">
        <v>2013</v>
      </c>
      <c r="C768" t="s">
        <v>1615</v>
      </c>
      <c r="D768" t="s">
        <v>2024</v>
      </c>
      <c r="E768" s="45">
        <v>45</v>
      </c>
      <c r="F768" t="s">
        <v>1441</v>
      </c>
      <c r="I768" s="152"/>
    </row>
    <row r="769" spans="2:9" customFormat="1" ht="14.4" x14ac:dyDescent="0.3">
      <c r="B769" t="s">
        <v>2013</v>
      </c>
      <c r="C769" t="s">
        <v>1615</v>
      </c>
      <c r="D769" t="s">
        <v>2041</v>
      </c>
      <c r="E769" s="45">
        <v>60</v>
      </c>
      <c r="F769" t="s">
        <v>1441</v>
      </c>
      <c r="I769" s="152"/>
    </row>
    <row r="770" spans="2:9" customFormat="1" ht="14.4" x14ac:dyDescent="0.3">
      <c r="B770" t="s">
        <v>2013</v>
      </c>
      <c r="C770" t="s">
        <v>1615</v>
      </c>
      <c r="D770" t="s">
        <v>2018</v>
      </c>
      <c r="E770" s="45">
        <v>70</v>
      </c>
      <c r="F770" t="s">
        <v>1441</v>
      </c>
      <c r="I770" s="152"/>
    </row>
    <row r="771" spans="2:9" customFormat="1" ht="14.4" x14ac:dyDescent="0.3">
      <c r="B771" t="s">
        <v>2013</v>
      </c>
      <c r="C771" t="s">
        <v>1615</v>
      </c>
      <c r="D771" t="s">
        <v>2033</v>
      </c>
      <c r="E771" s="45">
        <v>20</v>
      </c>
      <c r="F771" t="s">
        <v>1441</v>
      </c>
      <c r="I771" s="152"/>
    </row>
    <row r="772" spans="2:9" customFormat="1" ht="14.4" x14ac:dyDescent="0.3">
      <c r="B772" t="s">
        <v>2013</v>
      </c>
      <c r="C772" t="s">
        <v>1615</v>
      </c>
      <c r="D772" t="s">
        <v>2016</v>
      </c>
      <c r="E772" s="45">
        <v>50</v>
      </c>
      <c r="F772" t="s">
        <v>1441</v>
      </c>
      <c r="I772" s="152"/>
    </row>
    <row r="773" spans="2:9" customFormat="1" ht="14.4" x14ac:dyDescent="0.3">
      <c r="B773" t="s">
        <v>2013</v>
      </c>
      <c r="C773" t="s">
        <v>1615</v>
      </c>
      <c r="D773" t="s">
        <v>2019</v>
      </c>
      <c r="E773" s="45">
        <v>20</v>
      </c>
      <c r="F773" t="s">
        <v>1441</v>
      </c>
      <c r="I773" s="152"/>
    </row>
    <row r="774" spans="2:9" customFormat="1" ht="14.4" x14ac:dyDescent="0.3">
      <c r="B774" t="s">
        <v>2013</v>
      </c>
      <c r="C774" t="s">
        <v>1615</v>
      </c>
      <c r="D774" t="s">
        <v>2042</v>
      </c>
      <c r="E774" s="45">
        <v>10</v>
      </c>
      <c r="F774" t="s">
        <v>1441</v>
      </c>
      <c r="I774" s="152"/>
    </row>
    <row r="775" spans="2:9" customFormat="1" ht="14.4" x14ac:dyDescent="0.3">
      <c r="B775" t="s">
        <v>2013</v>
      </c>
      <c r="C775" t="s">
        <v>1615</v>
      </c>
      <c r="D775" t="s">
        <v>1707</v>
      </c>
      <c r="E775" s="45">
        <v>30</v>
      </c>
      <c r="F775" t="s">
        <v>1441</v>
      </c>
      <c r="I775" s="152"/>
    </row>
    <row r="776" spans="2:9" customFormat="1" ht="14.4" x14ac:dyDescent="0.3">
      <c r="B776" t="s">
        <v>2013</v>
      </c>
      <c r="C776" t="s">
        <v>1615</v>
      </c>
      <c r="D776" t="s">
        <v>2043</v>
      </c>
      <c r="E776" s="45">
        <v>45</v>
      </c>
      <c r="F776" t="s">
        <v>1441</v>
      </c>
      <c r="I776" s="152"/>
    </row>
    <row r="777" spans="2:9" customFormat="1" ht="14.4" x14ac:dyDescent="0.3">
      <c r="B777" t="s">
        <v>2013</v>
      </c>
      <c r="C777" t="s">
        <v>1615</v>
      </c>
      <c r="D777" t="s">
        <v>2044</v>
      </c>
      <c r="E777" s="45">
        <v>60</v>
      </c>
      <c r="F777" t="s">
        <v>1441</v>
      </c>
      <c r="I777" s="152"/>
    </row>
    <row r="778" spans="2:9" customFormat="1" ht="14.4" x14ac:dyDescent="0.3">
      <c r="B778" t="s">
        <v>2013</v>
      </c>
      <c r="C778" t="s">
        <v>1615</v>
      </c>
      <c r="D778" t="s">
        <v>2045</v>
      </c>
      <c r="E778" s="45">
        <v>80</v>
      </c>
      <c r="F778" t="s">
        <v>1441</v>
      </c>
      <c r="I778" s="152"/>
    </row>
    <row r="779" spans="2:9" customFormat="1" ht="14.4" x14ac:dyDescent="0.3">
      <c r="B779" t="s">
        <v>2013</v>
      </c>
      <c r="C779" t="s">
        <v>1615</v>
      </c>
      <c r="D779" t="s">
        <v>2046</v>
      </c>
      <c r="E779" s="45">
        <v>30</v>
      </c>
      <c r="F779" t="s">
        <v>1441</v>
      </c>
      <c r="I779" s="152"/>
    </row>
    <row r="780" spans="2:9" customFormat="1" ht="14.4" x14ac:dyDescent="0.3">
      <c r="B780" t="s">
        <v>2013</v>
      </c>
      <c r="C780" t="s">
        <v>1615</v>
      </c>
      <c r="D780" t="s">
        <v>2047</v>
      </c>
      <c r="E780" s="45">
        <v>140</v>
      </c>
      <c r="F780" t="s">
        <v>1441</v>
      </c>
      <c r="I780" s="152"/>
    </row>
    <row r="781" spans="2:9" customFormat="1" ht="14.4" x14ac:dyDescent="0.3">
      <c r="B781" t="s">
        <v>2013</v>
      </c>
      <c r="C781" t="s">
        <v>1615</v>
      </c>
      <c r="D781" t="s">
        <v>2023</v>
      </c>
      <c r="E781" s="45">
        <v>65</v>
      </c>
      <c r="F781" t="s">
        <v>1441</v>
      </c>
      <c r="I781" s="152"/>
    </row>
    <row r="782" spans="2:9" customFormat="1" ht="14.4" x14ac:dyDescent="0.3">
      <c r="B782" t="s">
        <v>2013</v>
      </c>
      <c r="C782" t="s">
        <v>1615</v>
      </c>
      <c r="D782" t="s">
        <v>2044</v>
      </c>
      <c r="E782" s="45">
        <v>65</v>
      </c>
      <c r="F782" t="s">
        <v>1441</v>
      </c>
      <c r="I782" s="152"/>
    </row>
    <row r="783" spans="2:9" customFormat="1" ht="14.4" x14ac:dyDescent="0.3">
      <c r="B783" t="s">
        <v>2013</v>
      </c>
      <c r="C783" t="s">
        <v>1615</v>
      </c>
      <c r="D783" t="s">
        <v>2048</v>
      </c>
      <c r="E783" s="45">
        <v>45</v>
      </c>
      <c r="F783" t="s">
        <v>1441</v>
      </c>
      <c r="I783" s="152"/>
    </row>
    <row r="784" spans="2:9" customFormat="1" ht="14.4" x14ac:dyDescent="0.3">
      <c r="B784" t="s">
        <v>2013</v>
      </c>
      <c r="C784" t="s">
        <v>1615</v>
      </c>
      <c r="D784" t="s">
        <v>2049</v>
      </c>
      <c r="E784" s="45">
        <v>40</v>
      </c>
      <c r="F784" t="s">
        <v>1441</v>
      </c>
      <c r="I784" s="152"/>
    </row>
    <row r="785" spans="2:9" customFormat="1" ht="14.4" x14ac:dyDescent="0.3">
      <c r="B785" t="s">
        <v>2013</v>
      </c>
      <c r="C785" t="s">
        <v>1615</v>
      </c>
      <c r="D785" t="s">
        <v>2050</v>
      </c>
      <c r="E785" s="45">
        <v>80</v>
      </c>
      <c r="F785" t="s">
        <v>1441</v>
      </c>
      <c r="I785" s="152"/>
    </row>
    <row r="786" spans="2:9" customFormat="1" ht="14.4" x14ac:dyDescent="0.3">
      <c r="B786" t="s">
        <v>2013</v>
      </c>
      <c r="C786" t="s">
        <v>1615</v>
      </c>
      <c r="D786" t="s">
        <v>2051</v>
      </c>
      <c r="E786" s="45">
        <v>15</v>
      </c>
      <c r="F786" t="s">
        <v>1441</v>
      </c>
      <c r="I786" s="152"/>
    </row>
    <row r="787" spans="2:9" customFormat="1" ht="14.4" x14ac:dyDescent="0.3">
      <c r="B787" t="s">
        <v>2013</v>
      </c>
      <c r="C787" t="s">
        <v>1615</v>
      </c>
      <c r="D787" t="s">
        <v>2031</v>
      </c>
      <c r="E787" s="45">
        <v>15</v>
      </c>
      <c r="F787" t="s">
        <v>1441</v>
      </c>
      <c r="I787" s="152"/>
    </row>
    <row r="788" spans="2:9" customFormat="1" ht="14.4" x14ac:dyDescent="0.3">
      <c r="B788" t="s">
        <v>2013</v>
      </c>
      <c r="C788" t="s">
        <v>1615</v>
      </c>
      <c r="D788" t="s">
        <v>2015</v>
      </c>
      <c r="E788" s="45">
        <v>30</v>
      </c>
      <c r="F788" t="s">
        <v>1441</v>
      </c>
      <c r="I788" s="152"/>
    </row>
    <row r="789" spans="2:9" customFormat="1" ht="14.4" x14ac:dyDescent="0.3">
      <c r="B789" t="s">
        <v>2013</v>
      </c>
      <c r="C789" t="s">
        <v>1615</v>
      </c>
      <c r="D789" t="s">
        <v>2033</v>
      </c>
      <c r="E789" s="45">
        <v>40</v>
      </c>
      <c r="F789" t="s">
        <v>1441</v>
      </c>
      <c r="I789" s="152"/>
    </row>
    <row r="790" spans="2:9" customFormat="1" ht="14.4" x14ac:dyDescent="0.3">
      <c r="B790" t="s">
        <v>2013</v>
      </c>
      <c r="C790" t="s">
        <v>1615</v>
      </c>
      <c r="D790" t="s">
        <v>2052</v>
      </c>
      <c r="E790" s="45">
        <v>10</v>
      </c>
      <c r="F790" t="s">
        <v>1441</v>
      </c>
      <c r="I790" s="152"/>
    </row>
    <row r="791" spans="2:9" customFormat="1" ht="14.4" x14ac:dyDescent="0.3">
      <c r="B791" t="s">
        <v>2013</v>
      </c>
      <c r="C791" t="s">
        <v>1615</v>
      </c>
      <c r="D791" t="s">
        <v>2030</v>
      </c>
      <c r="E791" s="45">
        <v>30</v>
      </c>
      <c r="F791" t="s">
        <v>1441</v>
      </c>
      <c r="I791" s="152"/>
    </row>
    <row r="792" spans="2:9" customFormat="1" ht="14.4" x14ac:dyDescent="0.3">
      <c r="B792" t="s">
        <v>2013</v>
      </c>
      <c r="C792" t="s">
        <v>1615</v>
      </c>
      <c r="D792" t="s">
        <v>2053</v>
      </c>
      <c r="E792" s="45">
        <v>45</v>
      </c>
      <c r="F792" t="s">
        <v>1441</v>
      </c>
      <c r="I792" s="152"/>
    </row>
    <row r="793" spans="2:9" customFormat="1" ht="14.4" x14ac:dyDescent="0.3">
      <c r="B793" t="s">
        <v>2013</v>
      </c>
      <c r="C793" t="s">
        <v>1615</v>
      </c>
      <c r="D793" t="s">
        <v>2054</v>
      </c>
      <c r="E793" s="45">
        <v>35</v>
      </c>
      <c r="F793" t="s">
        <v>1441</v>
      </c>
      <c r="I793" s="152"/>
    </row>
    <row r="794" spans="2:9" customFormat="1" ht="14.4" x14ac:dyDescent="0.3">
      <c r="B794" t="s">
        <v>2013</v>
      </c>
      <c r="C794" t="s">
        <v>1615</v>
      </c>
      <c r="D794" t="s">
        <v>2055</v>
      </c>
      <c r="E794" s="45">
        <v>15</v>
      </c>
      <c r="F794" t="s">
        <v>1441</v>
      </c>
      <c r="I794" s="152"/>
    </row>
    <row r="795" spans="2:9" customFormat="1" ht="14.4" x14ac:dyDescent="0.3">
      <c r="B795" t="s">
        <v>2013</v>
      </c>
      <c r="C795" t="s">
        <v>1615</v>
      </c>
      <c r="D795" t="s">
        <v>1711</v>
      </c>
      <c r="E795" s="45">
        <v>15</v>
      </c>
      <c r="F795" t="s">
        <v>1441</v>
      </c>
      <c r="I795" s="152"/>
    </row>
    <row r="796" spans="2:9" customFormat="1" ht="14.4" x14ac:dyDescent="0.3">
      <c r="B796" t="s">
        <v>2013</v>
      </c>
      <c r="C796" t="s">
        <v>1615</v>
      </c>
      <c r="D796" t="s">
        <v>2019</v>
      </c>
      <c r="E796" s="45">
        <v>45</v>
      </c>
      <c r="F796" t="s">
        <v>1441</v>
      </c>
      <c r="I796" s="152"/>
    </row>
    <row r="797" spans="2:9" customFormat="1" ht="14.4" x14ac:dyDescent="0.3">
      <c r="B797" t="s">
        <v>2013</v>
      </c>
      <c r="C797" t="s">
        <v>1615</v>
      </c>
      <c r="D797" t="s">
        <v>2033</v>
      </c>
      <c r="E797" s="45">
        <v>10</v>
      </c>
      <c r="F797" t="s">
        <v>1441</v>
      </c>
      <c r="I797" s="152"/>
    </row>
    <row r="798" spans="2:9" customFormat="1" ht="14.4" x14ac:dyDescent="0.3">
      <c r="B798" t="s">
        <v>2013</v>
      </c>
      <c r="C798" t="s">
        <v>1615</v>
      </c>
      <c r="D798" t="s">
        <v>2056</v>
      </c>
      <c r="E798" s="45">
        <v>60</v>
      </c>
      <c r="F798" t="s">
        <v>1441</v>
      </c>
      <c r="I798" s="152"/>
    </row>
    <row r="799" spans="2:9" customFormat="1" ht="14.4" x14ac:dyDescent="0.3">
      <c r="B799" t="s">
        <v>2013</v>
      </c>
      <c r="C799" t="s">
        <v>1615</v>
      </c>
      <c r="D799" t="s">
        <v>2039</v>
      </c>
      <c r="E799" s="45">
        <v>45</v>
      </c>
      <c r="F799" t="s">
        <v>1441</v>
      </c>
      <c r="I799" s="152"/>
    </row>
    <row r="800" spans="2:9" customFormat="1" ht="14.4" x14ac:dyDescent="0.3">
      <c r="B800" t="s">
        <v>2013</v>
      </c>
      <c r="C800" t="s">
        <v>1615</v>
      </c>
      <c r="D800" t="s">
        <v>2057</v>
      </c>
      <c r="E800" s="45">
        <v>25</v>
      </c>
      <c r="F800" t="s">
        <v>1441</v>
      </c>
      <c r="I800" s="152"/>
    </row>
    <row r="801" spans="2:9" customFormat="1" ht="14.4" x14ac:dyDescent="0.3">
      <c r="B801" t="s">
        <v>2013</v>
      </c>
      <c r="C801" t="s">
        <v>1615</v>
      </c>
      <c r="D801" t="s">
        <v>2032</v>
      </c>
      <c r="E801" s="45">
        <v>15</v>
      </c>
      <c r="F801" t="s">
        <v>1441</v>
      </c>
      <c r="I801" s="152"/>
    </row>
    <row r="802" spans="2:9" customFormat="1" ht="14.4" x14ac:dyDescent="0.3">
      <c r="B802" t="s">
        <v>2013</v>
      </c>
      <c r="C802" t="s">
        <v>1615</v>
      </c>
      <c r="D802" t="s">
        <v>2058</v>
      </c>
      <c r="E802" s="45">
        <v>30</v>
      </c>
      <c r="F802" t="s">
        <v>1441</v>
      </c>
      <c r="I802" s="152"/>
    </row>
    <row r="803" spans="2:9" customFormat="1" ht="14.4" x14ac:dyDescent="0.3">
      <c r="B803" t="s">
        <v>2013</v>
      </c>
      <c r="C803" t="s">
        <v>1615</v>
      </c>
      <c r="D803" t="s">
        <v>2059</v>
      </c>
      <c r="E803" s="45">
        <v>40</v>
      </c>
      <c r="F803" t="s">
        <v>1441</v>
      </c>
      <c r="I803" s="152"/>
    </row>
    <row r="804" spans="2:9" customFormat="1" ht="14.4" x14ac:dyDescent="0.3">
      <c r="B804" t="s">
        <v>2013</v>
      </c>
      <c r="C804" t="s">
        <v>1615</v>
      </c>
      <c r="D804" t="s">
        <v>2060</v>
      </c>
      <c r="E804" s="45">
        <v>75</v>
      </c>
      <c r="F804" t="s">
        <v>1441</v>
      </c>
      <c r="I804" s="152"/>
    </row>
    <row r="805" spans="2:9" customFormat="1" ht="14.4" x14ac:dyDescent="0.3">
      <c r="B805" t="s">
        <v>2013</v>
      </c>
      <c r="C805" t="s">
        <v>1615</v>
      </c>
      <c r="D805" t="s">
        <v>2033</v>
      </c>
      <c r="E805" s="45">
        <v>30</v>
      </c>
      <c r="F805" t="s">
        <v>1441</v>
      </c>
      <c r="I805" s="152"/>
    </row>
    <row r="806" spans="2:9" customFormat="1" ht="14.4" x14ac:dyDescent="0.3">
      <c r="B806" t="s">
        <v>2013</v>
      </c>
      <c r="C806" t="s">
        <v>1615</v>
      </c>
      <c r="D806" t="s">
        <v>2032</v>
      </c>
      <c r="E806" s="45">
        <v>30</v>
      </c>
      <c r="F806" t="s">
        <v>1441</v>
      </c>
      <c r="I806" s="152"/>
    </row>
    <row r="807" spans="2:9" customFormat="1" ht="14.4" x14ac:dyDescent="0.3">
      <c r="B807" t="s">
        <v>2013</v>
      </c>
      <c r="C807" t="s">
        <v>1615</v>
      </c>
      <c r="D807" t="s">
        <v>2015</v>
      </c>
      <c r="E807" s="45">
        <v>25</v>
      </c>
      <c r="F807" t="s">
        <v>1441</v>
      </c>
      <c r="I807" s="152"/>
    </row>
    <row r="808" spans="2:9" customFormat="1" ht="14.4" x14ac:dyDescent="0.3">
      <c r="B808" t="s">
        <v>2013</v>
      </c>
      <c r="C808" t="s">
        <v>1615</v>
      </c>
      <c r="D808" t="s">
        <v>2028</v>
      </c>
      <c r="E808" s="45">
        <v>40</v>
      </c>
      <c r="F808" t="s">
        <v>1441</v>
      </c>
      <c r="I808" s="152"/>
    </row>
    <row r="809" spans="2:9" customFormat="1" ht="14.4" x14ac:dyDescent="0.3">
      <c r="B809" t="s">
        <v>2013</v>
      </c>
      <c r="C809" t="s">
        <v>1615</v>
      </c>
      <c r="D809" t="s">
        <v>2036</v>
      </c>
      <c r="E809" s="45">
        <v>30</v>
      </c>
      <c r="F809" t="s">
        <v>1441</v>
      </c>
      <c r="I809" s="152"/>
    </row>
    <row r="810" spans="2:9" customFormat="1" ht="14.4" x14ac:dyDescent="0.3">
      <c r="B810" t="s">
        <v>2013</v>
      </c>
      <c r="C810" t="s">
        <v>1615</v>
      </c>
      <c r="D810" t="s">
        <v>2017</v>
      </c>
      <c r="E810" s="45">
        <v>60</v>
      </c>
      <c r="F810" t="s">
        <v>1441</v>
      </c>
      <c r="I810" s="152"/>
    </row>
    <row r="811" spans="2:9" customFormat="1" ht="14.4" x14ac:dyDescent="0.3">
      <c r="B811" t="s">
        <v>2013</v>
      </c>
      <c r="C811" t="s">
        <v>1615</v>
      </c>
      <c r="D811" t="s">
        <v>2023</v>
      </c>
      <c r="E811" s="45">
        <v>10</v>
      </c>
      <c r="F811" t="s">
        <v>1441</v>
      </c>
      <c r="I811" s="152"/>
    </row>
    <row r="812" spans="2:9" customFormat="1" ht="14.4" x14ac:dyDescent="0.3">
      <c r="B812" t="s">
        <v>2013</v>
      </c>
      <c r="C812" t="s">
        <v>1615</v>
      </c>
      <c r="D812" t="s">
        <v>2018</v>
      </c>
      <c r="E812" s="45">
        <v>25</v>
      </c>
      <c r="F812" t="s">
        <v>1441</v>
      </c>
      <c r="I812" s="152"/>
    </row>
    <row r="813" spans="2:9" customFormat="1" ht="14.4" x14ac:dyDescent="0.3">
      <c r="B813" t="s">
        <v>2013</v>
      </c>
      <c r="C813" t="s">
        <v>1615</v>
      </c>
      <c r="D813" t="s">
        <v>2028</v>
      </c>
      <c r="E813" s="45">
        <v>35</v>
      </c>
      <c r="F813" t="s">
        <v>1441</v>
      </c>
      <c r="I813" s="152"/>
    </row>
    <row r="814" spans="2:9" customFormat="1" ht="14.4" x14ac:dyDescent="0.3">
      <c r="B814" t="s">
        <v>2013</v>
      </c>
      <c r="C814" t="s">
        <v>1615</v>
      </c>
      <c r="D814" t="s">
        <v>2018</v>
      </c>
      <c r="E814" s="45">
        <v>20</v>
      </c>
      <c r="F814" t="s">
        <v>1441</v>
      </c>
      <c r="I814" s="152"/>
    </row>
    <row r="815" spans="2:9" customFormat="1" ht="14.4" x14ac:dyDescent="0.3">
      <c r="B815" t="s">
        <v>2013</v>
      </c>
      <c r="C815" t="s">
        <v>1615</v>
      </c>
      <c r="D815" t="s">
        <v>2026</v>
      </c>
      <c r="E815" s="45">
        <v>30</v>
      </c>
      <c r="F815" t="s">
        <v>1441</v>
      </c>
      <c r="I815" s="152"/>
    </row>
    <row r="816" spans="2:9" customFormat="1" ht="14.4" x14ac:dyDescent="0.3">
      <c r="B816" t="s">
        <v>2013</v>
      </c>
      <c r="C816" t="s">
        <v>1615</v>
      </c>
      <c r="D816" t="s">
        <v>2061</v>
      </c>
      <c r="E816" s="45">
        <v>15</v>
      </c>
      <c r="F816" t="s">
        <v>1441</v>
      </c>
      <c r="I816" s="152"/>
    </row>
    <row r="817" spans="2:9" customFormat="1" ht="14.4" x14ac:dyDescent="0.3">
      <c r="B817" t="s">
        <v>2013</v>
      </c>
      <c r="C817" t="s">
        <v>1615</v>
      </c>
      <c r="D817" t="s">
        <v>2014</v>
      </c>
      <c r="E817" s="45">
        <v>30</v>
      </c>
      <c r="F817" t="s">
        <v>1441</v>
      </c>
      <c r="I817" s="152"/>
    </row>
    <row r="818" spans="2:9" customFormat="1" ht="14.4" x14ac:dyDescent="0.3">
      <c r="B818" t="s">
        <v>2013</v>
      </c>
      <c r="C818" t="s">
        <v>1615</v>
      </c>
      <c r="D818" t="s">
        <v>2018</v>
      </c>
      <c r="E818" s="45">
        <v>40</v>
      </c>
      <c r="F818" t="s">
        <v>1441</v>
      </c>
      <c r="I818" s="152"/>
    </row>
    <row r="819" spans="2:9" customFormat="1" ht="14.4" x14ac:dyDescent="0.3">
      <c r="B819" t="s">
        <v>2013</v>
      </c>
      <c r="C819" t="s">
        <v>1615</v>
      </c>
      <c r="D819" t="s">
        <v>1994</v>
      </c>
      <c r="E819" s="45">
        <v>65</v>
      </c>
      <c r="F819" t="s">
        <v>1441</v>
      </c>
      <c r="I819" s="152"/>
    </row>
    <row r="820" spans="2:9" customFormat="1" ht="14.4" x14ac:dyDescent="0.3">
      <c r="B820" t="s">
        <v>2013</v>
      </c>
      <c r="C820" t="s">
        <v>1615</v>
      </c>
      <c r="D820" t="s">
        <v>2049</v>
      </c>
      <c r="E820" s="45">
        <v>50</v>
      </c>
      <c r="F820" t="s">
        <v>1441</v>
      </c>
      <c r="I820" s="152"/>
    </row>
    <row r="821" spans="2:9" customFormat="1" ht="14.4" x14ac:dyDescent="0.3">
      <c r="B821" t="s">
        <v>2013</v>
      </c>
      <c r="C821" t="s">
        <v>1615</v>
      </c>
      <c r="D821" t="s">
        <v>2062</v>
      </c>
      <c r="E821" s="45">
        <v>80</v>
      </c>
      <c r="F821" t="s">
        <v>1441</v>
      </c>
      <c r="I821" s="152"/>
    </row>
    <row r="822" spans="2:9" customFormat="1" ht="14.4" x14ac:dyDescent="0.3">
      <c r="B822" t="s">
        <v>2013</v>
      </c>
      <c r="C822" t="s">
        <v>1615</v>
      </c>
      <c r="D822" t="s">
        <v>2046</v>
      </c>
      <c r="E822" s="45">
        <v>10</v>
      </c>
      <c r="F822" t="s">
        <v>1441</v>
      </c>
      <c r="I822" s="152"/>
    </row>
    <row r="823" spans="2:9" customFormat="1" ht="14.4" x14ac:dyDescent="0.3">
      <c r="B823" t="s">
        <v>2013</v>
      </c>
      <c r="C823" t="s">
        <v>1615</v>
      </c>
      <c r="D823" t="s">
        <v>2063</v>
      </c>
      <c r="E823" s="45">
        <v>135</v>
      </c>
      <c r="F823" t="s">
        <v>1441</v>
      </c>
      <c r="I823" s="152"/>
    </row>
    <row r="824" spans="2:9" customFormat="1" ht="14.4" x14ac:dyDescent="0.3">
      <c r="B824" t="s">
        <v>2013</v>
      </c>
      <c r="C824" t="s">
        <v>1615</v>
      </c>
      <c r="D824" t="s">
        <v>2022</v>
      </c>
      <c r="E824" s="45">
        <v>135</v>
      </c>
      <c r="F824" t="s">
        <v>1441</v>
      </c>
      <c r="I824" s="152"/>
    </row>
    <row r="825" spans="2:9" customFormat="1" ht="14.4" x14ac:dyDescent="0.3">
      <c r="B825" t="s">
        <v>2013</v>
      </c>
      <c r="C825" t="s">
        <v>1615</v>
      </c>
      <c r="D825" t="s">
        <v>2043</v>
      </c>
      <c r="E825" s="45">
        <v>45</v>
      </c>
      <c r="F825" t="s">
        <v>1441</v>
      </c>
      <c r="I825" s="152"/>
    </row>
    <row r="826" spans="2:9" customFormat="1" ht="14.4" x14ac:dyDescent="0.3">
      <c r="B826" t="s">
        <v>2013</v>
      </c>
      <c r="C826" t="s">
        <v>1615</v>
      </c>
      <c r="D826" t="s">
        <v>2064</v>
      </c>
      <c r="E826" s="45">
        <v>12</v>
      </c>
      <c r="F826" t="s">
        <v>1441</v>
      </c>
      <c r="I826" s="152"/>
    </row>
    <row r="827" spans="2:9" customFormat="1" ht="14.4" x14ac:dyDescent="0.3">
      <c r="B827" t="s">
        <v>2013</v>
      </c>
      <c r="C827" t="s">
        <v>1615</v>
      </c>
      <c r="D827" t="s">
        <v>2029</v>
      </c>
      <c r="E827" s="45">
        <v>30</v>
      </c>
      <c r="F827" t="s">
        <v>1441</v>
      </c>
      <c r="I827" s="152"/>
    </row>
    <row r="828" spans="2:9" customFormat="1" ht="14.4" x14ac:dyDescent="0.3">
      <c r="B828" t="s">
        <v>2013</v>
      </c>
      <c r="C828" t="s">
        <v>1615</v>
      </c>
      <c r="D828" t="s">
        <v>2019</v>
      </c>
      <c r="E828" s="45">
        <v>15</v>
      </c>
      <c r="F828" t="s">
        <v>1441</v>
      </c>
      <c r="I828" s="152"/>
    </row>
    <row r="829" spans="2:9" customFormat="1" ht="14.4" x14ac:dyDescent="0.3">
      <c r="B829" t="s">
        <v>2013</v>
      </c>
      <c r="C829" t="s">
        <v>1615</v>
      </c>
      <c r="D829" t="s">
        <v>2065</v>
      </c>
      <c r="E829" s="45">
        <v>30</v>
      </c>
      <c r="F829" t="s">
        <v>1441</v>
      </c>
      <c r="I829" s="152"/>
    </row>
    <row r="830" spans="2:9" customFormat="1" ht="14.4" x14ac:dyDescent="0.3">
      <c r="B830" t="s">
        <v>2013</v>
      </c>
      <c r="C830" t="s">
        <v>1615</v>
      </c>
      <c r="D830" t="s">
        <v>2028</v>
      </c>
      <c r="E830" s="45">
        <v>40</v>
      </c>
      <c r="F830" t="s">
        <v>1441</v>
      </c>
      <c r="I830" s="152"/>
    </row>
    <row r="831" spans="2:9" customFormat="1" ht="14.4" x14ac:dyDescent="0.3">
      <c r="B831" t="s">
        <v>2013</v>
      </c>
      <c r="C831" t="s">
        <v>1615</v>
      </c>
      <c r="D831" t="s">
        <v>2057</v>
      </c>
      <c r="E831" s="45">
        <v>10</v>
      </c>
      <c r="F831" t="s">
        <v>1441</v>
      </c>
      <c r="I831" s="152"/>
    </row>
    <row r="832" spans="2:9" customFormat="1" ht="14.4" x14ac:dyDescent="0.3">
      <c r="B832" t="s">
        <v>2013</v>
      </c>
      <c r="C832" t="s">
        <v>1615</v>
      </c>
      <c r="D832" t="s">
        <v>2031</v>
      </c>
      <c r="E832" s="45">
        <v>10</v>
      </c>
      <c r="F832" t="s">
        <v>1441</v>
      </c>
      <c r="I832" s="152"/>
    </row>
    <row r="833" spans="2:9" customFormat="1" ht="14.4" x14ac:dyDescent="0.3">
      <c r="B833" t="s">
        <v>2013</v>
      </c>
      <c r="C833" t="s">
        <v>1615</v>
      </c>
      <c r="D833" t="s">
        <v>2025</v>
      </c>
      <c r="E833" s="45">
        <v>20</v>
      </c>
      <c r="F833" t="s">
        <v>1441</v>
      </c>
      <c r="I833" s="152"/>
    </row>
    <row r="834" spans="2:9" customFormat="1" ht="14.4" x14ac:dyDescent="0.3">
      <c r="B834" t="s">
        <v>2013</v>
      </c>
      <c r="C834" t="s">
        <v>1615</v>
      </c>
      <c r="D834" t="s">
        <v>2066</v>
      </c>
      <c r="E834" s="45">
        <v>27</v>
      </c>
      <c r="F834" t="s">
        <v>1441</v>
      </c>
      <c r="I834" s="152"/>
    </row>
    <row r="835" spans="2:9" customFormat="1" ht="14.4" x14ac:dyDescent="0.3">
      <c r="B835" t="s">
        <v>2013</v>
      </c>
      <c r="C835" t="s">
        <v>1615</v>
      </c>
      <c r="D835" t="s">
        <v>2067</v>
      </c>
      <c r="E835" s="45">
        <v>50</v>
      </c>
      <c r="F835" t="s">
        <v>1441</v>
      </c>
      <c r="I835" s="152"/>
    </row>
    <row r="836" spans="2:9" customFormat="1" ht="14.4" x14ac:dyDescent="0.3">
      <c r="B836" t="s">
        <v>2013</v>
      </c>
      <c r="C836" t="s">
        <v>1615</v>
      </c>
      <c r="D836" t="s">
        <v>2068</v>
      </c>
      <c r="E836" s="45">
        <v>40</v>
      </c>
      <c r="F836" t="s">
        <v>1441</v>
      </c>
      <c r="I836" s="152"/>
    </row>
    <row r="837" spans="2:9" customFormat="1" ht="14.4" x14ac:dyDescent="0.3">
      <c r="B837" t="s">
        <v>2013</v>
      </c>
      <c r="C837" t="s">
        <v>1615</v>
      </c>
      <c r="D837" t="s">
        <v>2069</v>
      </c>
      <c r="E837" s="45">
        <v>20</v>
      </c>
      <c r="F837" t="s">
        <v>1441</v>
      </c>
      <c r="I837" s="152"/>
    </row>
    <row r="838" spans="2:9" customFormat="1" ht="14.4" x14ac:dyDescent="0.3">
      <c r="B838" t="s">
        <v>2013</v>
      </c>
      <c r="C838" t="s">
        <v>1615</v>
      </c>
      <c r="D838" t="s">
        <v>2070</v>
      </c>
      <c r="E838" s="45">
        <v>70</v>
      </c>
      <c r="F838" t="s">
        <v>1441</v>
      </c>
      <c r="I838" s="152"/>
    </row>
    <row r="839" spans="2:9" customFormat="1" ht="14.4" x14ac:dyDescent="0.3">
      <c r="B839" t="s">
        <v>2013</v>
      </c>
      <c r="C839" t="s">
        <v>1615</v>
      </c>
      <c r="D839" t="s">
        <v>2071</v>
      </c>
      <c r="E839" s="45">
        <v>80</v>
      </c>
      <c r="F839" t="s">
        <v>1441</v>
      </c>
      <c r="I839" s="152"/>
    </row>
    <row r="840" spans="2:9" customFormat="1" ht="14.4" x14ac:dyDescent="0.3">
      <c r="B840" t="s">
        <v>2013</v>
      </c>
      <c r="C840" t="s">
        <v>1615</v>
      </c>
      <c r="D840" t="s">
        <v>2061</v>
      </c>
      <c r="E840" s="45">
        <v>60</v>
      </c>
      <c r="F840" t="s">
        <v>1441</v>
      </c>
      <c r="I840" s="152"/>
    </row>
    <row r="841" spans="2:9" customFormat="1" ht="14.4" x14ac:dyDescent="0.3">
      <c r="B841" t="s">
        <v>2013</v>
      </c>
      <c r="C841" t="s">
        <v>1615</v>
      </c>
      <c r="D841" t="s">
        <v>2039</v>
      </c>
      <c r="E841" s="45">
        <v>10</v>
      </c>
      <c r="F841" t="s">
        <v>1441</v>
      </c>
      <c r="I841" s="152"/>
    </row>
    <row r="842" spans="2:9" customFormat="1" ht="14.4" x14ac:dyDescent="0.3">
      <c r="B842" t="s">
        <v>2013</v>
      </c>
      <c r="C842" t="s">
        <v>1615</v>
      </c>
      <c r="D842" t="s">
        <v>2054</v>
      </c>
      <c r="E842" s="45">
        <v>10</v>
      </c>
      <c r="F842" t="s">
        <v>1441</v>
      </c>
      <c r="I842" s="152"/>
    </row>
    <row r="843" spans="2:9" customFormat="1" ht="14.4" x14ac:dyDescent="0.3">
      <c r="B843" t="s">
        <v>2013</v>
      </c>
      <c r="C843" t="s">
        <v>1615</v>
      </c>
      <c r="D843" t="s">
        <v>2053</v>
      </c>
      <c r="E843" s="45">
        <v>15</v>
      </c>
      <c r="F843" t="s">
        <v>1441</v>
      </c>
      <c r="I843" s="152"/>
    </row>
    <row r="844" spans="2:9" customFormat="1" ht="14.4" x14ac:dyDescent="0.3">
      <c r="B844" t="s">
        <v>2013</v>
      </c>
      <c r="C844" t="s">
        <v>1615</v>
      </c>
      <c r="D844" t="s">
        <v>2031</v>
      </c>
      <c r="E844" s="45">
        <v>15</v>
      </c>
      <c r="F844" t="s">
        <v>1441</v>
      </c>
      <c r="I844" s="152"/>
    </row>
    <row r="845" spans="2:9" customFormat="1" ht="14.4" x14ac:dyDescent="0.3">
      <c r="B845" t="s">
        <v>2013</v>
      </c>
      <c r="C845" t="s">
        <v>1615</v>
      </c>
      <c r="D845" t="s">
        <v>2072</v>
      </c>
      <c r="E845" s="45">
        <v>70</v>
      </c>
      <c r="F845" t="s">
        <v>1441</v>
      </c>
      <c r="I845" s="152"/>
    </row>
    <row r="846" spans="2:9" customFormat="1" ht="14.4" x14ac:dyDescent="0.3">
      <c r="B846" t="s">
        <v>2013</v>
      </c>
      <c r="C846" t="s">
        <v>1615</v>
      </c>
      <c r="D846" t="s">
        <v>2073</v>
      </c>
      <c r="E846" s="45">
        <v>40</v>
      </c>
      <c r="F846" t="s">
        <v>1441</v>
      </c>
      <c r="I846" s="152"/>
    </row>
    <row r="847" spans="2:9" customFormat="1" ht="14.4" x14ac:dyDescent="0.3">
      <c r="B847" t="s">
        <v>2013</v>
      </c>
      <c r="C847" t="s">
        <v>1615</v>
      </c>
      <c r="D847" t="s">
        <v>1711</v>
      </c>
      <c r="E847" s="45">
        <v>55</v>
      </c>
      <c r="F847" t="s">
        <v>1441</v>
      </c>
      <c r="I847" s="152"/>
    </row>
    <row r="848" spans="2:9" customFormat="1" ht="14.4" x14ac:dyDescent="0.3">
      <c r="B848" t="s">
        <v>2013</v>
      </c>
      <c r="C848" t="s">
        <v>1615</v>
      </c>
      <c r="D848" t="s">
        <v>2035</v>
      </c>
      <c r="E848" s="45">
        <v>110</v>
      </c>
      <c r="F848" t="s">
        <v>1441</v>
      </c>
      <c r="I848" s="152"/>
    </row>
    <row r="849" spans="2:9" customFormat="1" ht="14.4" x14ac:dyDescent="0.3">
      <c r="B849" t="s">
        <v>2013</v>
      </c>
      <c r="C849" t="s">
        <v>1615</v>
      </c>
      <c r="D849" t="s">
        <v>2074</v>
      </c>
      <c r="E849" s="45">
        <v>10</v>
      </c>
      <c r="F849" t="s">
        <v>1441</v>
      </c>
      <c r="I849" s="152"/>
    </row>
    <row r="850" spans="2:9" customFormat="1" ht="14.4" x14ac:dyDescent="0.3">
      <c r="B850" t="s">
        <v>2013</v>
      </c>
      <c r="C850" t="s">
        <v>1615</v>
      </c>
      <c r="D850" t="s">
        <v>2069</v>
      </c>
      <c r="E850" s="45">
        <v>55</v>
      </c>
      <c r="F850" t="s">
        <v>1441</v>
      </c>
      <c r="I850" s="152"/>
    </row>
    <row r="851" spans="2:9" customFormat="1" ht="14.4" x14ac:dyDescent="0.3">
      <c r="B851" t="s">
        <v>2013</v>
      </c>
      <c r="C851" t="s">
        <v>1615</v>
      </c>
      <c r="D851" t="s">
        <v>2074</v>
      </c>
      <c r="E851" s="45">
        <v>90</v>
      </c>
      <c r="F851" t="s">
        <v>1441</v>
      </c>
      <c r="I851" s="152"/>
    </row>
    <row r="852" spans="2:9" customFormat="1" ht="14.4" x14ac:dyDescent="0.3">
      <c r="B852" t="s">
        <v>2013</v>
      </c>
      <c r="C852" t="s">
        <v>1615</v>
      </c>
      <c r="D852" t="s">
        <v>2075</v>
      </c>
      <c r="E852" s="45">
        <v>110</v>
      </c>
      <c r="F852" t="s">
        <v>1441</v>
      </c>
      <c r="I852" s="152"/>
    </row>
    <row r="853" spans="2:9" customFormat="1" ht="14.4" x14ac:dyDescent="0.3">
      <c r="B853" t="s">
        <v>2013</v>
      </c>
      <c r="C853" t="s">
        <v>1615</v>
      </c>
      <c r="D853" t="s">
        <v>2076</v>
      </c>
      <c r="E853" s="45">
        <v>30</v>
      </c>
      <c r="F853" t="s">
        <v>1441</v>
      </c>
      <c r="I853" s="152"/>
    </row>
    <row r="854" spans="2:9" customFormat="1" ht="14.4" x14ac:dyDescent="0.3">
      <c r="B854" t="s">
        <v>2013</v>
      </c>
      <c r="C854" t="s">
        <v>1615</v>
      </c>
      <c r="D854" t="s">
        <v>2077</v>
      </c>
      <c r="E854" s="45">
        <v>95</v>
      </c>
      <c r="F854" t="s">
        <v>1441</v>
      </c>
      <c r="I854" s="152"/>
    </row>
    <row r="855" spans="2:9" customFormat="1" ht="14.4" x14ac:dyDescent="0.3">
      <c r="B855" t="s">
        <v>2013</v>
      </c>
      <c r="C855" t="s">
        <v>1615</v>
      </c>
      <c r="D855" t="s">
        <v>2078</v>
      </c>
      <c r="E855" s="45">
        <v>45</v>
      </c>
      <c r="F855" t="s">
        <v>1441</v>
      </c>
      <c r="I855" s="152"/>
    </row>
    <row r="856" spans="2:9" customFormat="1" ht="14.4" x14ac:dyDescent="0.3">
      <c r="B856" t="s">
        <v>2013</v>
      </c>
      <c r="C856" t="s">
        <v>1615</v>
      </c>
      <c r="D856" t="s">
        <v>2079</v>
      </c>
      <c r="E856" s="45">
        <v>70</v>
      </c>
      <c r="F856" t="s">
        <v>1441</v>
      </c>
      <c r="I856" s="152"/>
    </row>
    <row r="857" spans="2:9" customFormat="1" ht="14.4" x14ac:dyDescent="0.3">
      <c r="B857" t="s">
        <v>2013</v>
      </c>
      <c r="C857" t="s">
        <v>1615</v>
      </c>
      <c r="D857" t="s">
        <v>2080</v>
      </c>
      <c r="E857" s="45">
        <v>25</v>
      </c>
      <c r="F857" t="s">
        <v>1441</v>
      </c>
      <c r="I857" s="152"/>
    </row>
    <row r="858" spans="2:9" customFormat="1" ht="14.4" x14ac:dyDescent="0.3">
      <c r="B858" t="s">
        <v>2013</v>
      </c>
      <c r="C858" t="s">
        <v>1615</v>
      </c>
      <c r="D858" t="s">
        <v>2081</v>
      </c>
      <c r="E858" s="45">
        <v>140</v>
      </c>
      <c r="F858" t="s">
        <v>1441</v>
      </c>
      <c r="I858" s="152"/>
    </row>
    <row r="859" spans="2:9" customFormat="1" ht="14.4" x14ac:dyDescent="0.3">
      <c r="B859" t="s">
        <v>2013</v>
      </c>
      <c r="C859" t="s">
        <v>1615</v>
      </c>
      <c r="D859" t="s">
        <v>2082</v>
      </c>
      <c r="E859" s="45">
        <v>55</v>
      </c>
      <c r="F859" t="s">
        <v>1441</v>
      </c>
      <c r="I859" s="152"/>
    </row>
    <row r="860" spans="2:9" customFormat="1" ht="14.4" x14ac:dyDescent="0.3">
      <c r="B860" t="s">
        <v>2013</v>
      </c>
      <c r="C860" t="s">
        <v>1615</v>
      </c>
      <c r="D860" t="s">
        <v>2083</v>
      </c>
      <c r="E860" s="45">
        <v>100</v>
      </c>
      <c r="F860" t="s">
        <v>1441</v>
      </c>
      <c r="I860" s="152"/>
    </row>
    <row r="861" spans="2:9" customFormat="1" ht="14.4" x14ac:dyDescent="0.3">
      <c r="B861" t="s">
        <v>2013</v>
      </c>
      <c r="C861" t="s">
        <v>1615</v>
      </c>
      <c r="D861" t="s">
        <v>2084</v>
      </c>
      <c r="E861" s="45">
        <v>30</v>
      </c>
      <c r="F861" t="s">
        <v>1441</v>
      </c>
      <c r="I861" s="152"/>
    </row>
    <row r="862" spans="2:9" customFormat="1" ht="14.4" x14ac:dyDescent="0.3">
      <c r="B862" t="s">
        <v>2013</v>
      </c>
      <c r="C862" t="s">
        <v>1615</v>
      </c>
      <c r="D862" t="s">
        <v>2039</v>
      </c>
      <c r="E862" s="45">
        <v>120</v>
      </c>
      <c r="F862" t="s">
        <v>1441</v>
      </c>
      <c r="I862" s="152"/>
    </row>
    <row r="863" spans="2:9" customFormat="1" ht="14.4" x14ac:dyDescent="0.3">
      <c r="B863" t="s">
        <v>2013</v>
      </c>
      <c r="C863" t="s">
        <v>1615</v>
      </c>
      <c r="D863" t="s">
        <v>2072</v>
      </c>
      <c r="E863" s="45">
        <v>85</v>
      </c>
      <c r="F863" t="s">
        <v>1441</v>
      </c>
      <c r="I863" s="152"/>
    </row>
    <row r="864" spans="2:9" customFormat="1" ht="14.4" x14ac:dyDescent="0.3">
      <c r="B864" t="s">
        <v>2013</v>
      </c>
      <c r="C864" t="s">
        <v>1615</v>
      </c>
      <c r="D864" t="s">
        <v>2080</v>
      </c>
      <c r="E864" s="45">
        <v>40</v>
      </c>
      <c r="F864" t="s">
        <v>1441</v>
      </c>
      <c r="I864" s="152"/>
    </row>
    <row r="865" spans="2:9" customFormat="1" ht="14.4" x14ac:dyDescent="0.3">
      <c r="B865" t="s">
        <v>2013</v>
      </c>
      <c r="C865" t="s">
        <v>1615</v>
      </c>
      <c r="D865" t="s">
        <v>2085</v>
      </c>
      <c r="E865" s="45">
        <v>15</v>
      </c>
      <c r="F865" t="s">
        <v>1441</v>
      </c>
      <c r="I865" s="152"/>
    </row>
    <row r="866" spans="2:9" customFormat="1" ht="14.4" x14ac:dyDescent="0.3">
      <c r="B866" t="s">
        <v>2013</v>
      </c>
      <c r="C866" t="s">
        <v>1615</v>
      </c>
      <c r="D866" t="s">
        <v>2086</v>
      </c>
      <c r="E866" s="45">
        <v>40</v>
      </c>
      <c r="F866" t="s">
        <v>1441</v>
      </c>
      <c r="I866" s="152"/>
    </row>
    <row r="867" spans="2:9" customFormat="1" ht="14.4" x14ac:dyDescent="0.3">
      <c r="B867" t="s">
        <v>2013</v>
      </c>
      <c r="C867" t="s">
        <v>1615</v>
      </c>
      <c r="D867" t="s">
        <v>2015</v>
      </c>
      <c r="E867" s="45">
        <v>40</v>
      </c>
      <c r="F867" t="s">
        <v>1441</v>
      </c>
      <c r="I867" s="152"/>
    </row>
    <row r="868" spans="2:9" customFormat="1" ht="14.4" x14ac:dyDescent="0.3">
      <c r="B868" t="s">
        <v>2013</v>
      </c>
      <c r="C868" t="s">
        <v>1615</v>
      </c>
      <c r="D868" t="s">
        <v>2016</v>
      </c>
      <c r="E868" s="45">
        <v>50</v>
      </c>
      <c r="F868" t="s">
        <v>1441</v>
      </c>
      <c r="I868" s="152"/>
    </row>
    <row r="869" spans="2:9" customFormat="1" ht="14.4" x14ac:dyDescent="0.3">
      <c r="B869" t="s">
        <v>2013</v>
      </c>
      <c r="C869" t="s">
        <v>1615</v>
      </c>
      <c r="D869" t="s">
        <v>2087</v>
      </c>
      <c r="E869" s="45">
        <v>20</v>
      </c>
      <c r="F869" t="s">
        <v>1441</v>
      </c>
      <c r="I869" s="152"/>
    </row>
    <row r="870" spans="2:9" customFormat="1" ht="14.4" x14ac:dyDescent="0.3">
      <c r="B870" t="s">
        <v>2013</v>
      </c>
      <c r="C870" t="s">
        <v>1615</v>
      </c>
      <c r="D870" t="s">
        <v>2031</v>
      </c>
      <c r="E870" s="45">
        <v>25</v>
      </c>
      <c r="F870" t="s">
        <v>1441</v>
      </c>
      <c r="I870" s="152"/>
    </row>
    <row r="871" spans="2:9" customFormat="1" ht="14.4" x14ac:dyDescent="0.3">
      <c r="B871" t="s">
        <v>2013</v>
      </c>
      <c r="C871" t="s">
        <v>1615</v>
      </c>
      <c r="D871" t="s">
        <v>2014</v>
      </c>
      <c r="E871" s="45">
        <v>45</v>
      </c>
      <c r="F871" t="s">
        <v>1441</v>
      </c>
      <c r="I871" s="152"/>
    </row>
    <row r="872" spans="2:9" customFormat="1" ht="14.4" x14ac:dyDescent="0.3">
      <c r="B872" t="s">
        <v>2013</v>
      </c>
      <c r="C872" t="s">
        <v>1615</v>
      </c>
      <c r="D872" t="s">
        <v>2061</v>
      </c>
      <c r="E872" s="45">
        <v>25</v>
      </c>
      <c r="F872" t="s">
        <v>1441</v>
      </c>
      <c r="I872" s="152"/>
    </row>
    <row r="873" spans="2:9" customFormat="1" ht="14.4" x14ac:dyDescent="0.3">
      <c r="B873" t="s">
        <v>2013</v>
      </c>
      <c r="C873" t="s">
        <v>1615</v>
      </c>
      <c r="D873" t="s">
        <v>2029</v>
      </c>
      <c r="E873" s="45">
        <v>85</v>
      </c>
      <c r="F873" t="s">
        <v>1441</v>
      </c>
      <c r="I873" s="152"/>
    </row>
    <row r="874" spans="2:9" customFormat="1" ht="14.4" x14ac:dyDescent="0.3">
      <c r="B874" t="s">
        <v>2013</v>
      </c>
      <c r="C874" t="s">
        <v>1615</v>
      </c>
      <c r="D874" t="s">
        <v>2088</v>
      </c>
      <c r="E874" s="45">
        <v>65</v>
      </c>
      <c r="F874" t="s">
        <v>1441</v>
      </c>
      <c r="I874" s="152"/>
    </row>
    <row r="875" spans="2:9" customFormat="1" ht="14.4" x14ac:dyDescent="0.3">
      <c r="B875" t="s">
        <v>2013</v>
      </c>
      <c r="C875" t="s">
        <v>1615</v>
      </c>
      <c r="D875" t="s">
        <v>2089</v>
      </c>
      <c r="E875" s="45">
        <v>75</v>
      </c>
      <c r="F875" t="s">
        <v>1441</v>
      </c>
      <c r="I875" s="152"/>
    </row>
    <row r="876" spans="2:9" customFormat="1" ht="14.4" x14ac:dyDescent="0.3">
      <c r="B876" t="s">
        <v>2013</v>
      </c>
      <c r="C876" t="s">
        <v>1615</v>
      </c>
      <c r="D876" t="s">
        <v>2090</v>
      </c>
      <c r="E876" s="45">
        <v>70</v>
      </c>
      <c r="F876" t="s">
        <v>1441</v>
      </c>
      <c r="I876" s="152"/>
    </row>
    <row r="877" spans="2:9" customFormat="1" ht="14.4" x14ac:dyDescent="0.3">
      <c r="B877" t="s">
        <v>2013</v>
      </c>
      <c r="C877" t="s">
        <v>1615</v>
      </c>
      <c r="D877" t="s">
        <v>1999</v>
      </c>
      <c r="E877" s="45">
        <v>70</v>
      </c>
      <c r="F877" t="s">
        <v>1441</v>
      </c>
      <c r="I877" s="152"/>
    </row>
    <row r="878" spans="2:9" customFormat="1" ht="14.4" x14ac:dyDescent="0.3">
      <c r="B878" t="s">
        <v>2013</v>
      </c>
      <c r="C878" t="s">
        <v>1615</v>
      </c>
      <c r="D878" t="s">
        <v>2087</v>
      </c>
      <c r="E878" s="45">
        <v>60</v>
      </c>
      <c r="F878" t="s">
        <v>1441</v>
      </c>
      <c r="I878" s="152"/>
    </row>
    <row r="879" spans="2:9" customFormat="1" ht="14.4" x14ac:dyDescent="0.3">
      <c r="B879" t="s">
        <v>2013</v>
      </c>
      <c r="C879" t="s">
        <v>1615</v>
      </c>
      <c r="D879" t="s">
        <v>2031</v>
      </c>
      <c r="E879" s="45">
        <v>15</v>
      </c>
      <c r="F879" t="s">
        <v>1441</v>
      </c>
      <c r="I879" s="152"/>
    </row>
    <row r="880" spans="2:9" customFormat="1" ht="14.4" x14ac:dyDescent="0.3">
      <c r="B880" t="s">
        <v>2013</v>
      </c>
      <c r="C880" t="s">
        <v>1615</v>
      </c>
      <c r="D880" t="s">
        <v>2028</v>
      </c>
      <c r="E880" s="45">
        <v>70</v>
      </c>
      <c r="F880" t="s">
        <v>1441</v>
      </c>
      <c r="I880" s="152"/>
    </row>
    <row r="881" spans="2:9" customFormat="1" ht="14.4" x14ac:dyDescent="0.3">
      <c r="B881" t="s">
        <v>2013</v>
      </c>
      <c r="C881" t="s">
        <v>1615</v>
      </c>
      <c r="D881" t="s">
        <v>2061</v>
      </c>
      <c r="E881" s="45">
        <v>30</v>
      </c>
      <c r="F881" t="s">
        <v>1441</v>
      </c>
      <c r="I881" s="152"/>
    </row>
    <row r="882" spans="2:9" customFormat="1" ht="14.4" x14ac:dyDescent="0.3">
      <c r="B882" t="s">
        <v>2013</v>
      </c>
      <c r="C882" t="s">
        <v>1615</v>
      </c>
      <c r="D882" t="s">
        <v>2039</v>
      </c>
      <c r="E882" s="45">
        <v>40</v>
      </c>
      <c r="F882" t="s">
        <v>1441</v>
      </c>
      <c r="I882" s="152"/>
    </row>
    <row r="883" spans="2:9" customFormat="1" ht="14.4" x14ac:dyDescent="0.3">
      <c r="B883" t="s">
        <v>2013</v>
      </c>
      <c r="C883" t="s">
        <v>1615</v>
      </c>
      <c r="D883" t="s">
        <v>2078</v>
      </c>
      <c r="E883" s="45">
        <v>15</v>
      </c>
      <c r="F883" t="s">
        <v>1441</v>
      </c>
      <c r="I883" s="152"/>
    </row>
    <row r="884" spans="2:9" customFormat="1" ht="14.4" x14ac:dyDescent="0.3">
      <c r="B884" t="s">
        <v>2013</v>
      </c>
      <c r="C884" t="s">
        <v>1615</v>
      </c>
      <c r="D884" t="s">
        <v>2088</v>
      </c>
      <c r="E884" s="45">
        <v>10</v>
      </c>
      <c r="F884" t="s">
        <v>1441</v>
      </c>
      <c r="I884" s="152"/>
    </row>
    <row r="885" spans="2:9" customFormat="1" ht="14.4" x14ac:dyDescent="0.3">
      <c r="B885" t="s">
        <v>2013</v>
      </c>
      <c r="C885" t="s">
        <v>1615</v>
      </c>
      <c r="D885" t="s">
        <v>2080</v>
      </c>
      <c r="E885" s="45">
        <v>10</v>
      </c>
      <c r="F885" t="s">
        <v>1441</v>
      </c>
      <c r="I885" s="152"/>
    </row>
    <row r="886" spans="2:9" customFormat="1" ht="14.4" x14ac:dyDescent="0.3">
      <c r="B886" t="s">
        <v>2013</v>
      </c>
      <c r="C886" t="s">
        <v>1615</v>
      </c>
      <c r="D886" t="s">
        <v>2091</v>
      </c>
      <c r="E886" s="45">
        <v>40</v>
      </c>
      <c r="F886" t="s">
        <v>1441</v>
      </c>
      <c r="I886" s="152"/>
    </row>
    <row r="887" spans="2:9" customFormat="1" ht="14.4" x14ac:dyDescent="0.3">
      <c r="B887" t="s">
        <v>2013</v>
      </c>
      <c r="C887" t="s">
        <v>1615</v>
      </c>
      <c r="D887" t="s">
        <v>2087</v>
      </c>
      <c r="E887" s="45">
        <v>45</v>
      </c>
      <c r="F887" t="s">
        <v>1441</v>
      </c>
      <c r="I887" s="152"/>
    </row>
    <row r="888" spans="2:9" customFormat="1" ht="14.4" x14ac:dyDescent="0.3">
      <c r="B888" t="s">
        <v>2013</v>
      </c>
      <c r="C888" t="s">
        <v>1615</v>
      </c>
      <c r="D888" t="s">
        <v>2067</v>
      </c>
      <c r="E888" s="45">
        <v>100</v>
      </c>
      <c r="F888" t="s">
        <v>1441</v>
      </c>
      <c r="I888" s="152"/>
    </row>
    <row r="889" spans="2:9" customFormat="1" ht="14.4" x14ac:dyDescent="0.3">
      <c r="B889" t="s">
        <v>2013</v>
      </c>
      <c r="C889" t="s">
        <v>1615</v>
      </c>
      <c r="D889" t="s">
        <v>2092</v>
      </c>
      <c r="E889" s="45">
        <v>40</v>
      </c>
      <c r="F889" t="s">
        <v>1441</v>
      </c>
      <c r="I889" s="152"/>
    </row>
    <row r="890" spans="2:9" customFormat="1" ht="14.4" x14ac:dyDescent="0.3">
      <c r="B890" t="s">
        <v>2093</v>
      </c>
      <c r="C890" t="s">
        <v>996</v>
      </c>
      <c r="D890" t="s">
        <v>126</v>
      </c>
      <c r="E890" s="45">
        <v>-605</v>
      </c>
      <c r="F890" t="s">
        <v>39</v>
      </c>
      <c r="G890" t="s">
        <v>580</v>
      </c>
      <c r="H890" t="s">
        <v>582</v>
      </c>
      <c r="I890" s="152"/>
    </row>
    <row r="891" spans="2:9" customFormat="1" ht="14.4" x14ac:dyDescent="0.3">
      <c r="B891" t="s">
        <v>2094</v>
      </c>
      <c r="C891" t="s">
        <v>1558</v>
      </c>
      <c r="D891" t="s">
        <v>101</v>
      </c>
      <c r="E891" s="45">
        <v>-268</v>
      </c>
      <c r="F891" t="s">
        <v>759</v>
      </c>
      <c r="G891" t="s">
        <v>759</v>
      </c>
      <c r="I891" s="152"/>
    </row>
    <row r="892" spans="2:9" customFormat="1" ht="14.4" x14ac:dyDescent="0.3">
      <c r="B892" t="s">
        <v>2094</v>
      </c>
      <c r="C892" t="s">
        <v>2012</v>
      </c>
      <c r="D892" t="s">
        <v>101</v>
      </c>
      <c r="E892" s="45">
        <v>-11175</v>
      </c>
      <c r="F892" t="s">
        <v>46</v>
      </c>
      <c r="G892" t="s">
        <v>580</v>
      </c>
      <c r="H892" t="s">
        <v>1853</v>
      </c>
      <c r="I892" s="152"/>
    </row>
    <row r="893" spans="2:9" customFormat="1" ht="14.4" x14ac:dyDescent="0.3">
      <c r="B893" t="s">
        <v>2095</v>
      </c>
      <c r="C893" t="s">
        <v>1615</v>
      </c>
      <c r="D893" t="s">
        <v>1834</v>
      </c>
      <c r="E893" s="45">
        <v>398</v>
      </c>
      <c r="F893" t="s">
        <v>1441</v>
      </c>
      <c r="I893" s="152"/>
    </row>
    <row r="894" spans="2:9" customFormat="1" ht="14.4" x14ac:dyDescent="0.3">
      <c r="B894" t="s">
        <v>2095</v>
      </c>
      <c r="C894" t="s">
        <v>2096</v>
      </c>
      <c r="D894" t="s">
        <v>284</v>
      </c>
      <c r="E894" s="45">
        <v>2054</v>
      </c>
      <c r="F894" t="s">
        <v>46</v>
      </c>
      <c r="G894" t="s">
        <v>586</v>
      </c>
      <c r="H894" t="s">
        <v>586</v>
      </c>
      <c r="I894" s="152"/>
    </row>
    <row r="895" spans="2:9" customFormat="1" ht="14.4" x14ac:dyDescent="0.3">
      <c r="B895" t="s">
        <v>2095</v>
      </c>
      <c r="C895" t="s">
        <v>838</v>
      </c>
      <c r="D895" t="s">
        <v>101</v>
      </c>
      <c r="E895" s="45">
        <v>-2410</v>
      </c>
      <c r="F895" t="s">
        <v>46</v>
      </c>
      <c r="G895" t="s">
        <v>586</v>
      </c>
      <c r="H895" t="s">
        <v>586</v>
      </c>
      <c r="I895" s="152"/>
    </row>
    <row r="896" spans="2:9" customFormat="1" ht="14.4" x14ac:dyDescent="0.3">
      <c r="B896" t="s">
        <v>2097</v>
      </c>
      <c r="C896" t="s">
        <v>1615</v>
      </c>
      <c r="D896" t="s">
        <v>2098</v>
      </c>
      <c r="E896" s="45">
        <v>40</v>
      </c>
      <c r="F896" t="s">
        <v>1441</v>
      </c>
      <c r="I896" s="152"/>
    </row>
    <row r="897" spans="2:9" customFormat="1" ht="14.4" x14ac:dyDescent="0.3">
      <c r="B897" t="s">
        <v>2097</v>
      </c>
      <c r="C897" t="s">
        <v>1615</v>
      </c>
      <c r="D897" t="s">
        <v>1824</v>
      </c>
      <c r="E897" s="45">
        <v>75</v>
      </c>
      <c r="F897" t="s">
        <v>1441</v>
      </c>
      <c r="I897" s="152"/>
    </row>
    <row r="898" spans="2:9" customFormat="1" ht="14.4" x14ac:dyDescent="0.3">
      <c r="B898" t="s">
        <v>2097</v>
      </c>
      <c r="C898" t="s">
        <v>1615</v>
      </c>
      <c r="D898" t="s">
        <v>1996</v>
      </c>
      <c r="E898" s="45">
        <v>10</v>
      </c>
      <c r="F898" t="s">
        <v>1441</v>
      </c>
      <c r="I898" s="152"/>
    </row>
    <row r="899" spans="2:9" customFormat="1" ht="14.4" x14ac:dyDescent="0.3">
      <c r="B899" t="s">
        <v>2097</v>
      </c>
      <c r="C899" t="s">
        <v>1615</v>
      </c>
      <c r="D899" t="s">
        <v>2063</v>
      </c>
      <c r="E899" s="45">
        <v>12</v>
      </c>
      <c r="F899" t="s">
        <v>1441</v>
      </c>
      <c r="I899" s="152"/>
    </row>
    <row r="900" spans="2:9" customFormat="1" ht="14.4" x14ac:dyDescent="0.3">
      <c r="B900" t="s">
        <v>2097</v>
      </c>
      <c r="C900" t="s">
        <v>1615</v>
      </c>
      <c r="D900" t="s">
        <v>1825</v>
      </c>
      <c r="E900" s="45">
        <v>46</v>
      </c>
      <c r="F900" t="s">
        <v>1441</v>
      </c>
      <c r="I900" s="152"/>
    </row>
    <row r="901" spans="2:9" customFormat="1" ht="14.4" x14ac:dyDescent="0.3">
      <c r="B901" t="s">
        <v>2097</v>
      </c>
      <c r="C901" t="s">
        <v>1615</v>
      </c>
      <c r="D901" t="s">
        <v>1996</v>
      </c>
      <c r="E901" s="45">
        <v>29</v>
      </c>
      <c r="F901" t="s">
        <v>1441</v>
      </c>
      <c r="I901" s="152"/>
    </row>
    <row r="902" spans="2:9" customFormat="1" ht="14.4" x14ac:dyDescent="0.3">
      <c r="B902" t="s">
        <v>2097</v>
      </c>
      <c r="C902" t="s">
        <v>1615</v>
      </c>
      <c r="D902" t="s">
        <v>2099</v>
      </c>
      <c r="E902" s="45">
        <v>10</v>
      </c>
      <c r="F902" t="s">
        <v>1441</v>
      </c>
      <c r="I902" s="152"/>
    </row>
    <row r="903" spans="2:9" customFormat="1" ht="14.4" x14ac:dyDescent="0.3">
      <c r="B903" t="s">
        <v>2097</v>
      </c>
      <c r="C903" t="s">
        <v>1615</v>
      </c>
      <c r="D903" t="s">
        <v>2100</v>
      </c>
      <c r="E903" s="45">
        <v>24</v>
      </c>
      <c r="F903" t="s">
        <v>1441</v>
      </c>
      <c r="I903" s="152"/>
    </row>
    <row r="904" spans="2:9" customFormat="1" ht="14.4" x14ac:dyDescent="0.3">
      <c r="B904" t="s">
        <v>2097</v>
      </c>
      <c r="C904" t="s">
        <v>1615</v>
      </c>
      <c r="D904" t="s">
        <v>2063</v>
      </c>
      <c r="E904" s="45">
        <v>20</v>
      </c>
      <c r="F904" t="s">
        <v>1441</v>
      </c>
      <c r="I904" s="152"/>
    </row>
    <row r="905" spans="2:9" customFormat="1" ht="14.4" x14ac:dyDescent="0.3">
      <c r="B905" t="s">
        <v>2097</v>
      </c>
      <c r="C905" t="s">
        <v>1615</v>
      </c>
      <c r="D905" t="s">
        <v>2101</v>
      </c>
      <c r="E905" s="45">
        <v>20</v>
      </c>
      <c r="F905" t="s">
        <v>1441</v>
      </c>
      <c r="I905" s="152"/>
    </row>
    <row r="906" spans="2:9" customFormat="1" ht="14.4" x14ac:dyDescent="0.3">
      <c r="B906" t="s">
        <v>2097</v>
      </c>
      <c r="C906" t="s">
        <v>1615</v>
      </c>
      <c r="D906" t="s">
        <v>2102</v>
      </c>
      <c r="E906" s="45">
        <v>15</v>
      </c>
      <c r="F906" t="s">
        <v>1441</v>
      </c>
      <c r="I906" s="152"/>
    </row>
    <row r="907" spans="2:9" customFormat="1" ht="14.4" x14ac:dyDescent="0.3">
      <c r="B907" t="s">
        <v>2097</v>
      </c>
      <c r="C907" t="s">
        <v>982</v>
      </c>
      <c r="D907" t="s">
        <v>101</v>
      </c>
      <c r="E907" s="45">
        <v>-103</v>
      </c>
      <c r="F907" t="s">
        <v>46</v>
      </c>
      <c r="G907" t="s">
        <v>580</v>
      </c>
      <c r="H907" t="s">
        <v>594</v>
      </c>
      <c r="I907" s="152"/>
    </row>
    <row r="908" spans="2:9" customFormat="1" ht="14.4" x14ac:dyDescent="0.3">
      <c r="B908" t="s">
        <v>2097</v>
      </c>
      <c r="C908" t="s">
        <v>1477</v>
      </c>
      <c r="D908" t="s">
        <v>101</v>
      </c>
      <c r="E908" s="45">
        <v>-408</v>
      </c>
      <c r="F908" t="s">
        <v>46</v>
      </c>
      <c r="G908" t="s">
        <v>580</v>
      </c>
      <c r="H908" t="s">
        <v>1158</v>
      </c>
      <c r="I908" s="152"/>
    </row>
    <row r="909" spans="2:9" customFormat="1" ht="14.4" x14ac:dyDescent="0.3">
      <c r="B909" t="s">
        <v>2097</v>
      </c>
      <c r="C909" t="s">
        <v>1438</v>
      </c>
      <c r="D909" t="s">
        <v>101</v>
      </c>
      <c r="E909" s="45">
        <v>-314</v>
      </c>
      <c r="F909" t="s">
        <v>46</v>
      </c>
      <c r="G909" t="s">
        <v>580</v>
      </c>
      <c r="H909" t="s">
        <v>1385</v>
      </c>
      <c r="I909" s="152"/>
    </row>
    <row r="910" spans="2:9" customFormat="1" ht="14.4" x14ac:dyDescent="0.3">
      <c r="B910" t="s">
        <v>2097</v>
      </c>
      <c r="C910" t="s">
        <v>838</v>
      </c>
      <c r="D910" t="s">
        <v>101</v>
      </c>
      <c r="E910" s="45">
        <v>-169</v>
      </c>
      <c r="F910" t="s">
        <v>46</v>
      </c>
      <c r="G910" t="s">
        <v>586</v>
      </c>
      <c r="H910" t="s">
        <v>586</v>
      </c>
      <c r="I910" s="152"/>
    </row>
    <row r="911" spans="2:9" customFormat="1" ht="14.4" x14ac:dyDescent="0.3">
      <c r="B911" t="s">
        <v>2097</v>
      </c>
      <c r="C911" t="s">
        <v>1128</v>
      </c>
      <c r="D911" t="s">
        <v>101</v>
      </c>
      <c r="E911" s="45">
        <v>-680</v>
      </c>
      <c r="F911" t="s">
        <v>46</v>
      </c>
      <c r="G911" t="s">
        <v>580</v>
      </c>
      <c r="H911" t="s">
        <v>438</v>
      </c>
      <c r="I911" s="152"/>
    </row>
    <row r="912" spans="2:9" customFormat="1" ht="14.4" x14ac:dyDescent="0.3">
      <c r="B912" t="s">
        <v>2097</v>
      </c>
      <c r="C912" t="s">
        <v>1457</v>
      </c>
      <c r="D912" t="s">
        <v>101</v>
      </c>
      <c r="E912" s="45">
        <v>-758</v>
      </c>
      <c r="F912" t="s">
        <v>46</v>
      </c>
      <c r="G912" t="s">
        <v>580</v>
      </c>
      <c r="H912" t="s">
        <v>1428</v>
      </c>
      <c r="I912" s="152"/>
    </row>
    <row r="913" spans="2:9" customFormat="1" ht="14.4" x14ac:dyDescent="0.3">
      <c r="B913" t="s">
        <v>2097</v>
      </c>
      <c r="C913" t="s">
        <v>982</v>
      </c>
      <c r="D913" t="s">
        <v>101</v>
      </c>
      <c r="E913" s="45">
        <v>-359</v>
      </c>
      <c r="F913" t="s">
        <v>46</v>
      </c>
      <c r="G913" t="s">
        <v>580</v>
      </c>
      <c r="H913" t="s">
        <v>594</v>
      </c>
      <c r="I913" s="152"/>
    </row>
    <row r="914" spans="2:9" customFormat="1" ht="14.4" x14ac:dyDescent="0.3">
      <c r="B914" t="s">
        <v>2103</v>
      </c>
      <c r="C914" t="s">
        <v>1397</v>
      </c>
      <c r="D914" t="s">
        <v>126</v>
      </c>
      <c r="E914" s="45">
        <v>-605</v>
      </c>
      <c r="F914" t="s">
        <v>39</v>
      </c>
      <c r="G914" t="s">
        <v>580</v>
      </c>
      <c r="H914" t="s">
        <v>593</v>
      </c>
      <c r="I914" s="152"/>
    </row>
    <row r="915" spans="2:9" customFormat="1" ht="14.4" x14ac:dyDescent="0.3">
      <c r="B915" t="s">
        <v>2103</v>
      </c>
      <c r="C915" t="s">
        <v>937</v>
      </c>
      <c r="D915" t="s">
        <v>101</v>
      </c>
      <c r="E915" s="45">
        <v>-24230</v>
      </c>
      <c r="F915" t="s">
        <v>489</v>
      </c>
      <c r="G915" t="s">
        <v>107</v>
      </c>
      <c r="I915" s="152"/>
    </row>
    <row r="916" spans="2:9" customFormat="1" ht="14.4" x14ac:dyDescent="0.3">
      <c r="B916" t="s">
        <v>2103</v>
      </c>
      <c r="C916" t="s">
        <v>1615</v>
      </c>
      <c r="D916" t="s">
        <v>2104</v>
      </c>
      <c r="E916" s="45">
        <v>15</v>
      </c>
      <c r="F916" t="s">
        <v>1441</v>
      </c>
      <c r="I916" s="152"/>
    </row>
    <row r="917" spans="2:9" customFormat="1" ht="14.4" x14ac:dyDescent="0.3">
      <c r="B917" t="s">
        <v>2103</v>
      </c>
      <c r="C917" t="s">
        <v>1615</v>
      </c>
      <c r="D917" t="s">
        <v>1819</v>
      </c>
      <c r="E917" s="45">
        <v>35</v>
      </c>
      <c r="F917" t="s">
        <v>1441</v>
      </c>
      <c r="I917" s="152"/>
    </row>
    <row r="918" spans="2:9" customFormat="1" ht="14.4" x14ac:dyDescent="0.3">
      <c r="B918" t="s">
        <v>2103</v>
      </c>
      <c r="C918" t="s">
        <v>1615</v>
      </c>
      <c r="D918" t="s">
        <v>1711</v>
      </c>
      <c r="E918" s="45">
        <v>17</v>
      </c>
      <c r="F918" t="s">
        <v>1441</v>
      </c>
      <c r="I918" s="152"/>
    </row>
    <row r="919" spans="2:9" customFormat="1" ht="14.4" x14ac:dyDescent="0.3">
      <c r="B919" t="s">
        <v>2103</v>
      </c>
      <c r="C919" t="s">
        <v>1615</v>
      </c>
      <c r="D919" t="s">
        <v>2104</v>
      </c>
      <c r="E919" s="45">
        <v>27</v>
      </c>
      <c r="F919" t="s">
        <v>1441</v>
      </c>
      <c r="I919" s="152"/>
    </row>
    <row r="920" spans="2:9" customFormat="1" ht="14.4" x14ac:dyDescent="0.3">
      <c r="B920" t="s">
        <v>2103</v>
      </c>
      <c r="C920" t="s">
        <v>1615</v>
      </c>
      <c r="D920" t="s">
        <v>1711</v>
      </c>
      <c r="E920" s="45">
        <v>63</v>
      </c>
      <c r="F920" t="s">
        <v>1441</v>
      </c>
      <c r="I920" s="152"/>
    </row>
    <row r="921" spans="2:9" customFormat="1" ht="14.4" x14ac:dyDescent="0.3">
      <c r="B921" t="s">
        <v>2103</v>
      </c>
      <c r="C921" t="s">
        <v>1615</v>
      </c>
      <c r="D921" t="s">
        <v>2105</v>
      </c>
      <c r="E921" s="45">
        <v>40</v>
      </c>
      <c r="F921" t="s">
        <v>1441</v>
      </c>
      <c r="I921" s="152"/>
    </row>
    <row r="922" spans="2:9" customFormat="1" ht="14.4" x14ac:dyDescent="0.3">
      <c r="B922" t="s">
        <v>2103</v>
      </c>
      <c r="C922" t="s">
        <v>1615</v>
      </c>
      <c r="D922" t="s">
        <v>1824</v>
      </c>
      <c r="E922" s="45">
        <v>15</v>
      </c>
      <c r="F922" t="s">
        <v>1441</v>
      </c>
      <c r="I922" s="152"/>
    </row>
    <row r="923" spans="2:9" customFormat="1" ht="14.4" x14ac:dyDescent="0.3">
      <c r="B923" t="s">
        <v>2103</v>
      </c>
      <c r="C923" t="s">
        <v>1615</v>
      </c>
      <c r="D923" t="s">
        <v>1665</v>
      </c>
      <c r="E923" s="45">
        <v>25</v>
      </c>
      <c r="F923" t="s">
        <v>1441</v>
      </c>
      <c r="I923" s="152"/>
    </row>
    <row r="924" spans="2:9" customFormat="1" ht="14.4" x14ac:dyDescent="0.3">
      <c r="B924" t="s">
        <v>2103</v>
      </c>
      <c r="C924" t="s">
        <v>1615</v>
      </c>
      <c r="D924" t="s">
        <v>1824</v>
      </c>
      <c r="E924" s="45">
        <v>37</v>
      </c>
      <c r="F924" t="s">
        <v>1441</v>
      </c>
      <c r="I924" s="152"/>
    </row>
    <row r="925" spans="2:9" customFormat="1" ht="14.4" x14ac:dyDescent="0.3">
      <c r="B925" t="s">
        <v>2103</v>
      </c>
      <c r="C925" t="s">
        <v>1615</v>
      </c>
      <c r="D925" t="s">
        <v>2105</v>
      </c>
      <c r="E925" s="45">
        <v>40</v>
      </c>
      <c r="F925" t="s">
        <v>1441</v>
      </c>
      <c r="I925" s="152"/>
    </row>
    <row r="926" spans="2:9" customFormat="1" ht="14.4" x14ac:dyDescent="0.3">
      <c r="B926" t="s">
        <v>2103</v>
      </c>
      <c r="C926" t="s">
        <v>1615</v>
      </c>
      <c r="D926" t="s">
        <v>1707</v>
      </c>
      <c r="E926" s="45">
        <v>35</v>
      </c>
      <c r="F926" t="s">
        <v>1441</v>
      </c>
      <c r="I926" s="152"/>
    </row>
    <row r="927" spans="2:9" customFormat="1" ht="14.4" x14ac:dyDescent="0.3">
      <c r="B927" t="s">
        <v>2103</v>
      </c>
      <c r="C927" t="s">
        <v>1615</v>
      </c>
      <c r="D927" t="s">
        <v>2106</v>
      </c>
      <c r="E927" s="45">
        <v>17</v>
      </c>
      <c r="F927" t="s">
        <v>1441</v>
      </c>
      <c r="I927" s="152"/>
    </row>
    <row r="928" spans="2:9" customFormat="1" ht="14.4" x14ac:dyDescent="0.3">
      <c r="B928" t="s">
        <v>2103</v>
      </c>
      <c r="C928" t="s">
        <v>1615</v>
      </c>
      <c r="D928" t="s">
        <v>2106</v>
      </c>
      <c r="E928" s="45">
        <v>22</v>
      </c>
      <c r="F928" t="s">
        <v>1441</v>
      </c>
      <c r="I928" s="152"/>
    </row>
    <row r="929" spans="1:9" customFormat="1" ht="14.4" x14ac:dyDescent="0.3">
      <c r="B929" t="s">
        <v>2103</v>
      </c>
      <c r="C929" t="s">
        <v>1615</v>
      </c>
      <c r="D929" t="s">
        <v>2107</v>
      </c>
      <c r="E929" s="45">
        <v>75</v>
      </c>
      <c r="F929" t="s">
        <v>1441</v>
      </c>
      <c r="I929" s="152"/>
    </row>
    <row r="930" spans="1:9" customFormat="1" ht="14.4" x14ac:dyDescent="0.3">
      <c r="B930" t="s">
        <v>2103</v>
      </c>
      <c r="C930" t="s">
        <v>1615</v>
      </c>
      <c r="D930" t="s">
        <v>2108</v>
      </c>
      <c r="E930" s="45">
        <v>30</v>
      </c>
      <c r="F930" t="s">
        <v>1441</v>
      </c>
      <c r="I930" s="152"/>
    </row>
    <row r="931" spans="1:9" customFormat="1" ht="14.4" x14ac:dyDescent="0.3">
      <c r="B931" t="s">
        <v>2103</v>
      </c>
      <c r="C931" t="s">
        <v>1615</v>
      </c>
      <c r="D931" t="s">
        <v>2109</v>
      </c>
      <c r="E931" s="45">
        <v>35</v>
      </c>
      <c r="F931" t="s">
        <v>1441</v>
      </c>
      <c r="I931" s="152"/>
    </row>
    <row r="932" spans="1:9" customFormat="1" ht="14.4" x14ac:dyDescent="0.3">
      <c r="B932" t="s">
        <v>2103</v>
      </c>
      <c r="C932" t="s">
        <v>1615</v>
      </c>
      <c r="D932" t="s">
        <v>2106</v>
      </c>
      <c r="E932" s="45">
        <v>20</v>
      </c>
      <c r="F932" t="s">
        <v>1441</v>
      </c>
      <c r="I932" s="152"/>
    </row>
    <row r="933" spans="1:9" customFormat="1" ht="14.4" x14ac:dyDescent="0.3">
      <c r="B933" t="s">
        <v>2103</v>
      </c>
      <c r="C933" t="s">
        <v>1615</v>
      </c>
      <c r="D933" t="s">
        <v>2110</v>
      </c>
      <c r="E933" s="45">
        <v>28</v>
      </c>
      <c r="F933" t="s">
        <v>1441</v>
      </c>
      <c r="I933" s="152"/>
    </row>
    <row r="934" spans="1:9" customFormat="1" ht="14.4" x14ac:dyDescent="0.3">
      <c r="B934" t="s">
        <v>2103</v>
      </c>
      <c r="C934" t="s">
        <v>1615</v>
      </c>
      <c r="D934" t="s">
        <v>1824</v>
      </c>
      <c r="E934" s="45">
        <v>30</v>
      </c>
      <c r="F934" t="s">
        <v>1441</v>
      </c>
      <c r="I934" s="152"/>
    </row>
    <row r="935" spans="1:9" customFormat="1" ht="14.4" x14ac:dyDescent="0.3">
      <c r="B935" t="s">
        <v>2103</v>
      </c>
      <c r="C935" t="s">
        <v>1615</v>
      </c>
      <c r="D935" t="s">
        <v>2111</v>
      </c>
      <c r="E935" s="45">
        <v>40</v>
      </c>
      <c r="F935" t="s">
        <v>1441</v>
      </c>
      <c r="I935" s="152"/>
    </row>
    <row r="936" spans="1:9" customFormat="1" ht="14.4" x14ac:dyDescent="0.3">
      <c r="B936" t="s">
        <v>2103</v>
      </c>
      <c r="C936" t="s">
        <v>1615</v>
      </c>
      <c r="D936" t="s">
        <v>1673</v>
      </c>
      <c r="E936" s="45">
        <v>26</v>
      </c>
      <c r="F936" t="s">
        <v>1441</v>
      </c>
      <c r="I936" s="152"/>
    </row>
    <row r="937" spans="1:9" customFormat="1" ht="14.4" x14ac:dyDescent="0.3">
      <c r="A937" s="166"/>
      <c r="B937" s="166" t="s">
        <v>2103</v>
      </c>
      <c r="C937" s="166" t="s">
        <v>1144</v>
      </c>
      <c r="D937" s="166" t="s">
        <v>126</v>
      </c>
      <c r="E937" s="167">
        <v>-600</v>
      </c>
      <c r="F937" s="166"/>
      <c r="G937" s="166"/>
      <c r="H937" s="166"/>
      <c r="I937" s="152"/>
    </row>
    <row r="938" spans="1:9" customFormat="1" ht="14.4" x14ac:dyDescent="0.3">
      <c r="B938" t="s">
        <v>2103</v>
      </c>
      <c r="C938" t="s">
        <v>1615</v>
      </c>
      <c r="D938" t="s">
        <v>1697</v>
      </c>
      <c r="E938" s="45">
        <v>70</v>
      </c>
      <c r="F938" t="s">
        <v>1441</v>
      </c>
      <c r="I938" s="152"/>
    </row>
    <row r="939" spans="1:9" customFormat="1" ht="14.4" x14ac:dyDescent="0.3">
      <c r="B939" t="s">
        <v>2103</v>
      </c>
      <c r="C939" t="s">
        <v>1615</v>
      </c>
      <c r="D939" t="s">
        <v>1737</v>
      </c>
      <c r="E939" s="45">
        <v>40</v>
      </c>
      <c r="F939" t="s">
        <v>1441</v>
      </c>
      <c r="I939" s="152"/>
    </row>
    <row r="940" spans="1:9" customFormat="1" ht="14.4" x14ac:dyDescent="0.3">
      <c r="B940" t="s">
        <v>2103</v>
      </c>
      <c r="C940" t="s">
        <v>1615</v>
      </c>
      <c r="D940" t="s">
        <v>2112</v>
      </c>
      <c r="E940" s="45">
        <v>30</v>
      </c>
      <c r="F940" t="s">
        <v>1441</v>
      </c>
      <c r="I940" s="152"/>
    </row>
    <row r="941" spans="1:9" customFormat="1" ht="14.4" x14ac:dyDescent="0.3">
      <c r="B941" t="s">
        <v>2103</v>
      </c>
      <c r="C941" t="s">
        <v>1615</v>
      </c>
      <c r="D941" t="s">
        <v>2113</v>
      </c>
      <c r="E941" s="45">
        <v>60</v>
      </c>
      <c r="F941" t="s">
        <v>1441</v>
      </c>
      <c r="I941" s="152"/>
    </row>
    <row r="942" spans="1:9" customFormat="1" ht="14.4" x14ac:dyDescent="0.3">
      <c r="B942" t="s">
        <v>2103</v>
      </c>
      <c r="C942" t="s">
        <v>1615</v>
      </c>
      <c r="D942" t="s">
        <v>2114</v>
      </c>
      <c r="E942" s="45">
        <v>27</v>
      </c>
      <c r="F942" t="s">
        <v>1441</v>
      </c>
      <c r="I942" s="152"/>
    </row>
    <row r="943" spans="1:9" customFormat="1" ht="14.4" x14ac:dyDescent="0.3">
      <c r="B943" t="s">
        <v>2103</v>
      </c>
      <c r="C943" t="s">
        <v>1615</v>
      </c>
      <c r="D943" t="s">
        <v>2057</v>
      </c>
      <c r="E943" s="45">
        <v>30</v>
      </c>
      <c r="F943" t="s">
        <v>1441</v>
      </c>
      <c r="I943" s="152"/>
    </row>
    <row r="944" spans="1:9" customFormat="1" ht="14.4" x14ac:dyDescent="0.3">
      <c r="B944" t="s">
        <v>2103</v>
      </c>
      <c r="C944" t="s">
        <v>1615</v>
      </c>
      <c r="D944" t="s">
        <v>2115</v>
      </c>
      <c r="E944" s="45">
        <v>90</v>
      </c>
      <c r="F944" t="s">
        <v>1441</v>
      </c>
      <c r="I944" s="152"/>
    </row>
    <row r="945" spans="2:9" customFormat="1" ht="14.4" x14ac:dyDescent="0.3">
      <c r="B945" t="s">
        <v>2103</v>
      </c>
      <c r="C945" t="s">
        <v>1615</v>
      </c>
      <c r="D945" t="s">
        <v>2116</v>
      </c>
      <c r="E945" s="45">
        <v>58</v>
      </c>
      <c r="F945" t="s">
        <v>1441</v>
      </c>
      <c r="I945" s="152"/>
    </row>
    <row r="946" spans="2:9" customFormat="1" ht="14.4" x14ac:dyDescent="0.3">
      <c r="B946" t="s">
        <v>2103</v>
      </c>
      <c r="C946" t="s">
        <v>1615</v>
      </c>
      <c r="D946" t="s">
        <v>2117</v>
      </c>
      <c r="E946" s="45">
        <v>12</v>
      </c>
      <c r="F946" t="s">
        <v>1441</v>
      </c>
      <c r="I946" s="152"/>
    </row>
    <row r="947" spans="2:9" customFormat="1" ht="14.4" x14ac:dyDescent="0.3">
      <c r="B947" t="s">
        <v>2103</v>
      </c>
      <c r="C947" t="s">
        <v>1615</v>
      </c>
      <c r="D947" t="s">
        <v>2118</v>
      </c>
      <c r="E947" s="45">
        <v>30</v>
      </c>
      <c r="F947" t="s">
        <v>1441</v>
      </c>
      <c r="I947" s="152"/>
    </row>
    <row r="948" spans="2:9" customFormat="1" ht="14.4" x14ac:dyDescent="0.3">
      <c r="B948" t="s">
        <v>2103</v>
      </c>
      <c r="C948" t="s">
        <v>1615</v>
      </c>
      <c r="D948" t="s">
        <v>2114</v>
      </c>
      <c r="E948" s="45">
        <v>28</v>
      </c>
      <c r="F948" t="s">
        <v>1441</v>
      </c>
      <c r="I948" s="152"/>
    </row>
    <row r="949" spans="2:9" customFormat="1" ht="14.4" x14ac:dyDescent="0.3">
      <c r="B949" t="s">
        <v>2103</v>
      </c>
      <c r="C949" t="s">
        <v>1615</v>
      </c>
      <c r="D949" t="s">
        <v>2119</v>
      </c>
      <c r="E949" s="45">
        <v>18</v>
      </c>
      <c r="F949" t="s">
        <v>1441</v>
      </c>
      <c r="I949" s="152"/>
    </row>
    <row r="950" spans="2:9" customFormat="1" ht="14.4" x14ac:dyDescent="0.3">
      <c r="B950" t="s">
        <v>2103</v>
      </c>
      <c r="C950" t="s">
        <v>1615</v>
      </c>
      <c r="D950" t="s">
        <v>2120</v>
      </c>
      <c r="E950" s="45">
        <v>15</v>
      </c>
      <c r="F950" t="s">
        <v>1441</v>
      </c>
      <c r="I950" s="152"/>
    </row>
    <row r="951" spans="2:9" customFormat="1" ht="14.4" x14ac:dyDescent="0.3">
      <c r="B951" t="s">
        <v>2103</v>
      </c>
      <c r="C951" t="s">
        <v>1615</v>
      </c>
      <c r="D951" t="s">
        <v>2121</v>
      </c>
      <c r="E951" s="45">
        <v>25</v>
      </c>
      <c r="F951" t="s">
        <v>1441</v>
      </c>
      <c r="I951" s="152"/>
    </row>
    <row r="952" spans="2:9" customFormat="1" ht="14.4" x14ac:dyDescent="0.3">
      <c r="B952" t="s">
        <v>2103</v>
      </c>
      <c r="C952" t="s">
        <v>1615</v>
      </c>
      <c r="D952" t="s">
        <v>2122</v>
      </c>
      <c r="E952" s="45">
        <v>55</v>
      </c>
      <c r="F952" t="s">
        <v>1441</v>
      </c>
      <c r="I952" s="152"/>
    </row>
    <row r="953" spans="2:9" customFormat="1" ht="14.4" x14ac:dyDescent="0.3">
      <c r="B953" t="s">
        <v>2103</v>
      </c>
      <c r="C953" t="s">
        <v>1615</v>
      </c>
      <c r="D953" t="s">
        <v>2123</v>
      </c>
      <c r="E953" s="45">
        <v>65</v>
      </c>
      <c r="F953" t="s">
        <v>1441</v>
      </c>
      <c r="I953" s="152"/>
    </row>
    <row r="954" spans="2:9" customFormat="1" ht="14.4" x14ac:dyDescent="0.3">
      <c r="B954" t="s">
        <v>2103</v>
      </c>
      <c r="C954" t="s">
        <v>1615</v>
      </c>
      <c r="D954" t="s">
        <v>2124</v>
      </c>
      <c r="E954" s="45">
        <v>30</v>
      </c>
      <c r="F954" t="s">
        <v>1441</v>
      </c>
      <c r="I954" s="152"/>
    </row>
    <row r="955" spans="2:9" customFormat="1" ht="14.4" x14ac:dyDescent="0.3">
      <c r="B955" t="s">
        <v>2103</v>
      </c>
      <c r="C955" t="s">
        <v>1615</v>
      </c>
      <c r="D955" t="s">
        <v>2125</v>
      </c>
      <c r="E955" s="45">
        <v>55</v>
      </c>
      <c r="F955" t="s">
        <v>1441</v>
      </c>
      <c r="I955" s="152"/>
    </row>
    <row r="956" spans="2:9" customFormat="1" ht="14.4" x14ac:dyDescent="0.3">
      <c r="B956" t="s">
        <v>2103</v>
      </c>
      <c r="C956" t="s">
        <v>1615</v>
      </c>
      <c r="D956" t="s">
        <v>2118</v>
      </c>
      <c r="E956" s="45">
        <v>40</v>
      </c>
      <c r="F956" t="s">
        <v>1441</v>
      </c>
      <c r="I956" s="152"/>
    </row>
    <row r="957" spans="2:9" customFormat="1" ht="14.4" x14ac:dyDescent="0.3">
      <c r="B957" t="s">
        <v>2103</v>
      </c>
      <c r="C957" t="s">
        <v>1615</v>
      </c>
      <c r="D957" t="s">
        <v>2119</v>
      </c>
      <c r="E957" s="45">
        <v>25</v>
      </c>
      <c r="F957" t="s">
        <v>1441</v>
      </c>
      <c r="I957" s="152"/>
    </row>
    <row r="958" spans="2:9" customFormat="1" ht="14.4" x14ac:dyDescent="0.3">
      <c r="B958" t="s">
        <v>2103</v>
      </c>
      <c r="C958" t="s">
        <v>1615</v>
      </c>
      <c r="D958" t="s">
        <v>2125</v>
      </c>
      <c r="E958" s="45">
        <v>45</v>
      </c>
      <c r="F958" t="s">
        <v>1441</v>
      </c>
      <c r="I958" s="152"/>
    </row>
    <row r="959" spans="2:9" customFormat="1" ht="14.4" x14ac:dyDescent="0.3">
      <c r="B959" t="s">
        <v>2103</v>
      </c>
      <c r="C959" t="s">
        <v>1615</v>
      </c>
      <c r="D959" t="s">
        <v>2126</v>
      </c>
      <c r="E959" s="45">
        <v>30</v>
      </c>
      <c r="F959" t="s">
        <v>1441</v>
      </c>
      <c r="I959" s="152"/>
    </row>
    <row r="960" spans="2:9" customFormat="1" ht="14.4" x14ac:dyDescent="0.3">
      <c r="B960" t="s">
        <v>2103</v>
      </c>
      <c r="C960" t="s">
        <v>1615</v>
      </c>
      <c r="D960" t="s">
        <v>1827</v>
      </c>
      <c r="E960" s="45">
        <v>25</v>
      </c>
      <c r="F960" t="s">
        <v>1441</v>
      </c>
      <c r="I960" s="152"/>
    </row>
    <row r="961" spans="2:9" customFormat="1" ht="14.4" x14ac:dyDescent="0.3">
      <c r="B961" t="s">
        <v>2103</v>
      </c>
      <c r="C961" t="s">
        <v>1615</v>
      </c>
      <c r="D961" t="s">
        <v>2127</v>
      </c>
      <c r="E961" s="45">
        <v>30</v>
      </c>
      <c r="F961" t="s">
        <v>1441</v>
      </c>
      <c r="I961" s="152"/>
    </row>
    <row r="962" spans="2:9" customFormat="1" ht="14.4" x14ac:dyDescent="0.3">
      <c r="B962" t="s">
        <v>2103</v>
      </c>
      <c r="C962" t="s">
        <v>1615</v>
      </c>
      <c r="D962" t="s">
        <v>2114</v>
      </c>
      <c r="E962" s="45">
        <v>55</v>
      </c>
      <c r="F962" t="s">
        <v>1441</v>
      </c>
      <c r="I962" s="152"/>
    </row>
    <row r="963" spans="2:9" customFormat="1" ht="14.4" x14ac:dyDescent="0.3">
      <c r="B963" t="s">
        <v>2103</v>
      </c>
      <c r="C963" t="s">
        <v>1615</v>
      </c>
      <c r="D963" t="s">
        <v>2128</v>
      </c>
      <c r="E963" s="45">
        <v>100</v>
      </c>
      <c r="F963" t="s">
        <v>1441</v>
      </c>
      <c r="I963" s="152"/>
    </row>
    <row r="964" spans="2:9" customFormat="1" ht="14.4" x14ac:dyDescent="0.3">
      <c r="B964" t="s">
        <v>2103</v>
      </c>
      <c r="C964" t="s">
        <v>1615</v>
      </c>
      <c r="D964" t="s">
        <v>2120</v>
      </c>
      <c r="E964" s="45">
        <v>30</v>
      </c>
      <c r="F964" t="s">
        <v>1441</v>
      </c>
      <c r="I964" s="152"/>
    </row>
    <row r="965" spans="2:9" customFormat="1" ht="14.4" x14ac:dyDescent="0.3">
      <c r="B965" t="s">
        <v>2103</v>
      </c>
      <c r="C965" t="s">
        <v>1615</v>
      </c>
      <c r="D965" t="s">
        <v>2129</v>
      </c>
      <c r="E965" s="45">
        <v>45</v>
      </c>
      <c r="F965" t="s">
        <v>1441</v>
      </c>
      <c r="I965" s="152"/>
    </row>
    <row r="966" spans="2:9" customFormat="1" ht="14.4" x14ac:dyDescent="0.3">
      <c r="B966" t="s">
        <v>2103</v>
      </c>
      <c r="C966" t="s">
        <v>1615</v>
      </c>
      <c r="D966" t="s">
        <v>1721</v>
      </c>
      <c r="E966" s="45">
        <v>30</v>
      </c>
      <c r="F966" t="s">
        <v>1441</v>
      </c>
      <c r="I966" s="152"/>
    </row>
    <row r="967" spans="2:9" customFormat="1" ht="14.4" x14ac:dyDescent="0.3">
      <c r="B967" t="s">
        <v>2103</v>
      </c>
      <c r="C967" t="s">
        <v>1615</v>
      </c>
      <c r="D967" t="s">
        <v>2130</v>
      </c>
      <c r="E967" s="45">
        <v>90</v>
      </c>
      <c r="F967" t="s">
        <v>1441</v>
      </c>
      <c r="I967" s="152"/>
    </row>
    <row r="968" spans="2:9" customFormat="1" ht="14.4" x14ac:dyDescent="0.3">
      <c r="B968" t="s">
        <v>2103</v>
      </c>
      <c r="C968" t="s">
        <v>1615</v>
      </c>
      <c r="D968" t="s">
        <v>2131</v>
      </c>
      <c r="E968" s="45">
        <v>60</v>
      </c>
      <c r="F968" t="s">
        <v>1441</v>
      </c>
      <c r="I968" s="152"/>
    </row>
    <row r="969" spans="2:9" customFormat="1" ht="14.4" x14ac:dyDescent="0.3">
      <c r="B969" t="s">
        <v>2103</v>
      </c>
      <c r="C969" t="s">
        <v>1615</v>
      </c>
      <c r="D969" t="s">
        <v>2132</v>
      </c>
      <c r="E969" s="45">
        <v>12</v>
      </c>
      <c r="F969" t="s">
        <v>1441</v>
      </c>
      <c r="I969" s="152"/>
    </row>
    <row r="970" spans="2:9" customFormat="1" ht="14.4" x14ac:dyDescent="0.3">
      <c r="B970" t="s">
        <v>2103</v>
      </c>
      <c r="C970" t="s">
        <v>1615</v>
      </c>
      <c r="D970" t="s">
        <v>2133</v>
      </c>
      <c r="E970" s="45">
        <v>180</v>
      </c>
      <c r="F970" t="s">
        <v>1441</v>
      </c>
      <c r="I970" s="152"/>
    </row>
    <row r="971" spans="2:9" customFormat="1" ht="14.4" x14ac:dyDescent="0.3">
      <c r="B971" t="s">
        <v>2103</v>
      </c>
      <c r="C971" t="s">
        <v>1615</v>
      </c>
      <c r="D971" t="s">
        <v>2134</v>
      </c>
      <c r="E971" s="45">
        <v>60</v>
      </c>
      <c r="F971" t="s">
        <v>1441</v>
      </c>
      <c r="I971" s="152"/>
    </row>
    <row r="972" spans="2:9" customFormat="1" ht="14.4" x14ac:dyDescent="0.3">
      <c r="B972" t="s">
        <v>2103</v>
      </c>
      <c r="C972" t="s">
        <v>1615</v>
      </c>
      <c r="D972" t="s">
        <v>1827</v>
      </c>
      <c r="E972" s="45">
        <v>30</v>
      </c>
      <c r="F972" t="s">
        <v>1441</v>
      </c>
      <c r="I972" s="152"/>
    </row>
    <row r="973" spans="2:9" customFormat="1" ht="14.4" x14ac:dyDescent="0.3">
      <c r="B973" t="s">
        <v>2103</v>
      </c>
      <c r="C973" t="s">
        <v>1615</v>
      </c>
      <c r="D973" t="s">
        <v>2135</v>
      </c>
      <c r="E973" s="45">
        <v>90</v>
      </c>
      <c r="F973" t="s">
        <v>1441</v>
      </c>
      <c r="I973" s="152"/>
    </row>
    <row r="974" spans="2:9" customFormat="1" ht="14.4" x14ac:dyDescent="0.3">
      <c r="B974" t="s">
        <v>2103</v>
      </c>
      <c r="C974" t="s">
        <v>1615</v>
      </c>
      <c r="D974" t="s">
        <v>2116</v>
      </c>
      <c r="E974" s="45">
        <v>40</v>
      </c>
      <c r="F974" t="s">
        <v>1441</v>
      </c>
      <c r="I974" s="152"/>
    </row>
    <row r="975" spans="2:9" customFormat="1" ht="14.4" x14ac:dyDescent="0.3">
      <c r="B975" t="s">
        <v>2103</v>
      </c>
      <c r="C975" t="s">
        <v>1615</v>
      </c>
      <c r="D975" t="s">
        <v>2136</v>
      </c>
      <c r="E975" s="45">
        <v>20</v>
      </c>
      <c r="F975" t="s">
        <v>1441</v>
      </c>
      <c r="I975" s="152"/>
    </row>
    <row r="976" spans="2:9" customFormat="1" ht="14.4" x14ac:dyDescent="0.3">
      <c r="B976" t="s">
        <v>2103</v>
      </c>
      <c r="C976" t="s">
        <v>1615</v>
      </c>
      <c r="D976" t="s">
        <v>1676</v>
      </c>
      <c r="E976" s="45">
        <v>20</v>
      </c>
      <c r="F976" t="s">
        <v>1441</v>
      </c>
      <c r="I976" s="152"/>
    </row>
    <row r="977" spans="2:9" customFormat="1" ht="14.4" x14ac:dyDescent="0.3">
      <c r="B977" t="s">
        <v>2103</v>
      </c>
      <c r="C977" t="s">
        <v>1615</v>
      </c>
      <c r="D977" t="s">
        <v>2135</v>
      </c>
      <c r="E977" s="45">
        <v>10</v>
      </c>
      <c r="F977" t="s">
        <v>1441</v>
      </c>
      <c r="I977" s="152"/>
    </row>
    <row r="978" spans="2:9" customFormat="1" ht="14.4" x14ac:dyDescent="0.3">
      <c r="B978" t="s">
        <v>2103</v>
      </c>
      <c r="C978" t="s">
        <v>1615</v>
      </c>
      <c r="D978" t="s">
        <v>1820</v>
      </c>
      <c r="E978" s="45">
        <v>50</v>
      </c>
      <c r="F978" t="s">
        <v>1441</v>
      </c>
      <c r="I978" s="152"/>
    </row>
    <row r="979" spans="2:9" customFormat="1" ht="14.4" x14ac:dyDescent="0.3">
      <c r="B979" t="s">
        <v>2103</v>
      </c>
      <c r="C979" t="s">
        <v>1615</v>
      </c>
      <c r="D979" t="s">
        <v>2126</v>
      </c>
      <c r="E979" s="45">
        <v>100</v>
      </c>
      <c r="F979" t="s">
        <v>1441</v>
      </c>
      <c r="I979" s="152"/>
    </row>
    <row r="980" spans="2:9" customFormat="1" ht="14.4" x14ac:dyDescent="0.3">
      <c r="B980" t="s">
        <v>2103</v>
      </c>
      <c r="C980" t="s">
        <v>1615</v>
      </c>
      <c r="D980" t="s">
        <v>2120</v>
      </c>
      <c r="E980" s="45">
        <v>60</v>
      </c>
      <c r="F980" t="s">
        <v>1441</v>
      </c>
      <c r="I980" s="152"/>
    </row>
    <row r="981" spans="2:9" customFormat="1" ht="14.4" x14ac:dyDescent="0.3">
      <c r="B981" t="s">
        <v>2103</v>
      </c>
      <c r="C981" t="s">
        <v>1615</v>
      </c>
      <c r="D981" t="s">
        <v>1727</v>
      </c>
      <c r="E981" s="45">
        <v>70</v>
      </c>
      <c r="F981" t="s">
        <v>1441</v>
      </c>
      <c r="I981" s="152"/>
    </row>
    <row r="982" spans="2:9" customFormat="1" ht="14.4" x14ac:dyDescent="0.3">
      <c r="B982" t="s">
        <v>2103</v>
      </c>
      <c r="C982" t="s">
        <v>1615</v>
      </c>
      <c r="D982" t="s">
        <v>2137</v>
      </c>
      <c r="E982" s="45">
        <v>45</v>
      </c>
      <c r="F982" t="s">
        <v>1441</v>
      </c>
      <c r="I982" s="152"/>
    </row>
    <row r="983" spans="2:9" customFormat="1" ht="14.4" x14ac:dyDescent="0.3">
      <c r="B983" t="s">
        <v>2103</v>
      </c>
      <c r="C983" t="s">
        <v>1615</v>
      </c>
      <c r="D983" t="s">
        <v>2138</v>
      </c>
      <c r="E983" s="45">
        <v>110</v>
      </c>
      <c r="F983" t="s">
        <v>1441</v>
      </c>
      <c r="I983" s="152"/>
    </row>
    <row r="984" spans="2:9" customFormat="1" ht="14.4" x14ac:dyDescent="0.3">
      <c r="B984" t="s">
        <v>2103</v>
      </c>
      <c r="C984" t="s">
        <v>1615</v>
      </c>
      <c r="D984" t="s">
        <v>2139</v>
      </c>
      <c r="E984" s="45">
        <v>15</v>
      </c>
      <c r="F984" t="s">
        <v>1441</v>
      </c>
      <c r="I984" s="152"/>
    </row>
    <row r="985" spans="2:9" customFormat="1" ht="14.4" x14ac:dyDescent="0.3">
      <c r="B985" t="s">
        <v>2103</v>
      </c>
      <c r="C985" t="s">
        <v>1615</v>
      </c>
      <c r="D985" t="s">
        <v>2140</v>
      </c>
      <c r="E985" s="45">
        <v>70</v>
      </c>
      <c r="F985" t="s">
        <v>1441</v>
      </c>
      <c r="I985" s="152"/>
    </row>
    <row r="986" spans="2:9" customFormat="1" ht="14.4" x14ac:dyDescent="0.3">
      <c r="B986" t="s">
        <v>2103</v>
      </c>
      <c r="C986" t="s">
        <v>1615</v>
      </c>
      <c r="D986" t="s">
        <v>2139</v>
      </c>
      <c r="E986" s="45">
        <v>60</v>
      </c>
      <c r="F986" t="s">
        <v>1441</v>
      </c>
      <c r="I986" s="152"/>
    </row>
    <row r="987" spans="2:9" customFormat="1" ht="14.4" x14ac:dyDescent="0.3">
      <c r="B987" t="s">
        <v>2103</v>
      </c>
      <c r="C987" t="s">
        <v>1615</v>
      </c>
      <c r="D987" t="s">
        <v>2067</v>
      </c>
      <c r="E987" s="45">
        <v>100</v>
      </c>
      <c r="F987" t="s">
        <v>1441</v>
      </c>
      <c r="I987" s="152"/>
    </row>
    <row r="988" spans="2:9" customFormat="1" ht="14.4" x14ac:dyDescent="0.3">
      <c r="B988" t="s">
        <v>2103</v>
      </c>
      <c r="C988" t="s">
        <v>1615</v>
      </c>
      <c r="D988" t="s">
        <v>2133</v>
      </c>
      <c r="E988" s="45">
        <v>10</v>
      </c>
      <c r="F988" t="s">
        <v>1441</v>
      </c>
      <c r="I988" s="152"/>
    </row>
    <row r="989" spans="2:9" customFormat="1" ht="14.4" x14ac:dyDescent="0.3">
      <c r="B989" t="s">
        <v>2103</v>
      </c>
      <c r="C989" t="s">
        <v>1615</v>
      </c>
      <c r="D989" t="s">
        <v>2120</v>
      </c>
      <c r="E989" s="45">
        <v>25</v>
      </c>
      <c r="F989" t="s">
        <v>1441</v>
      </c>
      <c r="I989" s="152"/>
    </row>
    <row r="990" spans="2:9" customFormat="1" ht="14.4" x14ac:dyDescent="0.3">
      <c r="B990" t="s">
        <v>2103</v>
      </c>
      <c r="C990" t="s">
        <v>1615</v>
      </c>
      <c r="D990" t="s">
        <v>2133</v>
      </c>
      <c r="E990" s="45">
        <v>20</v>
      </c>
      <c r="F990" t="s">
        <v>1441</v>
      </c>
      <c r="I990" s="152"/>
    </row>
    <row r="991" spans="2:9" customFormat="1" ht="14.4" x14ac:dyDescent="0.3">
      <c r="B991" t="s">
        <v>2103</v>
      </c>
      <c r="C991" t="s">
        <v>1615</v>
      </c>
      <c r="D991" t="s">
        <v>2131</v>
      </c>
      <c r="E991" s="45">
        <v>15</v>
      </c>
      <c r="F991" t="s">
        <v>1441</v>
      </c>
      <c r="I991" s="152"/>
    </row>
    <row r="992" spans="2:9" customFormat="1" ht="14.4" x14ac:dyDescent="0.3">
      <c r="B992" t="s">
        <v>2103</v>
      </c>
      <c r="C992" t="s">
        <v>1615</v>
      </c>
      <c r="D992" t="s">
        <v>2132</v>
      </c>
      <c r="E992" s="45">
        <v>45</v>
      </c>
      <c r="F992" t="s">
        <v>1441</v>
      </c>
      <c r="I992" s="152"/>
    </row>
    <row r="993" spans="1:9" customFormat="1" ht="14.4" x14ac:dyDescent="0.3">
      <c r="B993" t="s">
        <v>2103</v>
      </c>
      <c r="C993" t="s">
        <v>1615</v>
      </c>
      <c r="D993" t="s">
        <v>2141</v>
      </c>
      <c r="E993" s="45">
        <v>10</v>
      </c>
      <c r="F993" t="s">
        <v>1441</v>
      </c>
      <c r="I993" s="152"/>
    </row>
    <row r="994" spans="1:9" customFormat="1" ht="14.4" x14ac:dyDescent="0.3">
      <c r="B994" t="s">
        <v>2103</v>
      </c>
      <c r="C994" t="s">
        <v>1615</v>
      </c>
      <c r="D994" t="s">
        <v>2139</v>
      </c>
      <c r="E994" s="45">
        <v>10</v>
      </c>
      <c r="F994" t="s">
        <v>1441</v>
      </c>
      <c r="I994" s="152"/>
    </row>
    <row r="995" spans="1:9" customFormat="1" ht="14.4" x14ac:dyDescent="0.3">
      <c r="B995" t="s">
        <v>2103</v>
      </c>
      <c r="C995" t="s">
        <v>1615</v>
      </c>
      <c r="D995" t="s">
        <v>2032</v>
      </c>
      <c r="E995" s="45">
        <v>35</v>
      </c>
      <c r="F995" t="s">
        <v>1441</v>
      </c>
      <c r="I995" s="152"/>
    </row>
    <row r="996" spans="1:9" customFormat="1" ht="14.4" x14ac:dyDescent="0.3">
      <c r="B996" t="s">
        <v>2103</v>
      </c>
      <c r="C996" t="s">
        <v>1615</v>
      </c>
      <c r="D996" t="s">
        <v>1804</v>
      </c>
      <c r="E996" s="45">
        <v>45</v>
      </c>
      <c r="F996" t="s">
        <v>1441</v>
      </c>
      <c r="I996" s="152"/>
    </row>
    <row r="997" spans="1:9" customFormat="1" ht="14.4" x14ac:dyDescent="0.3">
      <c r="B997" t="s">
        <v>2103</v>
      </c>
      <c r="C997" t="s">
        <v>1615</v>
      </c>
      <c r="D997" t="s">
        <v>2142</v>
      </c>
      <c r="E997" s="45">
        <v>20</v>
      </c>
      <c r="F997" t="s">
        <v>1441</v>
      </c>
      <c r="I997" s="152"/>
    </row>
    <row r="998" spans="1:9" customFormat="1" ht="14.4" x14ac:dyDescent="0.3">
      <c r="B998" t="s">
        <v>2103</v>
      </c>
      <c r="C998" t="s">
        <v>1615</v>
      </c>
      <c r="D998" t="s">
        <v>2140</v>
      </c>
      <c r="E998" s="45">
        <v>10</v>
      </c>
      <c r="F998" t="s">
        <v>1441</v>
      </c>
      <c r="I998" s="152"/>
    </row>
    <row r="999" spans="1:9" customFormat="1" ht="14.4" x14ac:dyDescent="0.3">
      <c r="B999" t="s">
        <v>2103</v>
      </c>
      <c r="C999" t="s">
        <v>1615</v>
      </c>
      <c r="D999" t="s">
        <v>2023</v>
      </c>
      <c r="E999" s="45">
        <v>10</v>
      </c>
      <c r="F999" t="s">
        <v>1441</v>
      </c>
      <c r="I999" s="152"/>
    </row>
    <row r="1000" spans="1:9" customFormat="1" ht="14.4" x14ac:dyDescent="0.3">
      <c r="B1000" t="s">
        <v>2103</v>
      </c>
      <c r="C1000" t="s">
        <v>1615</v>
      </c>
      <c r="D1000" t="s">
        <v>1804</v>
      </c>
      <c r="E1000" s="45">
        <v>10</v>
      </c>
      <c r="F1000" t="s">
        <v>1441</v>
      </c>
      <c r="I1000" s="152"/>
    </row>
    <row r="1001" spans="1:9" customFormat="1" ht="14.4" x14ac:dyDescent="0.3">
      <c r="B1001" t="s">
        <v>2103</v>
      </c>
      <c r="C1001" t="s">
        <v>1184</v>
      </c>
      <c r="D1001" t="s">
        <v>1185</v>
      </c>
      <c r="E1001" s="45">
        <v>7460</v>
      </c>
      <c r="F1001" t="s">
        <v>1441</v>
      </c>
      <c r="I1001" s="152"/>
    </row>
    <row r="1002" spans="1:9" customFormat="1" ht="29.4" thickBot="1" x14ac:dyDescent="0.35">
      <c r="A1002" s="54"/>
      <c r="B1002" s="54" t="s">
        <v>1783</v>
      </c>
      <c r="C1002" s="54" t="s">
        <v>144</v>
      </c>
      <c r="D1002" s="54" t="s">
        <v>145</v>
      </c>
      <c r="E1002" s="153">
        <v>13116</v>
      </c>
      <c r="F1002" s="54" t="s">
        <v>46</v>
      </c>
      <c r="G1002" s="54" t="s">
        <v>580</v>
      </c>
      <c r="H1002" s="54" t="s">
        <v>1853</v>
      </c>
      <c r="I1002" s="232" t="s">
        <v>1854</v>
      </c>
    </row>
    <row r="1003" spans="1:9" customFormat="1" ht="14.4" x14ac:dyDescent="0.3">
      <c r="B1003" t="s">
        <v>1783</v>
      </c>
      <c r="C1003" t="s">
        <v>995</v>
      </c>
      <c r="D1003" t="s">
        <v>126</v>
      </c>
      <c r="E1003" s="45">
        <v>-835</v>
      </c>
      <c r="F1003" t="s">
        <v>39</v>
      </c>
      <c r="G1003" t="s">
        <v>586</v>
      </c>
      <c r="H1003" t="s">
        <v>586</v>
      </c>
      <c r="I1003" s="152"/>
    </row>
    <row r="1004" spans="1:9" customFormat="1" ht="14.4" x14ac:dyDescent="0.3">
      <c r="B1004" t="s">
        <v>1784</v>
      </c>
      <c r="C1004" t="s">
        <v>1785</v>
      </c>
      <c r="D1004" t="s">
        <v>101</v>
      </c>
      <c r="E1004" s="45">
        <v>-26894</v>
      </c>
      <c r="F1004" t="s">
        <v>1163</v>
      </c>
      <c r="I1004" s="152"/>
    </row>
    <row r="1005" spans="1:9" customFormat="1" ht="14.4" x14ac:dyDescent="0.3">
      <c r="B1005" t="s">
        <v>1786</v>
      </c>
      <c r="C1005" t="s">
        <v>942</v>
      </c>
      <c r="D1005" t="s">
        <v>126</v>
      </c>
      <c r="E1005" s="45">
        <v>-605</v>
      </c>
      <c r="F1005" t="s">
        <v>39</v>
      </c>
      <c r="G1005" t="s">
        <v>580</v>
      </c>
      <c r="H1005" t="s">
        <v>592</v>
      </c>
      <c r="I1005" s="152"/>
    </row>
    <row r="1006" spans="1:9" customFormat="1" ht="14.4" x14ac:dyDescent="0.3">
      <c r="B1006" t="s">
        <v>1786</v>
      </c>
      <c r="C1006" t="s">
        <v>1397</v>
      </c>
      <c r="D1006" t="s">
        <v>126</v>
      </c>
      <c r="E1006" s="45">
        <v>-605</v>
      </c>
      <c r="F1006" t="s">
        <v>39</v>
      </c>
      <c r="G1006" t="s">
        <v>580</v>
      </c>
      <c r="H1006" t="s">
        <v>593</v>
      </c>
      <c r="I1006" s="152"/>
    </row>
    <row r="1007" spans="1:9" customFormat="1" ht="14.4" x14ac:dyDescent="0.3">
      <c r="B1007" t="s">
        <v>1786</v>
      </c>
      <c r="C1007" t="s">
        <v>928</v>
      </c>
      <c r="D1007" t="s">
        <v>126</v>
      </c>
      <c r="E1007" s="45">
        <v>-245</v>
      </c>
      <c r="F1007" t="s">
        <v>39</v>
      </c>
      <c r="G1007" t="s">
        <v>580</v>
      </c>
      <c r="H1007" t="s">
        <v>594</v>
      </c>
      <c r="I1007" s="152"/>
    </row>
    <row r="1008" spans="1:9" customFormat="1" ht="14.4" x14ac:dyDescent="0.3">
      <c r="B1008" t="s">
        <v>1786</v>
      </c>
      <c r="C1008" t="s">
        <v>998</v>
      </c>
      <c r="D1008" t="s">
        <v>126</v>
      </c>
      <c r="E1008" s="45">
        <v>-425</v>
      </c>
      <c r="F1008" t="s">
        <v>39</v>
      </c>
      <c r="G1008" t="s">
        <v>580</v>
      </c>
      <c r="H1008" t="s">
        <v>438</v>
      </c>
      <c r="I1008" s="152"/>
    </row>
    <row r="1009" spans="2:9" customFormat="1" ht="14.4" x14ac:dyDescent="0.3">
      <c r="B1009" t="s">
        <v>1786</v>
      </c>
      <c r="C1009" t="s">
        <v>1615</v>
      </c>
      <c r="D1009" t="s">
        <v>1702</v>
      </c>
      <c r="E1009" s="45">
        <v>12</v>
      </c>
      <c r="F1009" t="s">
        <v>1441</v>
      </c>
      <c r="I1009" s="152"/>
    </row>
    <row r="1010" spans="2:9" customFormat="1" ht="14.4" x14ac:dyDescent="0.3">
      <c r="B1010" t="s">
        <v>1786</v>
      </c>
      <c r="C1010" t="s">
        <v>1615</v>
      </c>
      <c r="D1010" t="s">
        <v>1787</v>
      </c>
      <c r="E1010" s="45">
        <v>44</v>
      </c>
      <c r="F1010" t="s">
        <v>1441</v>
      </c>
      <c r="I1010" s="152"/>
    </row>
    <row r="1011" spans="2:9" customFormat="1" ht="14.4" x14ac:dyDescent="0.3">
      <c r="B1011" t="s">
        <v>1786</v>
      </c>
      <c r="C1011" t="s">
        <v>1615</v>
      </c>
      <c r="D1011" t="s">
        <v>1788</v>
      </c>
      <c r="E1011" s="45">
        <v>50</v>
      </c>
      <c r="F1011" t="s">
        <v>1441</v>
      </c>
      <c r="I1011" s="152"/>
    </row>
    <row r="1012" spans="2:9" customFormat="1" ht="14.4" x14ac:dyDescent="0.3">
      <c r="B1012" t="s">
        <v>1786</v>
      </c>
      <c r="C1012" t="s">
        <v>1615</v>
      </c>
      <c r="D1012" t="s">
        <v>1789</v>
      </c>
      <c r="E1012" s="45">
        <v>15</v>
      </c>
      <c r="F1012" t="s">
        <v>1441</v>
      </c>
      <c r="I1012" s="152"/>
    </row>
    <row r="1013" spans="2:9" customFormat="1" ht="14.4" x14ac:dyDescent="0.3">
      <c r="B1013" t="s">
        <v>1786</v>
      </c>
      <c r="C1013" t="s">
        <v>1615</v>
      </c>
      <c r="D1013" t="s">
        <v>1790</v>
      </c>
      <c r="E1013" s="45">
        <v>26</v>
      </c>
      <c r="F1013" t="s">
        <v>1441</v>
      </c>
      <c r="I1013" s="152"/>
    </row>
    <row r="1014" spans="2:9" customFormat="1" ht="14.4" x14ac:dyDescent="0.3">
      <c r="B1014" t="s">
        <v>1786</v>
      </c>
      <c r="C1014" t="s">
        <v>1615</v>
      </c>
      <c r="D1014" t="s">
        <v>1791</v>
      </c>
      <c r="E1014" s="45">
        <v>25</v>
      </c>
      <c r="F1014" t="s">
        <v>1441</v>
      </c>
      <c r="I1014" s="152"/>
    </row>
    <row r="1015" spans="2:9" customFormat="1" ht="14.4" x14ac:dyDescent="0.3">
      <c r="B1015" t="s">
        <v>1786</v>
      </c>
      <c r="C1015" t="s">
        <v>1615</v>
      </c>
      <c r="D1015" t="s">
        <v>1792</v>
      </c>
      <c r="E1015" s="45">
        <v>15</v>
      </c>
      <c r="F1015" t="s">
        <v>1441</v>
      </c>
      <c r="I1015" s="152"/>
    </row>
    <row r="1016" spans="2:9" customFormat="1" ht="14.4" x14ac:dyDescent="0.3">
      <c r="B1016" t="s">
        <v>1786</v>
      </c>
      <c r="C1016" t="s">
        <v>1615</v>
      </c>
      <c r="D1016" t="s">
        <v>1793</v>
      </c>
      <c r="E1016" s="45">
        <v>30</v>
      </c>
      <c r="F1016" t="s">
        <v>1441</v>
      </c>
      <c r="I1016" s="152"/>
    </row>
    <row r="1017" spans="2:9" customFormat="1" ht="14.4" x14ac:dyDescent="0.3">
      <c r="B1017" t="s">
        <v>1786</v>
      </c>
      <c r="C1017" t="s">
        <v>1615</v>
      </c>
      <c r="D1017" t="s">
        <v>1665</v>
      </c>
      <c r="E1017" s="45">
        <v>10</v>
      </c>
      <c r="F1017" t="s">
        <v>1441</v>
      </c>
      <c r="I1017" s="152"/>
    </row>
    <row r="1018" spans="2:9" customFormat="1" ht="14.4" x14ac:dyDescent="0.3">
      <c r="B1018" t="s">
        <v>1786</v>
      </c>
      <c r="C1018" t="s">
        <v>1615</v>
      </c>
      <c r="D1018" t="s">
        <v>1794</v>
      </c>
      <c r="E1018" s="45">
        <v>15</v>
      </c>
      <c r="F1018" t="s">
        <v>1441</v>
      </c>
      <c r="I1018" s="152"/>
    </row>
    <row r="1019" spans="2:9" customFormat="1" ht="14.4" x14ac:dyDescent="0.3">
      <c r="B1019" t="s">
        <v>1786</v>
      </c>
      <c r="C1019" t="s">
        <v>1615</v>
      </c>
      <c r="D1019" t="s">
        <v>1795</v>
      </c>
      <c r="E1019" s="45">
        <v>31</v>
      </c>
      <c r="F1019" t="s">
        <v>1441</v>
      </c>
      <c r="I1019" s="152"/>
    </row>
    <row r="1020" spans="2:9" customFormat="1" ht="14.4" x14ac:dyDescent="0.3">
      <c r="B1020" t="s">
        <v>1786</v>
      </c>
      <c r="C1020" t="s">
        <v>1615</v>
      </c>
      <c r="D1020" t="s">
        <v>1705</v>
      </c>
      <c r="E1020" s="45">
        <v>30</v>
      </c>
      <c r="F1020" t="s">
        <v>1441</v>
      </c>
      <c r="I1020" s="152"/>
    </row>
    <row r="1021" spans="2:9" customFormat="1" ht="14.4" x14ac:dyDescent="0.3">
      <c r="B1021" t="s">
        <v>1786</v>
      </c>
      <c r="C1021" t="s">
        <v>1615</v>
      </c>
      <c r="D1021" t="s">
        <v>1796</v>
      </c>
      <c r="E1021" s="45">
        <v>45</v>
      </c>
      <c r="F1021" t="s">
        <v>1441</v>
      </c>
      <c r="I1021" s="152"/>
    </row>
    <row r="1022" spans="2:9" customFormat="1" ht="14.4" x14ac:dyDescent="0.3">
      <c r="B1022" t="s">
        <v>1786</v>
      </c>
      <c r="C1022" t="s">
        <v>1615</v>
      </c>
      <c r="D1022" t="s">
        <v>1797</v>
      </c>
      <c r="E1022" s="45">
        <v>30</v>
      </c>
      <c r="F1022" t="s">
        <v>1441</v>
      </c>
      <c r="I1022" s="152"/>
    </row>
    <row r="1023" spans="2:9" customFormat="1" ht="14.4" x14ac:dyDescent="0.3">
      <c r="B1023" t="s">
        <v>1786</v>
      </c>
      <c r="C1023" t="s">
        <v>1615</v>
      </c>
      <c r="D1023" t="s">
        <v>1798</v>
      </c>
      <c r="E1023" s="45">
        <v>25</v>
      </c>
      <c r="F1023" t="s">
        <v>1441</v>
      </c>
      <c r="I1023" s="152"/>
    </row>
    <row r="1024" spans="2:9" customFormat="1" ht="14.4" x14ac:dyDescent="0.3">
      <c r="B1024" t="s">
        <v>1786</v>
      </c>
      <c r="C1024" t="s">
        <v>1615</v>
      </c>
      <c r="D1024" t="s">
        <v>1799</v>
      </c>
      <c r="E1024" s="45">
        <v>20</v>
      </c>
      <c r="F1024" t="s">
        <v>1441</v>
      </c>
      <c r="I1024" s="152"/>
    </row>
    <row r="1025" spans="2:9" customFormat="1" ht="14.4" x14ac:dyDescent="0.3">
      <c r="B1025" t="s">
        <v>1786</v>
      </c>
      <c r="C1025" t="s">
        <v>1615</v>
      </c>
      <c r="D1025" t="s">
        <v>1796</v>
      </c>
      <c r="E1025" s="45">
        <v>15</v>
      </c>
      <c r="F1025" t="s">
        <v>1441</v>
      </c>
      <c r="I1025" s="152"/>
    </row>
    <row r="1026" spans="2:9" customFormat="1" ht="14.4" x14ac:dyDescent="0.3">
      <c r="B1026" t="s">
        <v>1786</v>
      </c>
      <c r="C1026" t="s">
        <v>1615</v>
      </c>
      <c r="D1026" t="s">
        <v>1800</v>
      </c>
      <c r="E1026" s="45">
        <v>130</v>
      </c>
      <c r="F1026" t="s">
        <v>1441</v>
      </c>
      <c r="I1026" s="152"/>
    </row>
    <row r="1027" spans="2:9" customFormat="1" ht="14.4" x14ac:dyDescent="0.3">
      <c r="B1027" t="s">
        <v>1786</v>
      </c>
      <c r="C1027" t="s">
        <v>1615</v>
      </c>
      <c r="D1027" t="s">
        <v>1801</v>
      </c>
      <c r="E1027" s="45">
        <v>70</v>
      </c>
      <c r="F1027" t="s">
        <v>1441</v>
      </c>
      <c r="I1027" s="152"/>
    </row>
    <row r="1028" spans="2:9" customFormat="1" ht="14.4" x14ac:dyDescent="0.3">
      <c r="B1028" t="s">
        <v>1786</v>
      </c>
      <c r="C1028" t="s">
        <v>1615</v>
      </c>
      <c r="D1028" t="s">
        <v>1802</v>
      </c>
      <c r="E1028" s="45">
        <v>50</v>
      </c>
      <c r="F1028" t="s">
        <v>1441</v>
      </c>
      <c r="I1028" s="152"/>
    </row>
    <row r="1029" spans="2:9" customFormat="1" ht="14.4" x14ac:dyDescent="0.3">
      <c r="B1029" t="s">
        <v>1786</v>
      </c>
      <c r="C1029" t="s">
        <v>1615</v>
      </c>
      <c r="D1029" t="s">
        <v>1803</v>
      </c>
      <c r="E1029" s="45">
        <v>30</v>
      </c>
      <c r="F1029" t="s">
        <v>1441</v>
      </c>
      <c r="I1029" s="152"/>
    </row>
    <row r="1030" spans="2:9" customFormat="1" ht="14.4" x14ac:dyDescent="0.3">
      <c r="B1030" t="s">
        <v>1786</v>
      </c>
      <c r="C1030" t="s">
        <v>1615</v>
      </c>
      <c r="D1030" t="s">
        <v>1804</v>
      </c>
      <c r="E1030" s="45">
        <v>40</v>
      </c>
      <c r="F1030" t="s">
        <v>1441</v>
      </c>
      <c r="I1030" s="152"/>
    </row>
    <row r="1031" spans="2:9" customFormat="1" ht="14.4" x14ac:dyDescent="0.3">
      <c r="B1031" t="s">
        <v>1786</v>
      </c>
      <c r="C1031" t="s">
        <v>1615</v>
      </c>
      <c r="D1031" t="s">
        <v>1805</v>
      </c>
      <c r="E1031" s="45">
        <v>92</v>
      </c>
      <c r="F1031" t="s">
        <v>1441</v>
      </c>
      <c r="I1031" s="152"/>
    </row>
    <row r="1032" spans="2:9" customFormat="1" ht="14.4" x14ac:dyDescent="0.3">
      <c r="B1032" t="s">
        <v>1786</v>
      </c>
      <c r="C1032" t="s">
        <v>1615</v>
      </c>
      <c r="D1032" t="s">
        <v>1806</v>
      </c>
      <c r="E1032" s="45">
        <v>21</v>
      </c>
      <c r="F1032" t="s">
        <v>1441</v>
      </c>
      <c r="I1032" s="152"/>
    </row>
    <row r="1033" spans="2:9" customFormat="1" ht="14.4" x14ac:dyDescent="0.3">
      <c r="B1033" t="s">
        <v>1786</v>
      </c>
      <c r="C1033" t="s">
        <v>1615</v>
      </c>
      <c r="D1033" t="s">
        <v>1807</v>
      </c>
      <c r="E1033" s="45">
        <v>20</v>
      </c>
      <c r="F1033" t="s">
        <v>1441</v>
      </c>
      <c r="I1033" s="152"/>
    </row>
    <row r="1034" spans="2:9" customFormat="1" ht="14.4" x14ac:dyDescent="0.3">
      <c r="B1034" t="s">
        <v>1786</v>
      </c>
      <c r="C1034" t="s">
        <v>1615</v>
      </c>
      <c r="D1034" t="s">
        <v>1808</v>
      </c>
      <c r="E1034" s="45">
        <v>60</v>
      </c>
      <c r="F1034" t="s">
        <v>1441</v>
      </c>
      <c r="I1034" s="152"/>
    </row>
    <row r="1035" spans="2:9" customFormat="1" ht="14.4" x14ac:dyDescent="0.3">
      <c r="B1035" t="s">
        <v>1786</v>
      </c>
      <c r="C1035" t="s">
        <v>1615</v>
      </c>
      <c r="D1035" t="s">
        <v>1801</v>
      </c>
      <c r="E1035" s="45">
        <v>45</v>
      </c>
      <c r="F1035" t="s">
        <v>1441</v>
      </c>
      <c r="I1035" s="152"/>
    </row>
    <row r="1036" spans="2:9" customFormat="1" ht="14.4" x14ac:dyDescent="0.3">
      <c r="B1036" t="s">
        <v>1786</v>
      </c>
      <c r="C1036" t="s">
        <v>928</v>
      </c>
      <c r="D1036" t="s">
        <v>126</v>
      </c>
      <c r="E1036" s="45">
        <v>-395</v>
      </c>
      <c r="F1036" t="s">
        <v>39</v>
      </c>
      <c r="G1036" t="s">
        <v>580</v>
      </c>
      <c r="H1036" t="s">
        <v>594</v>
      </c>
      <c r="I1036" s="152"/>
    </row>
    <row r="1037" spans="2:9" customFormat="1" ht="14.4" x14ac:dyDescent="0.3">
      <c r="B1037" t="s">
        <v>1786</v>
      </c>
      <c r="C1037" t="s">
        <v>1615</v>
      </c>
      <c r="D1037" t="s">
        <v>1809</v>
      </c>
      <c r="E1037" s="45">
        <v>77</v>
      </c>
      <c r="F1037" t="s">
        <v>1441</v>
      </c>
      <c r="I1037" s="152"/>
    </row>
    <row r="1038" spans="2:9" customFormat="1" ht="14.4" x14ac:dyDescent="0.3">
      <c r="B1038" t="s">
        <v>1786</v>
      </c>
      <c r="C1038" t="s">
        <v>1615</v>
      </c>
      <c r="D1038" t="s">
        <v>1810</v>
      </c>
      <c r="E1038" s="45">
        <v>15</v>
      </c>
      <c r="F1038" t="s">
        <v>1441</v>
      </c>
      <c r="I1038" s="152"/>
    </row>
    <row r="1039" spans="2:9" customFormat="1" ht="14.4" x14ac:dyDescent="0.3">
      <c r="B1039" t="s">
        <v>1786</v>
      </c>
      <c r="C1039" t="s">
        <v>1615</v>
      </c>
      <c r="D1039" t="s">
        <v>1811</v>
      </c>
      <c r="E1039" s="45">
        <v>30</v>
      </c>
      <c r="F1039" t="s">
        <v>1441</v>
      </c>
      <c r="I1039" s="152"/>
    </row>
    <row r="1040" spans="2:9" customFormat="1" ht="28.8" x14ac:dyDescent="0.3">
      <c r="B1040" t="s">
        <v>1812</v>
      </c>
      <c r="C1040" t="s">
        <v>144</v>
      </c>
      <c r="D1040" t="s">
        <v>145</v>
      </c>
      <c r="E1040" s="45">
        <v>19189</v>
      </c>
      <c r="I1040" s="152" t="s">
        <v>1859</v>
      </c>
    </row>
    <row r="1041" spans="2:9" customFormat="1" ht="14.4" x14ac:dyDescent="0.3">
      <c r="B1041" t="s">
        <v>1813</v>
      </c>
      <c r="C1041" t="s">
        <v>144</v>
      </c>
      <c r="D1041" t="s">
        <v>145</v>
      </c>
      <c r="E1041" s="45">
        <v>36000</v>
      </c>
      <c r="F1041" t="s">
        <v>489</v>
      </c>
      <c r="I1041" s="152" t="s">
        <v>1590</v>
      </c>
    </row>
    <row r="1042" spans="2:9" customFormat="1" ht="14.4" x14ac:dyDescent="0.3">
      <c r="B1042" t="s">
        <v>1813</v>
      </c>
      <c r="C1042" t="s">
        <v>1655</v>
      </c>
      <c r="D1042" t="s">
        <v>101</v>
      </c>
      <c r="E1042" s="45">
        <v>-735</v>
      </c>
      <c r="F1042" t="s">
        <v>46</v>
      </c>
      <c r="G1042" t="s">
        <v>580</v>
      </c>
      <c r="H1042" t="s">
        <v>1757</v>
      </c>
      <c r="I1042" s="152"/>
    </row>
    <row r="1043" spans="2:9" customFormat="1" ht="14.4" x14ac:dyDescent="0.3">
      <c r="B1043" t="s">
        <v>1813</v>
      </c>
      <c r="C1043" t="s">
        <v>838</v>
      </c>
      <c r="D1043" t="s">
        <v>101</v>
      </c>
      <c r="E1043" s="45">
        <v>-404</v>
      </c>
      <c r="F1043" t="s">
        <v>46</v>
      </c>
      <c r="G1043" t="s">
        <v>586</v>
      </c>
      <c r="H1043" t="s">
        <v>586</v>
      </c>
      <c r="I1043" s="152"/>
    </row>
    <row r="1044" spans="2:9" customFormat="1" ht="14.4" x14ac:dyDescent="0.3">
      <c r="B1044" t="s">
        <v>1813</v>
      </c>
      <c r="C1044" t="s">
        <v>962</v>
      </c>
      <c r="D1044" t="s">
        <v>101</v>
      </c>
      <c r="E1044" s="45">
        <v>-1200</v>
      </c>
      <c r="F1044" t="s">
        <v>36</v>
      </c>
      <c r="G1044" t="s">
        <v>580</v>
      </c>
      <c r="H1044" t="s">
        <v>342</v>
      </c>
      <c r="I1044" s="152"/>
    </row>
    <row r="1045" spans="2:9" customFormat="1" ht="14.4" x14ac:dyDescent="0.3">
      <c r="B1045" t="s">
        <v>1814</v>
      </c>
      <c r="C1045" t="s">
        <v>144</v>
      </c>
      <c r="D1045" t="s">
        <v>145</v>
      </c>
      <c r="E1045" s="45">
        <v>758</v>
      </c>
      <c r="F1045" t="s">
        <v>46</v>
      </c>
      <c r="G1045" t="s">
        <v>580</v>
      </c>
      <c r="H1045" t="s">
        <v>1757</v>
      </c>
      <c r="I1045" s="152" t="s">
        <v>1860</v>
      </c>
    </row>
    <row r="1046" spans="2:9" customFormat="1" ht="14.4" x14ac:dyDescent="0.3">
      <c r="B1046" t="s">
        <v>1814</v>
      </c>
      <c r="C1046" t="s">
        <v>493</v>
      </c>
      <c r="D1046" t="s">
        <v>101</v>
      </c>
      <c r="E1046" s="45">
        <v>-2080</v>
      </c>
      <c r="F1046" t="s">
        <v>493</v>
      </c>
      <c r="I1046" s="152" t="s">
        <v>231</v>
      </c>
    </row>
    <row r="1047" spans="2:9" customFormat="1" ht="14.4" x14ac:dyDescent="0.3">
      <c r="B1047" t="s">
        <v>1815</v>
      </c>
      <c r="C1047" t="s">
        <v>144</v>
      </c>
      <c r="D1047" t="s">
        <v>145</v>
      </c>
      <c r="E1047" s="45">
        <v>7800</v>
      </c>
      <c r="F1047" t="s">
        <v>22</v>
      </c>
      <c r="G1047" t="s">
        <v>580</v>
      </c>
      <c r="H1047" t="s">
        <v>1853</v>
      </c>
      <c r="I1047" s="230"/>
    </row>
    <row r="1048" spans="2:9" customFormat="1" ht="14.4" x14ac:dyDescent="0.3">
      <c r="B1048" t="s">
        <v>1815</v>
      </c>
      <c r="C1048" t="s">
        <v>1457</v>
      </c>
      <c r="D1048" t="s">
        <v>101</v>
      </c>
      <c r="E1048" s="45">
        <v>-9486</v>
      </c>
      <c r="F1048" t="s">
        <v>46</v>
      </c>
      <c r="G1048" t="s">
        <v>580</v>
      </c>
      <c r="H1048" t="s">
        <v>1428</v>
      </c>
      <c r="I1048" s="152" t="s">
        <v>1858</v>
      </c>
    </row>
    <row r="1049" spans="2:9" customFormat="1" ht="14.4" x14ac:dyDescent="0.3">
      <c r="B1049" t="s">
        <v>1815</v>
      </c>
      <c r="C1049" t="s">
        <v>838</v>
      </c>
      <c r="D1049" t="s">
        <v>101</v>
      </c>
      <c r="E1049" s="45">
        <v>-111</v>
      </c>
      <c r="F1049" t="s">
        <v>46</v>
      </c>
      <c r="G1049" t="s">
        <v>586</v>
      </c>
      <c r="H1049" t="s">
        <v>586</v>
      </c>
      <c r="I1049" s="152"/>
    </row>
    <row r="1050" spans="2:9" customFormat="1" ht="14.4" x14ac:dyDescent="0.3">
      <c r="B1050" t="s">
        <v>1815</v>
      </c>
      <c r="C1050" t="s">
        <v>154</v>
      </c>
      <c r="D1050" t="s">
        <v>101</v>
      </c>
      <c r="E1050" s="45">
        <v>-4500</v>
      </c>
      <c r="F1050" t="s">
        <v>154</v>
      </c>
      <c r="I1050" s="152" t="s">
        <v>1861</v>
      </c>
    </row>
    <row r="1051" spans="2:9" customFormat="1" ht="14.4" x14ac:dyDescent="0.3">
      <c r="B1051" t="s">
        <v>1815</v>
      </c>
      <c r="C1051" t="s">
        <v>504</v>
      </c>
      <c r="D1051" t="s">
        <v>101</v>
      </c>
      <c r="E1051" s="45">
        <v>-149</v>
      </c>
      <c r="F1051" t="s">
        <v>46</v>
      </c>
      <c r="G1051" t="s">
        <v>580</v>
      </c>
      <c r="H1051" t="s">
        <v>342</v>
      </c>
      <c r="I1051" s="152"/>
    </row>
    <row r="1052" spans="2:9" customFormat="1" ht="14.4" x14ac:dyDescent="0.3">
      <c r="B1052" t="s">
        <v>1815</v>
      </c>
      <c r="C1052" t="s">
        <v>975</v>
      </c>
      <c r="D1052" t="s">
        <v>101</v>
      </c>
      <c r="E1052" s="45">
        <v>-425</v>
      </c>
      <c r="F1052" t="s">
        <v>46</v>
      </c>
      <c r="G1052" t="s">
        <v>107</v>
      </c>
      <c r="I1052" s="152"/>
    </row>
    <row r="1053" spans="2:9" customFormat="1" ht="14.4" x14ac:dyDescent="0.3">
      <c r="B1053" t="s">
        <v>1815</v>
      </c>
      <c r="C1053" t="s">
        <v>1439</v>
      </c>
      <c r="D1053" t="s">
        <v>101</v>
      </c>
      <c r="E1053" s="45">
        <v>-758</v>
      </c>
      <c r="F1053" t="s">
        <v>46</v>
      </c>
      <c r="G1053" t="s">
        <v>580</v>
      </c>
      <c r="H1053" t="s">
        <v>1757</v>
      </c>
      <c r="I1053" s="152"/>
    </row>
    <row r="1054" spans="2:9" customFormat="1" ht="14.4" x14ac:dyDescent="0.3">
      <c r="B1054" t="s">
        <v>1815</v>
      </c>
      <c r="C1054" t="s">
        <v>982</v>
      </c>
      <c r="D1054" t="s">
        <v>101</v>
      </c>
      <c r="E1054" s="45">
        <v>-378</v>
      </c>
      <c r="F1054" t="s">
        <v>46</v>
      </c>
      <c r="G1054" t="s">
        <v>580</v>
      </c>
      <c r="H1054" t="s">
        <v>594</v>
      </c>
      <c r="I1054" s="152"/>
    </row>
    <row r="1055" spans="2:9" customFormat="1" ht="14.4" x14ac:dyDescent="0.3">
      <c r="B1055" t="s">
        <v>1815</v>
      </c>
      <c r="C1055" t="s">
        <v>1615</v>
      </c>
      <c r="D1055" t="s">
        <v>1816</v>
      </c>
      <c r="E1055" s="45">
        <v>17</v>
      </c>
      <c r="F1055" t="s">
        <v>1441</v>
      </c>
      <c r="I1055" s="152"/>
    </row>
    <row r="1056" spans="2:9" customFormat="1" ht="14.4" x14ac:dyDescent="0.3">
      <c r="B1056" t="s">
        <v>1815</v>
      </c>
      <c r="C1056" t="s">
        <v>1615</v>
      </c>
      <c r="D1056" t="s">
        <v>1817</v>
      </c>
      <c r="E1056" s="45">
        <v>22</v>
      </c>
      <c r="F1056" t="s">
        <v>1441</v>
      </c>
      <c r="I1056" s="152"/>
    </row>
    <row r="1057" spans="2:9" customFormat="1" ht="14.4" x14ac:dyDescent="0.3">
      <c r="B1057" t="s">
        <v>1815</v>
      </c>
      <c r="C1057" t="s">
        <v>1615</v>
      </c>
      <c r="D1057" t="s">
        <v>1818</v>
      </c>
      <c r="E1057" s="45">
        <v>15</v>
      </c>
      <c r="F1057" t="s">
        <v>1441</v>
      </c>
      <c r="I1057" s="152"/>
    </row>
    <row r="1058" spans="2:9" customFormat="1" ht="14.4" x14ac:dyDescent="0.3">
      <c r="B1058" t="s">
        <v>1815</v>
      </c>
      <c r="C1058" t="s">
        <v>1615</v>
      </c>
      <c r="D1058" t="s">
        <v>1819</v>
      </c>
      <c r="E1058" s="45">
        <v>17</v>
      </c>
      <c r="F1058" t="s">
        <v>1441</v>
      </c>
      <c r="I1058" s="152"/>
    </row>
    <row r="1059" spans="2:9" customFormat="1" ht="14.4" x14ac:dyDescent="0.3">
      <c r="B1059" t="s">
        <v>1815</v>
      </c>
      <c r="C1059" t="s">
        <v>1615</v>
      </c>
      <c r="D1059" t="s">
        <v>1816</v>
      </c>
      <c r="E1059" s="45">
        <v>20</v>
      </c>
      <c r="F1059" t="s">
        <v>1441</v>
      </c>
      <c r="I1059" s="152"/>
    </row>
    <row r="1060" spans="2:9" customFormat="1" ht="14.4" x14ac:dyDescent="0.3">
      <c r="B1060" t="s">
        <v>1815</v>
      </c>
      <c r="C1060" t="s">
        <v>1615</v>
      </c>
      <c r="D1060" t="s">
        <v>1669</v>
      </c>
      <c r="E1060" s="45">
        <v>20</v>
      </c>
      <c r="F1060" t="s">
        <v>1441</v>
      </c>
      <c r="I1060" s="152"/>
    </row>
    <row r="1061" spans="2:9" customFormat="1" ht="14.4" x14ac:dyDescent="0.3">
      <c r="B1061" t="s">
        <v>1815</v>
      </c>
      <c r="C1061" t="s">
        <v>1615</v>
      </c>
      <c r="D1061" t="s">
        <v>1820</v>
      </c>
      <c r="E1061" s="45">
        <v>32</v>
      </c>
      <c r="F1061" t="s">
        <v>1441</v>
      </c>
      <c r="I1061" s="152"/>
    </row>
    <row r="1062" spans="2:9" customFormat="1" ht="14.4" x14ac:dyDescent="0.3">
      <c r="B1062" t="s">
        <v>1815</v>
      </c>
      <c r="C1062" t="s">
        <v>1615</v>
      </c>
      <c r="D1062" t="s">
        <v>1821</v>
      </c>
      <c r="E1062" s="45">
        <v>20</v>
      </c>
      <c r="F1062" t="s">
        <v>1441</v>
      </c>
      <c r="I1062" s="152"/>
    </row>
    <row r="1063" spans="2:9" customFormat="1" ht="14.4" x14ac:dyDescent="0.3">
      <c r="B1063" t="s">
        <v>1815</v>
      </c>
      <c r="C1063" t="s">
        <v>1615</v>
      </c>
      <c r="D1063" t="s">
        <v>1822</v>
      </c>
      <c r="E1063" s="45">
        <v>30</v>
      </c>
      <c r="F1063" t="s">
        <v>1441</v>
      </c>
      <c r="I1063" s="152"/>
    </row>
    <row r="1064" spans="2:9" customFormat="1" ht="14.4" x14ac:dyDescent="0.3">
      <c r="B1064" t="s">
        <v>1815</v>
      </c>
      <c r="C1064" t="s">
        <v>1615</v>
      </c>
      <c r="D1064" t="s">
        <v>1823</v>
      </c>
      <c r="E1064" s="45">
        <v>74</v>
      </c>
      <c r="F1064" t="s">
        <v>1441</v>
      </c>
      <c r="I1064" s="152"/>
    </row>
    <row r="1065" spans="2:9" customFormat="1" ht="14.4" x14ac:dyDescent="0.3">
      <c r="B1065" t="s">
        <v>1815</v>
      </c>
      <c r="C1065" t="s">
        <v>1615</v>
      </c>
      <c r="D1065" t="s">
        <v>1816</v>
      </c>
      <c r="E1065" s="45">
        <v>15</v>
      </c>
      <c r="F1065" t="s">
        <v>1441</v>
      </c>
      <c r="I1065" s="152"/>
    </row>
    <row r="1066" spans="2:9" customFormat="1" ht="14.4" x14ac:dyDescent="0.3">
      <c r="B1066" t="s">
        <v>1815</v>
      </c>
      <c r="C1066" t="s">
        <v>1615</v>
      </c>
      <c r="D1066" t="s">
        <v>1818</v>
      </c>
      <c r="E1066" s="45">
        <v>10</v>
      </c>
      <c r="F1066" t="s">
        <v>1441</v>
      </c>
      <c r="I1066" s="152"/>
    </row>
    <row r="1067" spans="2:9" customFormat="1" ht="14.4" x14ac:dyDescent="0.3">
      <c r="B1067" t="s">
        <v>1815</v>
      </c>
      <c r="C1067" t="s">
        <v>1615</v>
      </c>
      <c r="D1067" t="s">
        <v>1816</v>
      </c>
      <c r="E1067" s="45">
        <v>37</v>
      </c>
      <c r="F1067" t="s">
        <v>1441</v>
      </c>
      <c r="I1067" s="152"/>
    </row>
    <row r="1068" spans="2:9" customFormat="1" ht="14.4" x14ac:dyDescent="0.3">
      <c r="B1068" t="s">
        <v>1815</v>
      </c>
      <c r="C1068" t="s">
        <v>1615</v>
      </c>
      <c r="D1068" t="s">
        <v>1811</v>
      </c>
      <c r="E1068" s="45">
        <v>50</v>
      </c>
      <c r="F1068" t="s">
        <v>1441</v>
      </c>
      <c r="I1068" s="152"/>
    </row>
    <row r="1069" spans="2:9" customFormat="1" ht="14.4" x14ac:dyDescent="0.3">
      <c r="B1069" t="s">
        <v>1815</v>
      </c>
      <c r="C1069" t="s">
        <v>1615</v>
      </c>
      <c r="D1069" t="s">
        <v>1824</v>
      </c>
      <c r="E1069" s="45">
        <v>65</v>
      </c>
      <c r="F1069" t="s">
        <v>1441</v>
      </c>
      <c r="I1069" s="152"/>
    </row>
    <row r="1070" spans="2:9" customFormat="1" ht="14.4" x14ac:dyDescent="0.3">
      <c r="B1070" t="s">
        <v>1815</v>
      </c>
      <c r="C1070" t="s">
        <v>1615</v>
      </c>
      <c r="D1070" t="s">
        <v>1825</v>
      </c>
      <c r="E1070" s="45">
        <v>37</v>
      </c>
      <c r="F1070" t="s">
        <v>1441</v>
      </c>
      <c r="I1070" s="152"/>
    </row>
    <row r="1071" spans="2:9" customFormat="1" ht="14.4" x14ac:dyDescent="0.3">
      <c r="B1071" t="s">
        <v>1815</v>
      </c>
      <c r="C1071" t="s">
        <v>1615</v>
      </c>
      <c r="D1071" t="s">
        <v>1826</v>
      </c>
      <c r="E1071" s="45">
        <v>25</v>
      </c>
      <c r="F1071" t="s">
        <v>1441</v>
      </c>
      <c r="I1071" s="152"/>
    </row>
    <row r="1072" spans="2:9" customFormat="1" ht="14.4" x14ac:dyDescent="0.3">
      <c r="B1072" t="s">
        <v>1815</v>
      </c>
      <c r="C1072" t="s">
        <v>1615</v>
      </c>
      <c r="D1072" t="s">
        <v>1827</v>
      </c>
      <c r="E1072" s="45">
        <v>10</v>
      </c>
      <c r="F1072" t="s">
        <v>1441</v>
      </c>
      <c r="I1072" s="152"/>
    </row>
    <row r="1073" spans="2:9" customFormat="1" ht="14.4" x14ac:dyDescent="0.3">
      <c r="B1073" t="s">
        <v>1828</v>
      </c>
      <c r="C1073" t="s">
        <v>144</v>
      </c>
      <c r="D1073" t="s">
        <v>145</v>
      </c>
      <c r="E1073" s="45">
        <v>9486</v>
      </c>
      <c r="F1073" t="s">
        <v>46</v>
      </c>
      <c r="G1073" t="s">
        <v>580</v>
      </c>
      <c r="H1073" t="s">
        <v>1428</v>
      </c>
      <c r="I1073" s="152"/>
    </row>
    <row r="1074" spans="2:9" customFormat="1" ht="14.4" x14ac:dyDescent="0.3">
      <c r="B1074" t="s">
        <v>1828</v>
      </c>
      <c r="C1074" t="s">
        <v>508</v>
      </c>
      <c r="D1074" t="s">
        <v>101</v>
      </c>
      <c r="E1074" s="45">
        <v>-349</v>
      </c>
      <c r="F1074" t="s">
        <v>508</v>
      </c>
      <c r="I1074" s="152"/>
    </row>
    <row r="1075" spans="2:9" customFormat="1" ht="14.4" x14ac:dyDescent="0.3">
      <c r="B1075" t="s">
        <v>1829</v>
      </c>
      <c r="C1075" t="s">
        <v>838</v>
      </c>
      <c r="D1075" t="s">
        <v>101</v>
      </c>
      <c r="E1075" s="45">
        <v>-949</v>
      </c>
      <c r="F1075" t="s">
        <v>46</v>
      </c>
      <c r="G1075" t="s">
        <v>586</v>
      </c>
      <c r="H1075" t="s">
        <v>586</v>
      </c>
      <c r="I1075" s="152"/>
    </row>
    <row r="1076" spans="2:9" customFormat="1" ht="14.4" x14ac:dyDescent="0.3">
      <c r="B1076" t="s">
        <v>1829</v>
      </c>
      <c r="C1076" t="s">
        <v>1128</v>
      </c>
      <c r="D1076" t="s">
        <v>101</v>
      </c>
      <c r="E1076" s="45">
        <v>-21723</v>
      </c>
      <c r="F1076" t="s">
        <v>46</v>
      </c>
      <c r="G1076" t="s">
        <v>580</v>
      </c>
      <c r="H1076" t="s">
        <v>438</v>
      </c>
      <c r="I1076" s="152"/>
    </row>
    <row r="1077" spans="2:9" customFormat="1" ht="14.4" x14ac:dyDescent="0.3">
      <c r="B1077" t="s">
        <v>1829</v>
      </c>
      <c r="C1077" t="s">
        <v>1830</v>
      </c>
      <c r="D1077" t="s">
        <v>101</v>
      </c>
      <c r="E1077" s="45">
        <v>-300</v>
      </c>
      <c r="F1077" t="s">
        <v>36</v>
      </c>
      <c r="G1077" t="s">
        <v>580</v>
      </c>
      <c r="H1077" t="s">
        <v>1853</v>
      </c>
      <c r="I1077" s="152"/>
    </row>
    <row r="1078" spans="2:9" customFormat="1" ht="14.4" x14ac:dyDescent="0.3">
      <c r="B1078" t="s">
        <v>1829</v>
      </c>
      <c r="C1078" t="s">
        <v>998</v>
      </c>
      <c r="D1078" t="s">
        <v>126</v>
      </c>
      <c r="E1078" s="45">
        <v>-635</v>
      </c>
      <c r="F1078" t="s">
        <v>39</v>
      </c>
      <c r="G1078" t="s">
        <v>580</v>
      </c>
      <c r="H1078" t="s">
        <v>438</v>
      </c>
      <c r="I1078" s="152"/>
    </row>
    <row r="1079" spans="2:9" customFormat="1" ht="14.4" x14ac:dyDescent="0.3">
      <c r="B1079" t="s">
        <v>1829</v>
      </c>
      <c r="C1079" t="s">
        <v>978</v>
      </c>
      <c r="D1079" t="s">
        <v>101</v>
      </c>
      <c r="E1079" s="45">
        <v>-4700</v>
      </c>
      <c r="F1079" t="s">
        <v>978</v>
      </c>
      <c r="I1079" s="152" t="s">
        <v>1862</v>
      </c>
    </row>
    <row r="1080" spans="2:9" customFormat="1" ht="14.4" x14ac:dyDescent="0.3">
      <c r="B1080" t="s">
        <v>1829</v>
      </c>
      <c r="C1080" t="s">
        <v>1416</v>
      </c>
      <c r="D1080" t="s">
        <v>101</v>
      </c>
      <c r="E1080" s="45">
        <v>-638</v>
      </c>
      <c r="F1080" t="s">
        <v>46</v>
      </c>
      <c r="G1080" t="s">
        <v>580</v>
      </c>
      <c r="H1080" t="s">
        <v>582</v>
      </c>
      <c r="I1080" s="152"/>
    </row>
    <row r="1081" spans="2:9" customFormat="1" ht="28.8" x14ac:dyDescent="0.3">
      <c r="B1081" t="s">
        <v>1831</v>
      </c>
      <c r="C1081" t="s">
        <v>144</v>
      </c>
      <c r="D1081" t="s">
        <v>145</v>
      </c>
      <c r="E1081" s="45">
        <v>22672</v>
      </c>
      <c r="F1081" t="s">
        <v>46</v>
      </c>
      <c r="I1081" s="152" t="s">
        <v>1857</v>
      </c>
    </row>
    <row r="1082" spans="2:9" customFormat="1" ht="14.4" x14ac:dyDescent="0.3">
      <c r="B1082" t="s">
        <v>1831</v>
      </c>
      <c r="C1082" t="s">
        <v>1615</v>
      </c>
      <c r="D1082" t="s">
        <v>1703</v>
      </c>
      <c r="E1082" s="45">
        <v>15</v>
      </c>
      <c r="F1082" t="s">
        <v>1441</v>
      </c>
      <c r="I1082" s="152"/>
    </row>
    <row r="1083" spans="2:9" customFormat="1" ht="14.4" x14ac:dyDescent="0.3">
      <c r="B1083" t="s">
        <v>1831</v>
      </c>
      <c r="C1083" t="s">
        <v>1615</v>
      </c>
      <c r="D1083" t="s">
        <v>1661</v>
      </c>
      <c r="E1083" s="45">
        <v>10</v>
      </c>
      <c r="F1083" t="s">
        <v>1441</v>
      </c>
      <c r="I1083" s="152"/>
    </row>
    <row r="1084" spans="2:9" customFormat="1" ht="14.4" x14ac:dyDescent="0.3">
      <c r="B1084" t="s">
        <v>1831</v>
      </c>
      <c r="C1084" t="s">
        <v>1615</v>
      </c>
      <c r="D1084" t="s">
        <v>1661</v>
      </c>
      <c r="E1084" s="45">
        <v>25</v>
      </c>
      <c r="F1084" t="s">
        <v>1441</v>
      </c>
      <c r="I1084" s="152"/>
    </row>
    <row r="1085" spans="2:9" customFormat="1" ht="14.4" x14ac:dyDescent="0.3">
      <c r="B1085" t="s">
        <v>1831</v>
      </c>
      <c r="C1085" t="s">
        <v>1457</v>
      </c>
      <c r="D1085" t="s">
        <v>101</v>
      </c>
      <c r="E1085" s="45">
        <v>-758</v>
      </c>
      <c r="F1085" t="s">
        <v>46</v>
      </c>
      <c r="G1085" t="s">
        <v>580</v>
      </c>
      <c r="H1085" t="s">
        <v>1428</v>
      </c>
      <c r="I1085" s="152"/>
    </row>
    <row r="1086" spans="2:9" customFormat="1" ht="14.4" x14ac:dyDescent="0.3">
      <c r="B1086" t="s">
        <v>1832</v>
      </c>
      <c r="C1086" t="s">
        <v>934</v>
      </c>
      <c r="D1086" t="s">
        <v>101</v>
      </c>
      <c r="E1086" s="45">
        <v>-1400</v>
      </c>
      <c r="F1086" t="s">
        <v>36</v>
      </c>
      <c r="G1086" t="s">
        <v>580</v>
      </c>
      <c r="H1086" t="s">
        <v>582</v>
      </c>
      <c r="I1086" s="152"/>
    </row>
    <row r="1087" spans="2:9" customFormat="1" ht="14.4" x14ac:dyDescent="0.3">
      <c r="B1087" t="s">
        <v>1832</v>
      </c>
      <c r="C1087" t="s">
        <v>995</v>
      </c>
      <c r="D1087" t="s">
        <v>126</v>
      </c>
      <c r="E1087" s="45">
        <v>-850</v>
      </c>
      <c r="F1087" t="s">
        <v>39</v>
      </c>
      <c r="G1087" t="s">
        <v>586</v>
      </c>
      <c r="H1087" t="s">
        <v>586</v>
      </c>
      <c r="I1087" s="152"/>
    </row>
    <row r="1088" spans="2:9" customFormat="1" ht="14.4" x14ac:dyDescent="0.3">
      <c r="B1088" t="s">
        <v>1833</v>
      </c>
      <c r="C1088" t="s">
        <v>144</v>
      </c>
      <c r="D1088" t="s">
        <v>145</v>
      </c>
      <c r="E1088" s="45">
        <v>24230</v>
      </c>
      <c r="F1088" t="s">
        <v>489</v>
      </c>
      <c r="I1088" s="152" t="s">
        <v>937</v>
      </c>
    </row>
    <row r="1089" spans="2:9" customFormat="1" ht="14.4" x14ac:dyDescent="0.3">
      <c r="B1089" t="s">
        <v>1833</v>
      </c>
      <c r="C1089" t="s">
        <v>508</v>
      </c>
      <c r="D1089" t="s">
        <v>101</v>
      </c>
      <c r="E1089" s="45">
        <v>-4021</v>
      </c>
      <c r="F1089" t="s">
        <v>508</v>
      </c>
      <c r="I1089" s="152"/>
    </row>
    <row r="1090" spans="2:9" customFormat="1" ht="14.4" x14ac:dyDescent="0.3">
      <c r="B1090" t="s">
        <v>1833</v>
      </c>
      <c r="C1090" t="s">
        <v>984</v>
      </c>
      <c r="D1090" t="s">
        <v>126</v>
      </c>
      <c r="E1090" s="45">
        <v>-760</v>
      </c>
      <c r="F1090" t="s">
        <v>39</v>
      </c>
      <c r="G1090" t="s">
        <v>1002</v>
      </c>
      <c r="H1090" t="s">
        <v>1002</v>
      </c>
      <c r="I1090" s="152"/>
    </row>
    <row r="1091" spans="2:9" customFormat="1" ht="14.4" x14ac:dyDescent="0.3">
      <c r="B1091" t="s">
        <v>1833</v>
      </c>
      <c r="C1091" t="s">
        <v>1397</v>
      </c>
      <c r="D1091" t="s">
        <v>126</v>
      </c>
      <c r="E1091" s="45">
        <v>-245</v>
      </c>
      <c r="F1091" t="s">
        <v>39</v>
      </c>
      <c r="G1091" t="s">
        <v>580</v>
      </c>
      <c r="H1091" t="s">
        <v>593</v>
      </c>
      <c r="I1091" s="152"/>
    </row>
    <row r="1092" spans="2:9" customFormat="1" ht="14.4" x14ac:dyDescent="0.3">
      <c r="B1092" t="s">
        <v>1833</v>
      </c>
      <c r="C1092" t="s">
        <v>998</v>
      </c>
      <c r="D1092" t="s">
        <v>126</v>
      </c>
      <c r="E1092" s="45">
        <v>-435</v>
      </c>
      <c r="F1092" t="s">
        <v>39</v>
      </c>
      <c r="G1092" t="s">
        <v>580</v>
      </c>
      <c r="H1092" t="s">
        <v>438</v>
      </c>
      <c r="I1092" s="152"/>
    </row>
    <row r="1093" spans="2:9" customFormat="1" ht="14.4" x14ac:dyDescent="0.3">
      <c r="B1093" t="s">
        <v>1833</v>
      </c>
      <c r="C1093" t="s">
        <v>942</v>
      </c>
      <c r="D1093" t="s">
        <v>126</v>
      </c>
      <c r="E1093" s="45">
        <v>-245</v>
      </c>
      <c r="F1093" t="s">
        <v>39</v>
      </c>
      <c r="G1093" t="s">
        <v>580</v>
      </c>
      <c r="H1093" t="s">
        <v>592</v>
      </c>
      <c r="I1093" s="152"/>
    </row>
    <row r="1094" spans="2:9" customFormat="1" ht="14.4" x14ac:dyDescent="0.3">
      <c r="B1094" t="s">
        <v>1833</v>
      </c>
      <c r="C1094" t="s">
        <v>942</v>
      </c>
      <c r="D1094" t="s">
        <v>126</v>
      </c>
      <c r="E1094" s="45">
        <v>-395</v>
      </c>
      <c r="F1094" t="s">
        <v>39</v>
      </c>
      <c r="G1094" t="s">
        <v>580</v>
      </c>
      <c r="H1094" t="s">
        <v>592</v>
      </c>
      <c r="I1094" s="152"/>
    </row>
    <row r="1095" spans="2:9" customFormat="1" ht="14.4" x14ac:dyDescent="0.3">
      <c r="B1095" t="s">
        <v>1833</v>
      </c>
      <c r="C1095" t="s">
        <v>996</v>
      </c>
      <c r="D1095" t="s">
        <v>126</v>
      </c>
      <c r="E1095" s="45">
        <v>-395</v>
      </c>
      <c r="F1095" t="s">
        <v>39</v>
      </c>
      <c r="G1095" t="s">
        <v>580</v>
      </c>
      <c r="H1095" t="s">
        <v>582</v>
      </c>
      <c r="I1095" s="152"/>
    </row>
    <row r="1096" spans="2:9" customFormat="1" ht="14.4" x14ac:dyDescent="0.3">
      <c r="B1096" t="s">
        <v>1833</v>
      </c>
      <c r="C1096" t="s">
        <v>942</v>
      </c>
      <c r="D1096" t="s">
        <v>126</v>
      </c>
      <c r="E1096" s="45">
        <v>-395</v>
      </c>
      <c r="F1096" t="s">
        <v>39</v>
      </c>
      <c r="G1096" t="s">
        <v>580</v>
      </c>
      <c r="H1096" t="s">
        <v>592</v>
      </c>
      <c r="I1096" s="152"/>
    </row>
    <row r="1097" spans="2:9" customFormat="1" ht="14.4" x14ac:dyDescent="0.3">
      <c r="B1097" t="s">
        <v>1833</v>
      </c>
      <c r="C1097" t="s">
        <v>1615</v>
      </c>
      <c r="D1097" t="s">
        <v>1834</v>
      </c>
      <c r="E1097" s="45">
        <v>300</v>
      </c>
      <c r="F1097" t="s">
        <v>1441</v>
      </c>
      <c r="I1097" s="152"/>
    </row>
    <row r="1098" spans="2:9" customFormat="1" ht="14.4" x14ac:dyDescent="0.3">
      <c r="B1098" t="s">
        <v>1833</v>
      </c>
      <c r="C1098" t="s">
        <v>1615</v>
      </c>
      <c r="D1098" t="s">
        <v>1835</v>
      </c>
      <c r="E1098" s="45">
        <v>17</v>
      </c>
      <c r="F1098" t="s">
        <v>1441</v>
      </c>
      <c r="I1098" s="152"/>
    </row>
    <row r="1099" spans="2:9" customFormat="1" ht="14.4" x14ac:dyDescent="0.3">
      <c r="B1099" t="s">
        <v>1833</v>
      </c>
      <c r="C1099" t="s">
        <v>1615</v>
      </c>
      <c r="D1099" t="s">
        <v>1836</v>
      </c>
      <c r="E1099" s="45">
        <v>47</v>
      </c>
      <c r="F1099" t="s">
        <v>1441</v>
      </c>
      <c r="I1099" s="152"/>
    </row>
    <row r="1100" spans="2:9" customFormat="1" ht="14.4" x14ac:dyDescent="0.3">
      <c r="B1100" t="s">
        <v>1833</v>
      </c>
      <c r="C1100" t="s">
        <v>1615</v>
      </c>
      <c r="D1100" t="s">
        <v>1837</v>
      </c>
      <c r="E1100" s="45">
        <v>45</v>
      </c>
      <c r="F1100" t="s">
        <v>1441</v>
      </c>
      <c r="I1100" s="152"/>
    </row>
    <row r="1101" spans="2:9" customFormat="1" ht="14.4" x14ac:dyDescent="0.3">
      <c r="B1101" t="s">
        <v>1833</v>
      </c>
      <c r="C1101" t="s">
        <v>1615</v>
      </c>
      <c r="D1101" t="s">
        <v>1726</v>
      </c>
      <c r="E1101" s="45">
        <v>80</v>
      </c>
      <c r="F1101" t="s">
        <v>1441</v>
      </c>
      <c r="I1101" s="152"/>
    </row>
    <row r="1102" spans="2:9" customFormat="1" ht="14.4" x14ac:dyDescent="0.3">
      <c r="B1102" t="s">
        <v>1833</v>
      </c>
      <c r="C1102" t="s">
        <v>1615</v>
      </c>
      <c r="D1102" t="s">
        <v>1838</v>
      </c>
      <c r="E1102" s="45">
        <v>40</v>
      </c>
      <c r="F1102" t="s">
        <v>1441</v>
      </c>
      <c r="I1102" s="152"/>
    </row>
    <row r="1103" spans="2:9" customFormat="1" ht="14.4" x14ac:dyDescent="0.3">
      <c r="B1103" t="s">
        <v>1833</v>
      </c>
      <c r="C1103" t="s">
        <v>1615</v>
      </c>
      <c r="D1103" t="s">
        <v>1726</v>
      </c>
      <c r="E1103" s="45">
        <v>30</v>
      </c>
      <c r="F1103" t="s">
        <v>1441</v>
      </c>
      <c r="I1103" s="152"/>
    </row>
    <row r="1104" spans="2:9" customFormat="1" ht="14.4" x14ac:dyDescent="0.3">
      <c r="B1104" t="s">
        <v>1833</v>
      </c>
      <c r="C1104" t="s">
        <v>1615</v>
      </c>
      <c r="D1104" t="s">
        <v>1839</v>
      </c>
      <c r="E1104" s="45">
        <v>10</v>
      </c>
      <c r="F1104" t="s">
        <v>1441</v>
      </c>
      <c r="I1104" s="152"/>
    </row>
    <row r="1105" spans="2:9" customFormat="1" ht="14.4" x14ac:dyDescent="0.3">
      <c r="B1105" t="s">
        <v>1840</v>
      </c>
      <c r="C1105" t="s">
        <v>996</v>
      </c>
      <c r="D1105" t="s">
        <v>126</v>
      </c>
      <c r="E1105" s="45">
        <v>-545</v>
      </c>
      <c r="F1105" t="s">
        <v>39</v>
      </c>
      <c r="G1105" t="s">
        <v>580</v>
      </c>
      <c r="H1105" t="s">
        <v>582</v>
      </c>
      <c r="I1105" s="152"/>
    </row>
    <row r="1106" spans="2:9" customFormat="1" ht="14.4" x14ac:dyDescent="0.3">
      <c r="B1106" t="s">
        <v>1840</v>
      </c>
      <c r="C1106" t="s">
        <v>1615</v>
      </c>
      <c r="D1106" t="s">
        <v>1653</v>
      </c>
      <c r="E1106" s="45">
        <v>10</v>
      </c>
      <c r="F1106" t="s">
        <v>1441</v>
      </c>
      <c r="I1106" s="152"/>
    </row>
    <row r="1107" spans="2:9" customFormat="1" ht="14.4" x14ac:dyDescent="0.3">
      <c r="B1107" t="s">
        <v>1840</v>
      </c>
      <c r="C1107" t="s">
        <v>1404</v>
      </c>
      <c r="D1107" t="s">
        <v>101</v>
      </c>
      <c r="E1107" s="45">
        <v>-29</v>
      </c>
      <c r="F1107" t="s">
        <v>46</v>
      </c>
      <c r="G1107" t="s">
        <v>586</v>
      </c>
      <c r="H1107" t="s">
        <v>586</v>
      </c>
      <c r="I1107" s="152"/>
    </row>
    <row r="1108" spans="2:9" customFormat="1" ht="14.4" x14ac:dyDescent="0.3">
      <c r="B1108" t="s">
        <v>1840</v>
      </c>
      <c r="C1108" t="s">
        <v>975</v>
      </c>
      <c r="D1108" t="s">
        <v>101</v>
      </c>
      <c r="E1108" s="45">
        <v>-5000</v>
      </c>
      <c r="F1108" t="s">
        <v>46</v>
      </c>
      <c r="G1108" t="s">
        <v>107</v>
      </c>
      <c r="I1108" s="152"/>
    </row>
    <row r="1109" spans="2:9" customFormat="1" ht="28.8" x14ac:dyDescent="0.3">
      <c r="B1109" t="s">
        <v>1841</v>
      </c>
      <c r="C1109" t="s">
        <v>144</v>
      </c>
      <c r="D1109" t="s">
        <v>145</v>
      </c>
      <c r="E1109" s="45">
        <v>13200</v>
      </c>
      <c r="F1109" t="s">
        <v>22</v>
      </c>
      <c r="I1109" s="152" t="s">
        <v>1856</v>
      </c>
    </row>
    <row r="1110" spans="2:9" customFormat="1" ht="14.4" x14ac:dyDescent="0.3">
      <c r="B1110" t="s">
        <v>1841</v>
      </c>
      <c r="C1110" t="s">
        <v>493</v>
      </c>
      <c r="D1110" t="s">
        <v>101</v>
      </c>
      <c r="E1110" s="45">
        <v>-608</v>
      </c>
      <c r="F1110" t="s">
        <v>493</v>
      </c>
      <c r="I1110" s="152" t="s">
        <v>231</v>
      </c>
    </row>
    <row r="1111" spans="2:9" customFormat="1" ht="28.8" x14ac:dyDescent="0.3">
      <c r="B1111" t="s">
        <v>1842</v>
      </c>
      <c r="C1111" t="s">
        <v>144</v>
      </c>
      <c r="D1111" t="s">
        <v>145</v>
      </c>
      <c r="E1111" s="45">
        <v>3456</v>
      </c>
      <c r="F1111" t="s">
        <v>22</v>
      </c>
      <c r="I1111" s="152" t="s">
        <v>1855</v>
      </c>
    </row>
    <row r="1112" spans="2:9" customFormat="1" ht="14.4" x14ac:dyDescent="0.3">
      <c r="B1112" t="s">
        <v>1843</v>
      </c>
      <c r="C1112" t="s">
        <v>144</v>
      </c>
      <c r="D1112" t="s">
        <v>145</v>
      </c>
      <c r="E1112" s="45">
        <v>10200</v>
      </c>
      <c r="F1112" t="s">
        <v>22</v>
      </c>
      <c r="G1112" t="s">
        <v>586</v>
      </c>
      <c r="H1112" t="s">
        <v>586</v>
      </c>
      <c r="I1112" s="152"/>
    </row>
    <row r="1113" spans="2:9" customFormat="1" ht="14.4" x14ac:dyDescent="0.3">
      <c r="B1113" t="s">
        <v>1843</v>
      </c>
      <c r="C1113" t="s">
        <v>942</v>
      </c>
      <c r="D1113" t="s">
        <v>126</v>
      </c>
      <c r="E1113" s="45">
        <v>-550</v>
      </c>
      <c r="F1113" t="s">
        <v>39</v>
      </c>
      <c r="G1113" t="s">
        <v>580</v>
      </c>
      <c r="H1113" t="s">
        <v>592</v>
      </c>
      <c r="I1113" s="152"/>
    </row>
    <row r="1114" spans="2:9" customFormat="1" ht="14.4" x14ac:dyDescent="0.3">
      <c r="B1114" t="s">
        <v>1843</v>
      </c>
      <c r="C1114" t="s">
        <v>1397</v>
      </c>
      <c r="D1114" t="s">
        <v>126</v>
      </c>
      <c r="E1114" s="45">
        <v>-395</v>
      </c>
      <c r="F1114" t="s">
        <v>39</v>
      </c>
      <c r="G1114" t="s">
        <v>580</v>
      </c>
      <c r="H1114" t="s">
        <v>593</v>
      </c>
      <c r="I1114" s="152"/>
    </row>
    <row r="1115" spans="2:9" customFormat="1" ht="14.4" x14ac:dyDescent="0.3">
      <c r="B1115" t="s">
        <v>1843</v>
      </c>
      <c r="C1115" t="s">
        <v>995</v>
      </c>
      <c r="D1115" t="s">
        <v>126</v>
      </c>
      <c r="E1115" s="45">
        <v>-808</v>
      </c>
      <c r="F1115" t="s">
        <v>39</v>
      </c>
      <c r="G1115" t="s">
        <v>586</v>
      </c>
      <c r="H1115" t="s">
        <v>586</v>
      </c>
      <c r="I1115" s="152"/>
    </row>
    <row r="1116" spans="2:9" customFormat="1" ht="14.4" x14ac:dyDescent="0.3">
      <c r="B1116" t="s">
        <v>1843</v>
      </c>
      <c r="C1116" t="s">
        <v>1397</v>
      </c>
      <c r="D1116" t="s">
        <v>126</v>
      </c>
      <c r="E1116" s="45">
        <v>-790</v>
      </c>
      <c r="F1116" t="s">
        <v>39</v>
      </c>
      <c r="G1116" t="s">
        <v>580</v>
      </c>
      <c r="H1116" t="s">
        <v>593</v>
      </c>
      <c r="I1116" s="152"/>
    </row>
    <row r="1117" spans="2:9" customFormat="1" ht="14.4" x14ac:dyDescent="0.3">
      <c r="B1117" t="s">
        <v>1843</v>
      </c>
      <c r="C1117" t="s">
        <v>508</v>
      </c>
      <c r="D1117" t="s">
        <v>101</v>
      </c>
      <c r="E1117" s="45">
        <v>-2444</v>
      </c>
      <c r="F1117" t="s">
        <v>508</v>
      </c>
      <c r="I1117" s="152"/>
    </row>
    <row r="1118" spans="2:9" customFormat="1" ht="14.4" x14ac:dyDescent="0.3">
      <c r="B1118" t="s">
        <v>1843</v>
      </c>
      <c r="C1118" t="s">
        <v>996</v>
      </c>
      <c r="D1118" t="s">
        <v>126</v>
      </c>
      <c r="E1118" s="45">
        <v>-635</v>
      </c>
      <c r="F1118" t="s">
        <v>39</v>
      </c>
      <c r="G1118" t="s">
        <v>580</v>
      </c>
      <c r="H1118" t="s">
        <v>582</v>
      </c>
      <c r="I1118" s="152"/>
    </row>
    <row r="1119" spans="2:9" customFormat="1" ht="14.4" x14ac:dyDescent="0.3">
      <c r="B1119" t="s">
        <v>1843</v>
      </c>
      <c r="C1119" t="s">
        <v>1615</v>
      </c>
      <c r="D1119" t="s">
        <v>1669</v>
      </c>
      <c r="E1119" s="45">
        <v>25</v>
      </c>
      <c r="F1119" t="s">
        <v>1441</v>
      </c>
      <c r="I1119" s="152"/>
    </row>
    <row r="1120" spans="2:9" customFormat="1" ht="14.4" x14ac:dyDescent="0.3">
      <c r="B1120" t="s">
        <v>1843</v>
      </c>
      <c r="C1120" t="s">
        <v>1615</v>
      </c>
      <c r="D1120" t="s">
        <v>1844</v>
      </c>
      <c r="E1120" s="45">
        <v>35</v>
      </c>
      <c r="F1120" t="s">
        <v>1441</v>
      </c>
      <c r="I1120" s="152"/>
    </row>
    <row r="1121" spans="1:9" customFormat="1" ht="14.4" x14ac:dyDescent="0.3">
      <c r="B1121" t="s">
        <v>1843</v>
      </c>
      <c r="C1121" t="s">
        <v>1615</v>
      </c>
      <c r="D1121" t="s">
        <v>1845</v>
      </c>
      <c r="E1121" s="45">
        <v>30</v>
      </c>
      <c r="F1121" t="s">
        <v>1441</v>
      </c>
      <c r="I1121" s="152"/>
    </row>
    <row r="1122" spans="1:9" customFormat="1" ht="14.4" x14ac:dyDescent="0.3">
      <c r="B1122" t="s">
        <v>1843</v>
      </c>
      <c r="C1122" t="s">
        <v>1615</v>
      </c>
      <c r="D1122" t="s">
        <v>1846</v>
      </c>
      <c r="E1122" s="45">
        <v>35</v>
      </c>
      <c r="F1122" t="s">
        <v>1441</v>
      </c>
      <c r="I1122" s="152"/>
    </row>
    <row r="1123" spans="1:9" customFormat="1" ht="14.4" x14ac:dyDescent="0.3">
      <c r="B1123" t="s">
        <v>1843</v>
      </c>
      <c r="C1123" t="s">
        <v>1615</v>
      </c>
      <c r="D1123" t="s">
        <v>1847</v>
      </c>
      <c r="E1123" s="45">
        <v>12</v>
      </c>
      <c r="F1123" t="s">
        <v>1441</v>
      </c>
      <c r="I1123" s="152"/>
    </row>
    <row r="1124" spans="1:9" customFormat="1" ht="14.4" x14ac:dyDescent="0.3">
      <c r="B1124" t="s">
        <v>1843</v>
      </c>
      <c r="C1124" t="s">
        <v>1615</v>
      </c>
      <c r="D1124" t="s">
        <v>1817</v>
      </c>
      <c r="E1124" s="45">
        <v>10</v>
      </c>
      <c r="F1124" t="s">
        <v>1441</v>
      </c>
      <c r="I1124" s="152"/>
    </row>
    <row r="1125" spans="1:9" customFormat="1" ht="14.4" x14ac:dyDescent="0.3">
      <c r="B1125" t="s">
        <v>1843</v>
      </c>
      <c r="C1125" t="s">
        <v>1615</v>
      </c>
      <c r="D1125" t="s">
        <v>1848</v>
      </c>
      <c r="E1125" s="45">
        <v>10</v>
      </c>
      <c r="F1125" t="s">
        <v>1441</v>
      </c>
      <c r="I1125" s="152"/>
    </row>
    <row r="1126" spans="1:9" customFormat="1" ht="14.4" x14ac:dyDescent="0.3">
      <c r="B1126" t="s">
        <v>1843</v>
      </c>
      <c r="C1126" t="s">
        <v>1615</v>
      </c>
      <c r="D1126" t="s">
        <v>1849</v>
      </c>
      <c r="E1126" s="45">
        <v>35</v>
      </c>
      <c r="F1126" t="s">
        <v>1441</v>
      </c>
      <c r="I1126" s="152"/>
    </row>
    <row r="1127" spans="1:9" customFormat="1" ht="14.4" x14ac:dyDescent="0.3">
      <c r="B1127" t="s">
        <v>1843</v>
      </c>
      <c r="C1127" t="s">
        <v>1615</v>
      </c>
      <c r="D1127" t="s">
        <v>1850</v>
      </c>
      <c r="E1127" s="45">
        <v>30</v>
      </c>
      <c r="F1127" t="s">
        <v>1441</v>
      </c>
      <c r="I1127" s="152"/>
    </row>
    <row r="1128" spans="1:9" customFormat="1" ht="14.4" x14ac:dyDescent="0.3">
      <c r="B1128" t="s">
        <v>1843</v>
      </c>
      <c r="C1128" t="s">
        <v>1615</v>
      </c>
      <c r="D1128" t="s">
        <v>1851</v>
      </c>
      <c r="E1128" s="45">
        <v>15</v>
      </c>
      <c r="F1128" t="s">
        <v>1441</v>
      </c>
      <c r="I1128" s="152"/>
    </row>
    <row r="1129" spans="1:9" customFormat="1" ht="15" thickBot="1" x14ac:dyDescent="0.35">
      <c r="A1129" s="54"/>
      <c r="B1129" s="54" t="s">
        <v>1843</v>
      </c>
      <c r="C1129" s="54" t="s">
        <v>1615</v>
      </c>
      <c r="D1129" s="54" t="s">
        <v>1852</v>
      </c>
      <c r="E1129" s="153">
        <v>20</v>
      </c>
      <c r="F1129" s="54" t="s">
        <v>1441</v>
      </c>
      <c r="G1129" s="54"/>
      <c r="H1129" s="54"/>
      <c r="I1129" s="170"/>
    </row>
    <row r="1130" spans="1:9" customFormat="1" ht="14.4" x14ac:dyDescent="0.3">
      <c r="B1130" t="s">
        <v>1652</v>
      </c>
      <c r="C1130" t="s">
        <v>144</v>
      </c>
      <c r="D1130" t="s">
        <v>145</v>
      </c>
      <c r="E1130" s="45">
        <v>957</v>
      </c>
      <c r="F1130" t="s">
        <v>46</v>
      </c>
      <c r="G1130" t="s">
        <v>580</v>
      </c>
      <c r="H1130" t="s">
        <v>342</v>
      </c>
      <c r="I1130" s="152"/>
    </row>
    <row r="1131" spans="1:9" customFormat="1" ht="14.4" x14ac:dyDescent="0.3">
      <c r="B1131" t="s">
        <v>1652</v>
      </c>
      <c r="C1131" t="s">
        <v>1615</v>
      </c>
      <c r="D1131" t="s">
        <v>1653</v>
      </c>
      <c r="E1131" s="45">
        <v>15</v>
      </c>
      <c r="F1131" t="s">
        <v>1441</v>
      </c>
      <c r="I1131" s="152"/>
    </row>
    <row r="1132" spans="1:9" customFormat="1" ht="14.4" x14ac:dyDescent="0.3">
      <c r="B1132" t="s">
        <v>1652</v>
      </c>
      <c r="C1132" t="s">
        <v>1615</v>
      </c>
      <c r="D1132" t="s">
        <v>1653</v>
      </c>
      <c r="E1132" s="45">
        <v>50</v>
      </c>
      <c r="F1132" t="s">
        <v>1441</v>
      </c>
      <c r="I1132" s="152"/>
    </row>
    <row r="1133" spans="1:9" customFormat="1" ht="14.4" x14ac:dyDescent="0.3">
      <c r="B1133" t="s">
        <v>1652</v>
      </c>
      <c r="C1133" t="s">
        <v>508</v>
      </c>
      <c r="D1133" t="s">
        <v>101</v>
      </c>
      <c r="E1133" s="45">
        <v>-17843</v>
      </c>
      <c r="F1133" t="s">
        <v>508</v>
      </c>
      <c r="I1133" s="152"/>
    </row>
    <row r="1134" spans="1:9" customFormat="1" ht="14.4" x14ac:dyDescent="0.3">
      <c r="B1134" t="s">
        <v>1654</v>
      </c>
      <c r="C1134" t="s">
        <v>144</v>
      </c>
      <c r="D1134" t="s">
        <v>145</v>
      </c>
      <c r="E1134" s="45">
        <v>7500</v>
      </c>
      <c r="F1134" t="s">
        <v>22</v>
      </c>
      <c r="G1134" t="s">
        <v>580</v>
      </c>
      <c r="H1134" s="228" t="s">
        <v>1428</v>
      </c>
      <c r="I1134" s="152"/>
    </row>
    <row r="1135" spans="1:9" customFormat="1" ht="14.4" x14ac:dyDescent="0.3">
      <c r="B1135" t="s">
        <v>1654</v>
      </c>
      <c r="C1135" t="s">
        <v>838</v>
      </c>
      <c r="D1135" t="s">
        <v>101</v>
      </c>
      <c r="E1135" s="45">
        <v>-1383</v>
      </c>
      <c r="F1135" t="s">
        <v>46</v>
      </c>
      <c r="G1135" t="s">
        <v>586</v>
      </c>
      <c r="H1135" t="s">
        <v>586</v>
      </c>
      <c r="I1135" s="152"/>
    </row>
    <row r="1136" spans="1:9" customFormat="1" ht="14.4" x14ac:dyDescent="0.3">
      <c r="B1136" t="s">
        <v>1654</v>
      </c>
      <c r="C1136" t="s">
        <v>504</v>
      </c>
      <c r="D1136" t="s">
        <v>101</v>
      </c>
      <c r="E1136" s="45">
        <v>-4747</v>
      </c>
      <c r="F1136" t="s">
        <v>46</v>
      </c>
      <c r="G1136" t="s">
        <v>580</v>
      </c>
      <c r="H1136" t="s">
        <v>342</v>
      </c>
      <c r="I1136" s="152"/>
    </row>
    <row r="1137" spans="2:9" customFormat="1" ht="14.4" x14ac:dyDescent="0.3">
      <c r="B1137" t="s">
        <v>1654</v>
      </c>
      <c r="C1137" t="s">
        <v>1655</v>
      </c>
      <c r="D1137" t="s">
        <v>101</v>
      </c>
      <c r="E1137" s="45">
        <v>-3790</v>
      </c>
      <c r="F1137" t="s">
        <v>46</v>
      </c>
      <c r="G1137" t="s">
        <v>580</v>
      </c>
      <c r="H1137" t="s">
        <v>1757</v>
      </c>
      <c r="I1137" s="152"/>
    </row>
    <row r="1138" spans="2:9" customFormat="1" ht="14.4" x14ac:dyDescent="0.3">
      <c r="B1138" t="s">
        <v>1654</v>
      </c>
      <c r="C1138" t="s">
        <v>1477</v>
      </c>
      <c r="D1138" t="s">
        <v>101</v>
      </c>
      <c r="E1138" s="45">
        <v>-7066</v>
      </c>
      <c r="F1138" t="s">
        <v>46</v>
      </c>
      <c r="G1138" t="s">
        <v>580</v>
      </c>
      <c r="H1138" t="s">
        <v>1158</v>
      </c>
      <c r="I1138" s="152"/>
    </row>
    <row r="1139" spans="2:9" customFormat="1" ht="14.4" x14ac:dyDescent="0.3">
      <c r="B1139" t="s">
        <v>1654</v>
      </c>
      <c r="C1139" t="s">
        <v>1416</v>
      </c>
      <c r="D1139" t="s">
        <v>101</v>
      </c>
      <c r="E1139" s="45">
        <v>-754</v>
      </c>
      <c r="F1139" t="s">
        <v>46</v>
      </c>
      <c r="G1139" t="s">
        <v>580</v>
      </c>
      <c r="H1139" t="s">
        <v>582</v>
      </c>
      <c r="I1139" s="152"/>
    </row>
    <row r="1140" spans="2:9" customFormat="1" ht="14.4" x14ac:dyDescent="0.3">
      <c r="B1140" t="s">
        <v>1654</v>
      </c>
      <c r="C1140" t="s">
        <v>975</v>
      </c>
      <c r="D1140" t="s">
        <v>101</v>
      </c>
      <c r="E1140" s="45">
        <v>-7998</v>
      </c>
      <c r="F1140" t="s">
        <v>46</v>
      </c>
      <c r="G1140" t="s">
        <v>107</v>
      </c>
      <c r="I1140" s="152"/>
    </row>
    <row r="1141" spans="2:9" customFormat="1" ht="14.4" x14ac:dyDescent="0.3">
      <c r="B1141" t="s">
        <v>1654</v>
      </c>
      <c r="C1141" t="s">
        <v>982</v>
      </c>
      <c r="D1141" t="s">
        <v>101</v>
      </c>
      <c r="E1141" s="45">
        <v>-1422</v>
      </c>
      <c r="F1141" t="s">
        <v>46</v>
      </c>
      <c r="G1141" t="s">
        <v>580</v>
      </c>
      <c r="H1141" t="s">
        <v>594</v>
      </c>
      <c r="I1141" s="152"/>
    </row>
    <row r="1142" spans="2:9" customFormat="1" ht="14.4" x14ac:dyDescent="0.3">
      <c r="B1142" t="s">
        <v>1654</v>
      </c>
      <c r="C1142" t="s">
        <v>975</v>
      </c>
      <c r="D1142" t="s">
        <v>101</v>
      </c>
      <c r="E1142" s="45">
        <v>-13470</v>
      </c>
      <c r="F1142" t="s">
        <v>46</v>
      </c>
      <c r="G1142" t="s">
        <v>107</v>
      </c>
      <c r="I1142" s="152"/>
    </row>
    <row r="1143" spans="2:9" customFormat="1" ht="14.4" x14ac:dyDescent="0.3">
      <c r="B1143" t="s">
        <v>1654</v>
      </c>
      <c r="C1143" t="s">
        <v>975</v>
      </c>
      <c r="D1143" t="s">
        <v>101</v>
      </c>
      <c r="E1143" s="45">
        <v>-1193</v>
      </c>
      <c r="F1143" t="s">
        <v>46</v>
      </c>
      <c r="G1143" t="s">
        <v>107</v>
      </c>
      <c r="I1143" s="152"/>
    </row>
    <row r="1144" spans="2:9" customFormat="1" ht="14.4" x14ac:dyDescent="0.3">
      <c r="B1144" t="s">
        <v>1654</v>
      </c>
      <c r="C1144" t="s">
        <v>982</v>
      </c>
      <c r="D1144" t="s">
        <v>101</v>
      </c>
      <c r="E1144" s="45">
        <v>-177</v>
      </c>
      <c r="F1144" t="s">
        <v>46</v>
      </c>
      <c r="G1144" t="s">
        <v>580</v>
      </c>
      <c r="H1144" t="s">
        <v>594</v>
      </c>
      <c r="I1144" s="152"/>
    </row>
    <row r="1145" spans="2:9" customFormat="1" ht="14.4" x14ac:dyDescent="0.3">
      <c r="B1145" t="s">
        <v>1656</v>
      </c>
      <c r="C1145" t="s">
        <v>144</v>
      </c>
      <c r="D1145" t="s">
        <v>145</v>
      </c>
      <c r="E1145" s="45">
        <v>2253</v>
      </c>
      <c r="F1145" t="s">
        <v>508</v>
      </c>
      <c r="G1145" t="s">
        <v>580</v>
      </c>
      <c r="H1145" t="s">
        <v>592</v>
      </c>
      <c r="I1145" s="229" t="s">
        <v>1765</v>
      </c>
    </row>
    <row r="1146" spans="2:9" customFormat="1" ht="14.4" x14ac:dyDescent="0.3">
      <c r="B1146" t="s">
        <v>1656</v>
      </c>
      <c r="C1146" t="s">
        <v>998</v>
      </c>
      <c r="D1146" t="s">
        <v>126</v>
      </c>
      <c r="E1146" s="45">
        <v>-575</v>
      </c>
      <c r="F1146" t="s">
        <v>39</v>
      </c>
      <c r="G1146" t="s">
        <v>580</v>
      </c>
      <c r="H1146" t="s">
        <v>438</v>
      </c>
      <c r="I1146" s="152"/>
    </row>
    <row r="1147" spans="2:9" customFormat="1" ht="14.4" x14ac:dyDescent="0.3">
      <c r="B1147" t="s">
        <v>1656</v>
      </c>
      <c r="C1147" t="s">
        <v>1657</v>
      </c>
      <c r="D1147" t="s">
        <v>284</v>
      </c>
      <c r="E1147" s="45">
        <v>400</v>
      </c>
      <c r="F1147" t="s">
        <v>22</v>
      </c>
      <c r="G1147" t="s">
        <v>580</v>
      </c>
      <c r="H1147" s="228" t="s">
        <v>342</v>
      </c>
      <c r="I1147" s="152"/>
    </row>
    <row r="1148" spans="2:9" customFormat="1" ht="14.4" x14ac:dyDescent="0.3">
      <c r="B1148" t="s">
        <v>1656</v>
      </c>
      <c r="C1148" t="s">
        <v>154</v>
      </c>
      <c r="D1148" t="s">
        <v>101</v>
      </c>
      <c r="E1148" s="45">
        <v>-9700</v>
      </c>
      <c r="F1148" t="s">
        <v>154</v>
      </c>
      <c r="G1148" t="s">
        <v>107</v>
      </c>
      <c r="I1148" s="152" t="s">
        <v>1774</v>
      </c>
    </row>
    <row r="1149" spans="2:9" customFormat="1" ht="14.4" x14ac:dyDescent="0.3">
      <c r="B1149" t="s">
        <v>1658</v>
      </c>
      <c r="C1149" t="s">
        <v>144</v>
      </c>
      <c r="D1149" t="s">
        <v>145</v>
      </c>
      <c r="E1149" s="45">
        <v>800</v>
      </c>
      <c r="F1149" t="s">
        <v>22</v>
      </c>
      <c r="G1149" t="s">
        <v>580</v>
      </c>
      <c r="H1149" s="228" t="s">
        <v>1158</v>
      </c>
      <c r="I1149" s="152"/>
    </row>
    <row r="1150" spans="2:9" customFormat="1" ht="14.4" x14ac:dyDescent="0.3">
      <c r="B1150" t="s">
        <v>1658</v>
      </c>
      <c r="C1150" t="s">
        <v>1615</v>
      </c>
      <c r="D1150" t="s">
        <v>1659</v>
      </c>
      <c r="E1150" s="45">
        <v>5</v>
      </c>
      <c r="F1150" t="s">
        <v>1441</v>
      </c>
      <c r="I1150" s="152"/>
    </row>
    <row r="1151" spans="2:9" customFormat="1" ht="14.4" x14ac:dyDescent="0.3">
      <c r="B1151" t="s">
        <v>1658</v>
      </c>
      <c r="C1151" t="s">
        <v>1615</v>
      </c>
      <c r="D1151" t="s">
        <v>1659</v>
      </c>
      <c r="E1151" s="45">
        <v>5</v>
      </c>
      <c r="F1151" t="s">
        <v>1441</v>
      </c>
      <c r="I1151" s="152"/>
    </row>
    <row r="1152" spans="2:9" customFormat="1" ht="14.4" x14ac:dyDescent="0.3">
      <c r="B1152" t="s">
        <v>1658</v>
      </c>
      <c r="C1152" t="s">
        <v>1615</v>
      </c>
      <c r="D1152" t="s">
        <v>1660</v>
      </c>
      <c r="E1152" s="45">
        <v>10</v>
      </c>
      <c r="F1152" t="s">
        <v>1441</v>
      </c>
      <c r="I1152" s="152"/>
    </row>
    <row r="1153" spans="2:9" customFormat="1" ht="14.4" x14ac:dyDescent="0.3">
      <c r="B1153" t="s">
        <v>1658</v>
      </c>
      <c r="C1153" t="s">
        <v>1615</v>
      </c>
      <c r="D1153" t="s">
        <v>1661</v>
      </c>
      <c r="E1153" s="45">
        <v>20</v>
      </c>
      <c r="F1153" t="s">
        <v>1441</v>
      </c>
      <c r="I1153" s="152"/>
    </row>
    <row r="1154" spans="2:9" customFormat="1" ht="14.4" x14ac:dyDescent="0.3">
      <c r="B1154" t="s">
        <v>1658</v>
      </c>
      <c r="C1154" t="s">
        <v>1615</v>
      </c>
      <c r="D1154" t="s">
        <v>1662</v>
      </c>
      <c r="E1154" s="45">
        <v>72</v>
      </c>
      <c r="F1154" t="s">
        <v>1441</v>
      </c>
      <c r="I1154" s="152"/>
    </row>
    <row r="1155" spans="2:9" customFormat="1" ht="14.4" x14ac:dyDescent="0.3">
      <c r="B1155" t="s">
        <v>1658</v>
      </c>
      <c r="C1155" t="s">
        <v>1615</v>
      </c>
      <c r="D1155" t="s">
        <v>1663</v>
      </c>
      <c r="E1155" s="45">
        <v>17</v>
      </c>
      <c r="F1155" t="s">
        <v>1441</v>
      </c>
      <c r="I1155" s="152"/>
    </row>
    <row r="1156" spans="2:9" customFormat="1" ht="14.4" x14ac:dyDescent="0.3">
      <c r="B1156" t="s">
        <v>1658</v>
      </c>
      <c r="C1156" t="s">
        <v>1615</v>
      </c>
      <c r="D1156" t="s">
        <v>1664</v>
      </c>
      <c r="E1156" s="45">
        <v>15</v>
      </c>
      <c r="F1156" t="s">
        <v>1441</v>
      </c>
      <c r="I1156" s="152"/>
    </row>
    <row r="1157" spans="2:9" customFormat="1" ht="14.4" x14ac:dyDescent="0.3">
      <c r="B1157" t="s">
        <v>1658</v>
      </c>
      <c r="C1157" t="s">
        <v>1615</v>
      </c>
      <c r="D1157" t="s">
        <v>1665</v>
      </c>
      <c r="E1157" s="45">
        <v>7</v>
      </c>
      <c r="F1157" t="s">
        <v>1441</v>
      </c>
      <c r="I1157" s="152"/>
    </row>
    <row r="1158" spans="2:9" customFormat="1" ht="14.4" x14ac:dyDescent="0.3">
      <c r="B1158" t="s">
        <v>1658</v>
      </c>
      <c r="C1158" t="s">
        <v>1615</v>
      </c>
      <c r="D1158" t="s">
        <v>1666</v>
      </c>
      <c r="E1158" s="45">
        <v>57</v>
      </c>
      <c r="F1158" t="s">
        <v>1441</v>
      </c>
      <c r="I1158" s="152"/>
    </row>
    <row r="1159" spans="2:9" customFormat="1" ht="14.4" x14ac:dyDescent="0.3">
      <c r="B1159" t="s">
        <v>1658</v>
      </c>
      <c r="C1159" t="s">
        <v>1615</v>
      </c>
      <c r="D1159" t="s">
        <v>1667</v>
      </c>
      <c r="E1159" s="45">
        <v>131</v>
      </c>
      <c r="F1159" t="s">
        <v>1441</v>
      </c>
      <c r="I1159" s="152"/>
    </row>
    <row r="1160" spans="2:9" customFormat="1" ht="14.4" x14ac:dyDescent="0.3">
      <c r="B1160" t="s">
        <v>1658</v>
      </c>
      <c r="C1160" t="s">
        <v>1615</v>
      </c>
      <c r="D1160" t="s">
        <v>1668</v>
      </c>
      <c r="E1160" s="45">
        <v>70</v>
      </c>
      <c r="F1160" t="s">
        <v>1441</v>
      </c>
      <c r="I1160" s="152"/>
    </row>
    <row r="1161" spans="2:9" customFormat="1" ht="14.4" x14ac:dyDescent="0.3">
      <c r="B1161" t="s">
        <v>1658</v>
      </c>
      <c r="C1161" t="s">
        <v>1615</v>
      </c>
      <c r="D1161" t="s">
        <v>1669</v>
      </c>
      <c r="E1161" s="45">
        <v>57</v>
      </c>
      <c r="F1161" t="s">
        <v>1441</v>
      </c>
      <c r="I1161" s="152"/>
    </row>
    <row r="1162" spans="2:9" customFormat="1" ht="14.4" x14ac:dyDescent="0.3">
      <c r="B1162" t="s">
        <v>1658</v>
      </c>
      <c r="C1162" t="s">
        <v>1615</v>
      </c>
      <c r="D1162" t="s">
        <v>1670</v>
      </c>
      <c r="E1162" s="45">
        <v>25</v>
      </c>
      <c r="F1162" t="s">
        <v>1441</v>
      </c>
      <c r="I1162" s="152"/>
    </row>
    <row r="1163" spans="2:9" customFormat="1" ht="14.4" x14ac:dyDescent="0.3">
      <c r="B1163" t="s">
        <v>1658</v>
      </c>
      <c r="C1163" t="s">
        <v>1615</v>
      </c>
      <c r="D1163" t="s">
        <v>1662</v>
      </c>
      <c r="E1163" s="45">
        <v>30</v>
      </c>
      <c r="F1163" t="s">
        <v>1441</v>
      </c>
      <c r="I1163" s="152"/>
    </row>
    <row r="1164" spans="2:9" customFormat="1" ht="14.4" x14ac:dyDescent="0.3">
      <c r="B1164" t="s">
        <v>1658</v>
      </c>
      <c r="C1164" t="s">
        <v>1615</v>
      </c>
      <c r="D1164" t="s">
        <v>1667</v>
      </c>
      <c r="E1164" s="45">
        <v>34</v>
      </c>
      <c r="F1164" t="s">
        <v>1441</v>
      </c>
      <c r="I1164" s="152"/>
    </row>
    <row r="1165" spans="2:9" customFormat="1" ht="14.4" x14ac:dyDescent="0.3">
      <c r="B1165" t="s">
        <v>1658</v>
      </c>
      <c r="C1165" t="s">
        <v>1615</v>
      </c>
      <c r="D1165" t="s">
        <v>1671</v>
      </c>
      <c r="E1165" s="45">
        <v>29</v>
      </c>
      <c r="F1165" t="s">
        <v>1441</v>
      </c>
      <c r="I1165" s="152"/>
    </row>
    <row r="1166" spans="2:9" customFormat="1" ht="14.4" x14ac:dyDescent="0.3">
      <c r="B1166" t="s">
        <v>1658</v>
      </c>
      <c r="C1166" t="s">
        <v>1615</v>
      </c>
      <c r="D1166" t="s">
        <v>1672</v>
      </c>
      <c r="E1166" s="45">
        <v>18</v>
      </c>
      <c r="F1166" t="s">
        <v>1441</v>
      </c>
      <c r="I1166" s="152"/>
    </row>
    <row r="1167" spans="2:9" customFormat="1" ht="14.4" x14ac:dyDescent="0.3">
      <c r="B1167" t="s">
        <v>1658</v>
      </c>
      <c r="C1167" t="s">
        <v>1615</v>
      </c>
      <c r="D1167" t="s">
        <v>1673</v>
      </c>
      <c r="E1167" s="45">
        <v>22</v>
      </c>
      <c r="F1167" t="s">
        <v>1441</v>
      </c>
      <c r="I1167" s="152"/>
    </row>
    <row r="1168" spans="2:9" customFormat="1" ht="14.4" x14ac:dyDescent="0.3">
      <c r="B1168" t="s">
        <v>1658</v>
      </c>
      <c r="C1168" t="s">
        <v>1615</v>
      </c>
      <c r="D1168" t="s">
        <v>1672</v>
      </c>
      <c r="E1168" s="45">
        <v>46</v>
      </c>
      <c r="F1168" t="s">
        <v>1441</v>
      </c>
      <c r="I1168" s="152"/>
    </row>
    <row r="1169" spans="2:9" customFormat="1" ht="14.4" x14ac:dyDescent="0.3">
      <c r="B1169" t="s">
        <v>1658</v>
      </c>
      <c r="C1169" t="s">
        <v>1615</v>
      </c>
      <c r="D1169" t="s">
        <v>1674</v>
      </c>
      <c r="E1169" s="45">
        <v>30</v>
      </c>
      <c r="F1169" t="s">
        <v>1441</v>
      </c>
      <c r="I1169" s="152"/>
    </row>
    <row r="1170" spans="2:9" customFormat="1" ht="14.4" x14ac:dyDescent="0.3">
      <c r="B1170" t="s">
        <v>1658</v>
      </c>
      <c r="C1170" t="s">
        <v>1615</v>
      </c>
      <c r="D1170" t="s">
        <v>1675</v>
      </c>
      <c r="E1170" s="45">
        <v>20</v>
      </c>
      <c r="F1170" t="s">
        <v>1441</v>
      </c>
      <c r="I1170" s="152"/>
    </row>
    <row r="1171" spans="2:9" customFormat="1" ht="14.4" x14ac:dyDescent="0.3">
      <c r="B1171" t="s">
        <v>1658</v>
      </c>
      <c r="C1171" t="s">
        <v>1615</v>
      </c>
      <c r="D1171" t="s">
        <v>1676</v>
      </c>
      <c r="E1171" s="45">
        <v>75</v>
      </c>
      <c r="F1171" t="s">
        <v>1441</v>
      </c>
      <c r="I1171" s="152"/>
    </row>
    <row r="1172" spans="2:9" customFormat="1" ht="14.4" x14ac:dyDescent="0.3">
      <c r="B1172" t="s">
        <v>1658</v>
      </c>
      <c r="C1172" t="s">
        <v>1615</v>
      </c>
      <c r="D1172" t="s">
        <v>1674</v>
      </c>
      <c r="E1172" s="45">
        <v>65</v>
      </c>
      <c r="F1172" t="s">
        <v>1441</v>
      </c>
      <c r="I1172" s="152"/>
    </row>
    <row r="1173" spans="2:9" customFormat="1" ht="14.4" x14ac:dyDescent="0.3">
      <c r="B1173" t="s">
        <v>1658</v>
      </c>
      <c r="C1173" t="s">
        <v>1615</v>
      </c>
      <c r="D1173" t="s">
        <v>1674</v>
      </c>
      <c r="E1173" s="45">
        <v>7</v>
      </c>
      <c r="F1173" t="s">
        <v>1441</v>
      </c>
      <c r="I1173" s="152"/>
    </row>
    <row r="1174" spans="2:9" customFormat="1" ht="14.4" x14ac:dyDescent="0.3">
      <c r="B1174" t="s">
        <v>1658</v>
      </c>
      <c r="C1174" t="s">
        <v>1615</v>
      </c>
      <c r="D1174" t="s">
        <v>1661</v>
      </c>
      <c r="E1174" s="45">
        <v>95</v>
      </c>
      <c r="F1174" t="s">
        <v>1441</v>
      </c>
      <c r="I1174" s="152"/>
    </row>
    <row r="1175" spans="2:9" customFormat="1" ht="14.4" x14ac:dyDescent="0.3">
      <c r="B1175" t="s">
        <v>1658</v>
      </c>
      <c r="C1175" t="s">
        <v>1615</v>
      </c>
      <c r="D1175" t="s">
        <v>1677</v>
      </c>
      <c r="E1175" s="45">
        <v>15</v>
      </c>
      <c r="F1175" t="s">
        <v>1441</v>
      </c>
      <c r="I1175" s="152"/>
    </row>
    <row r="1176" spans="2:9" customFormat="1" ht="14.4" x14ac:dyDescent="0.3">
      <c r="B1176" t="s">
        <v>1658</v>
      </c>
      <c r="C1176" t="s">
        <v>1615</v>
      </c>
      <c r="D1176" t="s">
        <v>1678</v>
      </c>
      <c r="E1176" s="45">
        <v>30</v>
      </c>
      <c r="F1176" t="s">
        <v>1441</v>
      </c>
      <c r="I1176" s="152"/>
    </row>
    <row r="1177" spans="2:9" customFormat="1" ht="14.4" x14ac:dyDescent="0.3">
      <c r="B1177" t="s">
        <v>1658</v>
      </c>
      <c r="C1177" t="s">
        <v>1615</v>
      </c>
      <c r="D1177" t="s">
        <v>1676</v>
      </c>
      <c r="E1177" s="45">
        <v>34</v>
      </c>
      <c r="F1177" t="s">
        <v>1441</v>
      </c>
      <c r="I1177" s="152"/>
    </row>
    <row r="1178" spans="2:9" customFormat="1" ht="14.4" x14ac:dyDescent="0.3">
      <c r="B1178" t="s">
        <v>1658</v>
      </c>
      <c r="C1178" t="s">
        <v>1615</v>
      </c>
      <c r="D1178" t="s">
        <v>1675</v>
      </c>
      <c r="E1178" s="45">
        <v>11</v>
      </c>
      <c r="F1178" t="s">
        <v>1441</v>
      </c>
      <c r="I1178" s="152"/>
    </row>
    <row r="1179" spans="2:9" customFormat="1" ht="14.4" x14ac:dyDescent="0.3">
      <c r="B1179" t="s">
        <v>1658</v>
      </c>
      <c r="C1179" t="s">
        <v>1615</v>
      </c>
      <c r="D1179" t="s">
        <v>1679</v>
      </c>
      <c r="E1179" s="45">
        <v>10</v>
      </c>
      <c r="F1179" t="s">
        <v>1441</v>
      </c>
      <c r="I1179" s="152"/>
    </row>
    <row r="1180" spans="2:9" customFormat="1" ht="14.4" x14ac:dyDescent="0.3">
      <c r="B1180" t="s">
        <v>1680</v>
      </c>
      <c r="C1180" t="s">
        <v>144</v>
      </c>
      <c r="D1180" t="s">
        <v>145</v>
      </c>
      <c r="E1180" s="45">
        <v>2412</v>
      </c>
      <c r="F1180" t="s">
        <v>1163</v>
      </c>
      <c r="I1180" s="152" t="s">
        <v>1772</v>
      </c>
    </row>
    <row r="1181" spans="2:9" customFormat="1" ht="14.4" x14ac:dyDescent="0.3">
      <c r="B1181" t="s">
        <v>1680</v>
      </c>
      <c r="C1181" t="s">
        <v>1681</v>
      </c>
      <c r="D1181" t="s">
        <v>126</v>
      </c>
      <c r="E1181" s="45">
        <v>-25000</v>
      </c>
      <c r="F1181" t="s">
        <v>24</v>
      </c>
      <c r="I1181" s="152"/>
    </row>
    <row r="1182" spans="2:9" customFormat="1" ht="14.4" x14ac:dyDescent="0.3">
      <c r="B1182" t="s">
        <v>1680</v>
      </c>
      <c r="C1182" t="s">
        <v>1615</v>
      </c>
      <c r="D1182" t="s">
        <v>1682</v>
      </c>
      <c r="E1182" s="45">
        <v>150</v>
      </c>
      <c r="F1182" t="s">
        <v>1441</v>
      </c>
      <c r="I1182" s="152"/>
    </row>
    <row r="1183" spans="2:9" customFormat="1" ht="14.4" x14ac:dyDescent="0.3">
      <c r="B1183" t="s">
        <v>1680</v>
      </c>
      <c r="C1183" t="s">
        <v>1615</v>
      </c>
      <c r="D1183" t="s">
        <v>1683</v>
      </c>
      <c r="E1183" s="45">
        <v>60</v>
      </c>
      <c r="F1183" t="s">
        <v>1441</v>
      </c>
      <c r="I1183" s="152"/>
    </row>
    <row r="1184" spans="2:9" customFormat="1" ht="14.4" x14ac:dyDescent="0.3">
      <c r="B1184" t="s">
        <v>1680</v>
      </c>
      <c r="C1184" t="s">
        <v>1615</v>
      </c>
      <c r="D1184" t="s">
        <v>1684</v>
      </c>
      <c r="E1184" s="45">
        <v>32</v>
      </c>
      <c r="F1184" t="s">
        <v>1441</v>
      </c>
      <c r="I1184" s="152"/>
    </row>
    <row r="1185" spans="2:9" customFormat="1" ht="14.4" x14ac:dyDescent="0.3">
      <c r="B1185" t="s">
        <v>1680</v>
      </c>
      <c r="C1185" t="s">
        <v>1615</v>
      </c>
      <c r="D1185" t="s">
        <v>1685</v>
      </c>
      <c r="E1185" s="45">
        <v>25</v>
      </c>
      <c r="F1185" t="s">
        <v>1441</v>
      </c>
      <c r="I1185" s="152"/>
    </row>
    <row r="1186" spans="2:9" customFormat="1" ht="14.4" x14ac:dyDescent="0.3">
      <c r="B1186" t="s">
        <v>1680</v>
      </c>
      <c r="C1186" t="s">
        <v>1615</v>
      </c>
      <c r="D1186" t="s">
        <v>1686</v>
      </c>
      <c r="E1186" s="45">
        <v>27</v>
      </c>
      <c r="F1186" t="s">
        <v>1441</v>
      </c>
      <c r="I1186" s="152"/>
    </row>
    <row r="1187" spans="2:9" customFormat="1" ht="14.4" x14ac:dyDescent="0.3">
      <c r="B1187" t="s">
        <v>1680</v>
      </c>
      <c r="C1187" t="s">
        <v>1615</v>
      </c>
      <c r="D1187" t="s">
        <v>1687</v>
      </c>
      <c r="E1187" s="45">
        <v>10</v>
      </c>
      <c r="F1187" t="s">
        <v>1441</v>
      </c>
      <c r="I1187" s="152"/>
    </row>
    <row r="1188" spans="2:9" customFormat="1" ht="14.4" x14ac:dyDescent="0.3">
      <c r="B1188" t="s">
        <v>1680</v>
      </c>
      <c r="C1188" t="s">
        <v>1615</v>
      </c>
      <c r="D1188" t="s">
        <v>1688</v>
      </c>
      <c r="E1188" s="45">
        <v>10</v>
      </c>
      <c r="F1188" t="s">
        <v>1441</v>
      </c>
      <c r="I1188" s="152"/>
    </row>
    <row r="1189" spans="2:9" customFormat="1" ht="14.4" x14ac:dyDescent="0.3">
      <c r="B1189" t="s">
        <v>1680</v>
      </c>
      <c r="C1189" t="s">
        <v>1615</v>
      </c>
      <c r="D1189" t="s">
        <v>1689</v>
      </c>
      <c r="E1189" s="45">
        <v>17</v>
      </c>
      <c r="F1189" t="s">
        <v>1441</v>
      </c>
      <c r="I1189" s="152"/>
    </row>
    <row r="1190" spans="2:9" customFormat="1" ht="14.4" x14ac:dyDescent="0.3">
      <c r="B1190" t="s">
        <v>1690</v>
      </c>
      <c r="C1190" t="s">
        <v>144</v>
      </c>
      <c r="D1190" t="s">
        <v>145</v>
      </c>
      <c r="E1190" s="45">
        <v>4000</v>
      </c>
      <c r="F1190" t="s">
        <v>22</v>
      </c>
      <c r="G1190" t="s">
        <v>580</v>
      </c>
      <c r="H1190" s="228" t="s">
        <v>1771</v>
      </c>
      <c r="I1190" s="152"/>
    </row>
    <row r="1191" spans="2:9" customFormat="1" ht="14.4" x14ac:dyDescent="0.3">
      <c r="B1191" t="s">
        <v>1690</v>
      </c>
      <c r="C1191" t="s">
        <v>975</v>
      </c>
      <c r="D1191" t="s">
        <v>101</v>
      </c>
      <c r="E1191" s="45">
        <v>-2581</v>
      </c>
      <c r="F1191" t="s">
        <v>46</v>
      </c>
      <c r="G1191" t="s">
        <v>107</v>
      </c>
      <c r="I1191" s="152"/>
    </row>
    <row r="1192" spans="2:9" customFormat="1" ht="14.4" x14ac:dyDescent="0.3">
      <c r="B1192" t="s">
        <v>1690</v>
      </c>
      <c r="C1192" t="s">
        <v>1128</v>
      </c>
      <c r="D1192" t="s">
        <v>101</v>
      </c>
      <c r="E1192" s="45">
        <v>-2556</v>
      </c>
      <c r="F1192" t="s">
        <v>46</v>
      </c>
      <c r="G1192" t="s">
        <v>580</v>
      </c>
      <c r="H1192" t="s">
        <v>438</v>
      </c>
      <c r="I1192" s="230" t="s">
        <v>1773</v>
      </c>
    </row>
    <row r="1193" spans="2:9" customFormat="1" ht="14.4" x14ac:dyDescent="0.3">
      <c r="B1193" t="s">
        <v>1690</v>
      </c>
      <c r="C1193" t="s">
        <v>1416</v>
      </c>
      <c r="D1193" t="s">
        <v>101</v>
      </c>
      <c r="E1193" s="45">
        <v>-10016</v>
      </c>
      <c r="F1193" t="s">
        <v>46</v>
      </c>
      <c r="G1193" t="s">
        <v>580</v>
      </c>
      <c r="H1193" t="s">
        <v>582</v>
      </c>
      <c r="I1193" s="152"/>
    </row>
    <row r="1194" spans="2:9" customFormat="1" ht="14.4" x14ac:dyDescent="0.3">
      <c r="B1194" t="s">
        <v>1690</v>
      </c>
      <c r="C1194" t="s">
        <v>951</v>
      </c>
      <c r="D1194" t="s">
        <v>101</v>
      </c>
      <c r="E1194" s="45">
        <v>-3000</v>
      </c>
      <c r="F1194" t="s">
        <v>46</v>
      </c>
      <c r="G1194" t="s">
        <v>580</v>
      </c>
      <c r="H1194" t="s">
        <v>592</v>
      </c>
      <c r="I1194" s="152"/>
    </row>
    <row r="1195" spans="2:9" customFormat="1" ht="14.4" x14ac:dyDescent="0.3">
      <c r="B1195" t="s">
        <v>1690</v>
      </c>
      <c r="C1195" t="s">
        <v>951</v>
      </c>
      <c r="D1195" t="s">
        <v>101</v>
      </c>
      <c r="E1195" s="45">
        <v>-12824</v>
      </c>
      <c r="F1195" t="s">
        <v>46</v>
      </c>
      <c r="G1195" t="s">
        <v>580</v>
      </c>
      <c r="H1195" t="s">
        <v>592</v>
      </c>
      <c r="I1195" s="152"/>
    </row>
    <row r="1196" spans="2:9" customFormat="1" ht="14.4" x14ac:dyDescent="0.3">
      <c r="B1196" t="s">
        <v>1691</v>
      </c>
      <c r="C1196" t="s">
        <v>144</v>
      </c>
      <c r="D1196" t="s">
        <v>145</v>
      </c>
      <c r="E1196" s="45">
        <v>5400</v>
      </c>
      <c r="F1196" t="s">
        <v>22</v>
      </c>
      <c r="G1196" t="s">
        <v>580</v>
      </c>
      <c r="H1196" s="228" t="s">
        <v>594</v>
      </c>
      <c r="I1196" s="152"/>
    </row>
    <row r="1197" spans="2:9" customFormat="1" ht="14.4" x14ac:dyDescent="0.3">
      <c r="B1197" t="s">
        <v>1691</v>
      </c>
      <c r="C1197" t="s">
        <v>1104</v>
      </c>
      <c r="D1197" t="s">
        <v>101</v>
      </c>
      <c r="E1197" s="45">
        <v>-826</v>
      </c>
      <c r="F1197" t="s">
        <v>46</v>
      </c>
      <c r="G1197" t="s">
        <v>580</v>
      </c>
      <c r="H1197" t="s">
        <v>858</v>
      </c>
      <c r="I1197" s="152"/>
    </row>
    <row r="1198" spans="2:9" customFormat="1" ht="14.4" x14ac:dyDescent="0.3">
      <c r="B1198" t="s">
        <v>1691</v>
      </c>
      <c r="C1198" t="s">
        <v>995</v>
      </c>
      <c r="D1198" t="s">
        <v>126</v>
      </c>
      <c r="E1198" s="45">
        <v>-775</v>
      </c>
      <c r="F1198" t="s">
        <v>39</v>
      </c>
      <c r="G1198" t="s">
        <v>586</v>
      </c>
      <c r="H1198" t="s">
        <v>586</v>
      </c>
      <c r="I1198" s="152"/>
    </row>
    <row r="1199" spans="2:9" customFormat="1" ht="14.4" x14ac:dyDescent="0.3">
      <c r="B1199" t="s">
        <v>1692</v>
      </c>
      <c r="C1199" t="s">
        <v>144</v>
      </c>
      <c r="D1199" t="s">
        <v>145</v>
      </c>
      <c r="E1199" s="45">
        <v>9600</v>
      </c>
      <c r="F1199" t="s">
        <v>22</v>
      </c>
      <c r="G1199" t="s">
        <v>580</v>
      </c>
      <c r="H1199" s="228" t="s">
        <v>858</v>
      </c>
      <c r="I1199" s="152"/>
    </row>
    <row r="1200" spans="2:9" customFormat="1" ht="14.4" x14ac:dyDescent="0.3">
      <c r="B1200" t="s">
        <v>1692</v>
      </c>
      <c r="C1200" t="s">
        <v>996</v>
      </c>
      <c r="D1200" t="s">
        <v>126</v>
      </c>
      <c r="E1200" s="45">
        <v>-605</v>
      </c>
      <c r="F1200" t="s">
        <v>39</v>
      </c>
      <c r="G1200" t="s">
        <v>580</v>
      </c>
      <c r="H1200" t="s">
        <v>582</v>
      </c>
      <c r="I1200" s="152"/>
    </row>
    <row r="1201" spans="2:9" customFormat="1" ht="14.4" x14ac:dyDescent="0.3">
      <c r="B1201" t="s">
        <v>1692</v>
      </c>
      <c r="C1201" t="s">
        <v>1615</v>
      </c>
      <c r="D1201" t="s">
        <v>1693</v>
      </c>
      <c r="E1201" s="45">
        <v>56</v>
      </c>
      <c r="F1201" t="s">
        <v>1441</v>
      </c>
      <c r="I1201" s="152"/>
    </row>
    <row r="1202" spans="2:9" customFormat="1" ht="14.4" x14ac:dyDescent="0.3">
      <c r="B1202" t="s">
        <v>1692</v>
      </c>
      <c r="C1202" t="s">
        <v>1615</v>
      </c>
      <c r="D1202" t="s">
        <v>1694</v>
      </c>
      <c r="E1202" s="45">
        <v>25</v>
      </c>
      <c r="F1202" t="s">
        <v>1441</v>
      </c>
      <c r="I1202" s="152"/>
    </row>
    <row r="1203" spans="2:9" customFormat="1" ht="14.4" x14ac:dyDescent="0.3">
      <c r="B1203" t="s">
        <v>1692</v>
      </c>
      <c r="C1203" t="s">
        <v>1615</v>
      </c>
      <c r="D1203" t="s">
        <v>1695</v>
      </c>
      <c r="E1203" s="45">
        <v>38</v>
      </c>
      <c r="F1203" t="s">
        <v>1441</v>
      </c>
      <c r="I1203" s="152"/>
    </row>
    <row r="1204" spans="2:9" customFormat="1" ht="14.4" x14ac:dyDescent="0.3">
      <c r="B1204" t="s">
        <v>1692</v>
      </c>
      <c r="C1204" t="s">
        <v>1615</v>
      </c>
      <c r="D1204" t="s">
        <v>1696</v>
      </c>
      <c r="E1204" s="45">
        <v>45</v>
      </c>
      <c r="F1204" t="s">
        <v>1441</v>
      </c>
      <c r="I1204" s="152"/>
    </row>
    <row r="1205" spans="2:9" customFormat="1" ht="14.4" x14ac:dyDescent="0.3">
      <c r="B1205" t="s">
        <v>1692</v>
      </c>
      <c r="C1205" t="s">
        <v>1615</v>
      </c>
      <c r="D1205" t="s">
        <v>1697</v>
      </c>
      <c r="E1205" s="45">
        <v>15</v>
      </c>
      <c r="F1205" t="s">
        <v>1441</v>
      </c>
      <c r="I1205" s="152"/>
    </row>
    <row r="1206" spans="2:9" customFormat="1" ht="14.4" x14ac:dyDescent="0.3">
      <c r="B1206" t="s">
        <v>1692</v>
      </c>
      <c r="C1206" t="s">
        <v>1615</v>
      </c>
      <c r="D1206" t="s">
        <v>1698</v>
      </c>
      <c r="E1206" s="45">
        <v>25</v>
      </c>
      <c r="F1206" t="s">
        <v>1441</v>
      </c>
      <c r="I1206" s="152"/>
    </row>
    <row r="1207" spans="2:9" customFormat="1" ht="14.4" x14ac:dyDescent="0.3">
      <c r="B1207" t="s">
        <v>1692</v>
      </c>
      <c r="C1207" t="s">
        <v>1615</v>
      </c>
      <c r="D1207" t="s">
        <v>1699</v>
      </c>
      <c r="E1207" s="45">
        <v>15</v>
      </c>
      <c r="F1207" t="s">
        <v>1441</v>
      </c>
      <c r="I1207" s="152"/>
    </row>
    <row r="1208" spans="2:9" customFormat="1" ht="14.4" x14ac:dyDescent="0.3">
      <c r="B1208" t="s">
        <v>1692</v>
      </c>
      <c r="C1208" t="s">
        <v>1615</v>
      </c>
      <c r="D1208" t="s">
        <v>1700</v>
      </c>
      <c r="E1208" s="45">
        <v>39</v>
      </c>
      <c r="F1208" t="s">
        <v>1441</v>
      </c>
      <c r="I1208" s="152"/>
    </row>
    <row r="1209" spans="2:9" customFormat="1" ht="14.4" x14ac:dyDescent="0.3">
      <c r="B1209" t="s">
        <v>1692</v>
      </c>
      <c r="C1209" t="s">
        <v>1615</v>
      </c>
      <c r="D1209" t="s">
        <v>1701</v>
      </c>
      <c r="E1209" s="45">
        <v>13</v>
      </c>
      <c r="F1209" t="s">
        <v>1441</v>
      </c>
      <c r="I1209" s="152"/>
    </row>
    <row r="1210" spans="2:9" customFormat="1" ht="14.4" x14ac:dyDescent="0.3">
      <c r="B1210" t="s">
        <v>1692</v>
      </c>
      <c r="C1210" t="s">
        <v>1615</v>
      </c>
      <c r="D1210" t="s">
        <v>1702</v>
      </c>
      <c r="E1210" s="45">
        <v>73</v>
      </c>
      <c r="F1210" t="s">
        <v>1441</v>
      </c>
      <c r="I1210" s="152"/>
    </row>
    <row r="1211" spans="2:9" customFormat="1" ht="14.4" x14ac:dyDescent="0.3">
      <c r="B1211" t="s">
        <v>1692</v>
      </c>
      <c r="C1211" t="s">
        <v>1615</v>
      </c>
      <c r="D1211" t="s">
        <v>1703</v>
      </c>
      <c r="E1211" s="45">
        <v>25</v>
      </c>
      <c r="F1211" t="s">
        <v>1441</v>
      </c>
      <c r="I1211" s="152"/>
    </row>
    <row r="1212" spans="2:9" customFormat="1" ht="14.4" x14ac:dyDescent="0.3">
      <c r="B1212" t="s">
        <v>1692</v>
      </c>
      <c r="C1212" t="s">
        <v>1615</v>
      </c>
      <c r="D1212" t="s">
        <v>1704</v>
      </c>
      <c r="E1212" s="45">
        <v>10</v>
      </c>
      <c r="F1212" t="s">
        <v>1441</v>
      </c>
      <c r="I1212" s="152"/>
    </row>
    <row r="1213" spans="2:9" customFormat="1" ht="14.4" x14ac:dyDescent="0.3">
      <c r="B1213" t="s">
        <v>1692</v>
      </c>
      <c r="C1213" t="s">
        <v>1615</v>
      </c>
      <c r="D1213" t="s">
        <v>1705</v>
      </c>
      <c r="E1213" s="45">
        <v>12</v>
      </c>
      <c r="F1213" t="s">
        <v>1441</v>
      </c>
      <c r="I1213" s="152"/>
    </row>
    <row r="1214" spans="2:9" customFormat="1" ht="14.4" x14ac:dyDescent="0.3">
      <c r="B1214" t="s">
        <v>1692</v>
      </c>
      <c r="C1214" t="s">
        <v>1615</v>
      </c>
      <c r="D1214" t="s">
        <v>1704</v>
      </c>
      <c r="E1214" s="45">
        <v>27</v>
      </c>
      <c r="F1214" t="s">
        <v>1441</v>
      </c>
      <c r="I1214" s="152"/>
    </row>
    <row r="1215" spans="2:9" customFormat="1" ht="14.4" x14ac:dyDescent="0.3">
      <c r="B1215" t="s">
        <v>1692</v>
      </c>
      <c r="C1215" t="s">
        <v>1615</v>
      </c>
      <c r="D1215" t="s">
        <v>1669</v>
      </c>
      <c r="E1215" s="45">
        <v>10</v>
      </c>
      <c r="F1215" t="s">
        <v>1441</v>
      </c>
      <c r="I1215" s="152"/>
    </row>
    <row r="1216" spans="2:9" customFormat="1" ht="14.4" x14ac:dyDescent="0.3">
      <c r="B1216" t="s">
        <v>1692</v>
      </c>
      <c r="C1216" t="s">
        <v>1615</v>
      </c>
      <c r="D1216" t="s">
        <v>1706</v>
      </c>
      <c r="E1216" s="45">
        <v>20</v>
      </c>
      <c r="F1216" t="s">
        <v>1441</v>
      </c>
      <c r="I1216" s="152"/>
    </row>
    <row r="1217" spans="2:9" customFormat="1" ht="14.4" x14ac:dyDescent="0.3">
      <c r="B1217" t="s">
        <v>1692</v>
      </c>
      <c r="C1217" t="s">
        <v>1615</v>
      </c>
      <c r="D1217" t="s">
        <v>1707</v>
      </c>
      <c r="E1217" s="45">
        <v>41</v>
      </c>
      <c r="F1217" t="s">
        <v>1441</v>
      </c>
      <c r="I1217" s="152"/>
    </row>
    <row r="1218" spans="2:9" customFormat="1" ht="14.4" x14ac:dyDescent="0.3">
      <c r="B1218" t="s">
        <v>1692</v>
      </c>
      <c r="C1218" t="s">
        <v>1615</v>
      </c>
      <c r="D1218" t="s">
        <v>1708</v>
      </c>
      <c r="E1218" s="45">
        <v>44</v>
      </c>
      <c r="F1218" t="s">
        <v>1441</v>
      </c>
      <c r="I1218" s="152"/>
    </row>
    <row r="1219" spans="2:9" customFormat="1" ht="14.4" x14ac:dyDescent="0.3">
      <c r="B1219" t="s">
        <v>1692</v>
      </c>
      <c r="C1219" t="s">
        <v>1615</v>
      </c>
      <c r="D1219" t="s">
        <v>1669</v>
      </c>
      <c r="E1219" s="45">
        <v>20</v>
      </c>
      <c r="F1219" t="s">
        <v>1441</v>
      </c>
      <c r="I1219" s="152"/>
    </row>
    <row r="1220" spans="2:9" customFormat="1" ht="14.4" x14ac:dyDescent="0.3">
      <c r="B1220" t="s">
        <v>1692</v>
      </c>
      <c r="C1220" t="s">
        <v>1615</v>
      </c>
      <c r="D1220" t="s">
        <v>1709</v>
      </c>
      <c r="E1220" s="45">
        <v>43</v>
      </c>
      <c r="F1220" t="s">
        <v>1441</v>
      </c>
      <c r="I1220" s="152"/>
    </row>
    <row r="1221" spans="2:9" customFormat="1" ht="14.4" x14ac:dyDescent="0.3">
      <c r="B1221" t="s">
        <v>1692</v>
      </c>
      <c r="C1221" t="s">
        <v>1615</v>
      </c>
      <c r="D1221" t="s">
        <v>1710</v>
      </c>
      <c r="E1221" s="45">
        <v>20</v>
      </c>
      <c r="F1221" t="s">
        <v>1441</v>
      </c>
      <c r="I1221" s="152"/>
    </row>
    <row r="1222" spans="2:9" customFormat="1" ht="14.4" x14ac:dyDescent="0.3">
      <c r="B1222" t="s">
        <v>1692</v>
      </c>
      <c r="C1222" t="s">
        <v>1615</v>
      </c>
      <c r="D1222" t="s">
        <v>1711</v>
      </c>
      <c r="E1222" s="45">
        <v>17</v>
      </c>
      <c r="F1222" t="s">
        <v>1441</v>
      </c>
      <c r="I1222" s="152"/>
    </row>
    <row r="1223" spans="2:9" customFormat="1" ht="14.4" x14ac:dyDescent="0.3">
      <c r="B1223" t="s">
        <v>1692</v>
      </c>
      <c r="C1223" t="s">
        <v>1615</v>
      </c>
      <c r="D1223" t="s">
        <v>1712</v>
      </c>
      <c r="E1223" s="45">
        <v>17</v>
      </c>
      <c r="F1223" t="s">
        <v>1441</v>
      </c>
      <c r="I1223" s="152"/>
    </row>
    <row r="1224" spans="2:9" customFormat="1" ht="14.4" x14ac:dyDescent="0.3">
      <c r="B1224" t="s">
        <v>1692</v>
      </c>
      <c r="C1224" t="s">
        <v>1615</v>
      </c>
      <c r="D1224" t="s">
        <v>1713</v>
      </c>
      <c r="E1224" s="45">
        <v>20</v>
      </c>
      <c r="F1224" t="s">
        <v>1441</v>
      </c>
      <c r="I1224" s="152"/>
    </row>
    <row r="1225" spans="2:9" customFormat="1" ht="14.4" x14ac:dyDescent="0.3">
      <c r="B1225" t="s">
        <v>1692</v>
      </c>
      <c r="C1225" t="s">
        <v>1615</v>
      </c>
      <c r="D1225" t="s">
        <v>1714</v>
      </c>
      <c r="E1225" s="45">
        <v>20</v>
      </c>
      <c r="F1225" t="s">
        <v>1441</v>
      </c>
      <c r="I1225" s="152"/>
    </row>
    <row r="1226" spans="2:9" customFormat="1" ht="14.4" x14ac:dyDescent="0.3">
      <c r="B1226" t="s">
        <v>1692</v>
      </c>
      <c r="C1226" t="s">
        <v>1615</v>
      </c>
      <c r="D1226" t="s">
        <v>1707</v>
      </c>
      <c r="E1226" s="45">
        <v>50</v>
      </c>
      <c r="F1226" t="s">
        <v>1441</v>
      </c>
      <c r="I1226" s="152"/>
    </row>
    <row r="1227" spans="2:9" customFormat="1" ht="14.4" x14ac:dyDescent="0.3">
      <c r="B1227" t="s">
        <v>1692</v>
      </c>
      <c r="C1227" t="s">
        <v>1615</v>
      </c>
      <c r="D1227" t="s">
        <v>1715</v>
      </c>
      <c r="E1227" s="45">
        <v>45</v>
      </c>
      <c r="F1227" t="s">
        <v>1441</v>
      </c>
      <c r="I1227" s="152"/>
    </row>
    <row r="1228" spans="2:9" customFormat="1" ht="14.4" x14ac:dyDescent="0.3">
      <c r="B1228" t="s">
        <v>1692</v>
      </c>
      <c r="C1228" t="s">
        <v>1615</v>
      </c>
      <c r="D1228" t="s">
        <v>1711</v>
      </c>
      <c r="E1228" s="45">
        <v>15</v>
      </c>
      <c r="F1228" t="s">
        <v>1441</v>
      </c>
      <c r="I1228" s="152"/>
    </row>
    <row r="1229" spans="2:9" customFormat="1" ht="14.4" x14ac:dyDescent="0.3">
      <c r="B1229" t="s">
        <v>1692</v>
      </c>
      <c r="C1229" t="s">
        <v>1615</v>
      </c>
      <c r="D1229" t="s">
        <v>1677</v>
      </c>
      <c r="E1229" s="45">
        <v>15</v>
      </c>
      <c r="F1229" t="s">
        <v>1441</v>
      </c>
      <c r="I1229" s="152"/>
    </row>
    <row r="1230" spans="2:9" customFormat="1" ht="14.4" x14ac:dyDescent="0.3">
      <c r="B1230" t="s">
        <v>1692</v>
      </c>
      <c r="C1230" t="s">
        <v>1615</v>
      </c>
      <c r="D1230" t="s">
        <v>1696</v>
      </c>
      <c r="E1230" s="45">
        <v>20</v>
      </c>
      <c r="F1230" t="s">
        <v>1441</v>
      </c>
      <c r="I1230" s="152"/>
    </row>
    <row r="1231" spans="2:9" customFormat="1" ht="14.4" x14ac:dyDescent="0.3">
      <c r="B1231" t="s">
        <v>1692</v>
      </c>
      <c r="C1231" t="s">
        <v>1615</v>
      </c>
      <c r="D1231" t="s">
        <v>1716</v>
      </c>
      <c r="E1231" s="45">
        <v>35</v>
      </c>
      <c r="F1231" t="s">
        <v>1441</v>
      </c>
      <c r="I1231" s="152"/>
    </row>
    <row r="1232" spans="2:9" customFormat="1" ht="14.4" x14ac:dyDescent="0.3">
      <c r="B1232" t="s">
        <v>1692</v>
      </c>
      <c r="C1232" t="s">
        <v>1615</v>
      </c>
      <c r="D1232" t="s">
        <v>1717</v>
      </c>
      <c r="E1232" s="45">
        <v>25</v>
      </c>
      <c r="F1232" t="s">
        <v>1441</v>
      </c>
      <c r="I1232" s="152"/>
    </row>
    <row r="1233" spans="2:9" customFormat="1" ht="14.4" x14ac:dyDescent="0.3">
      <c r="B1233" t="s">
        <v>1692</v>
      </c>
      <c r="C1233" t="s">
        <v>1615</v>
      </c>
      <c r="D1233" t="s">
        <v>1718</v>
      </c>
      <c r="E1233" s="45">
        <v>34</v>
      </c>
      <c r="F1233" t="s">
        <v>1441</v>
      </c>
      <c r="I1233" s="152"/>
    </row>
    <row r="1234" spans="2:9" customFormat="1" ht="14.4" x14ac:dyDescent="0.3">
      <c r="B1234" t="s">
        <v>1692</v>
      </c>
      <c r="C1234" t="s">
        <v>1615</v>
      </c>
      <c r="D1234" t="s">
        <v>1719</v>
      </c>
      <c r="E1234" s="45">
        <v>27</v>
      </c>
      <c r="F1234" t="s">
        <v>1441</v>
      </c>
      <c r="I1234" s="152"/>
    </row>
    <row r="1235" spans="2:9" customFormat="1" ht="14.4" x14ac:dyDescent="0.3">
      <c r="B1235" t="s">
        <v>1692</v>
      </c>
      <c r="C1235" t="s">
        <v>1615</v>
      </c>
      <c r="D1235" t="s">
        <v>1720</v>
      </c>
      <c r="E1235" s="45">
        <v>5</v>
      </c>
      <c r="F1235" t="s">
        <v>1441</v>
      </c>
      <c r="I1235" s="152"/>
    </row>
    <row r="1236" spans="2:9" customFormat="1" ht="14.4" x14ac:dyDescent="0.3">
      <c r="B1236" t="s">
        <v>1692</v>
      </c>
      <c r="C1236" t="s">
        <v>1615</v>
      </c>
      <c r="D1236" t="s">
        <v>1720</v>
      </c>
      <c r="E1236" s="45">
        <v>5</v>
      </c>
      <c r="F1236" t="s">
        <v>1441</v>
      </c>
      <c r="I1236" s="152"/>
    </row>
    <row r="1237" spans="2:9" customFormat="1" ht="14.4" x14ac:dyDescent="0.3">
      <c r="B1237" t="s">
        <v>1692</v>
      </c>
      <c r="C1237" t="s">
        <v>1615</v>
      </c>
      <c r="D1237" t="s">
        <v>1721</v>
      </c>
      <c r="E1237" s="45">
        <v>30</v>
      </c>
      <c r="F1237" t="s">
        <v>1441</v>
      </c>
      <c r="I1237" s="152"/>
    </row>
    <row r="1238" spans="2:9" customFormat="1" ht="14.4" x14ac:dyDescent="0.3">
      <c r="B1238" t="s">
        <v>1692</v>
      </c>
      <c r="C1238" t="s">
        <v>1615</v>
      </c>
      <c r="D1238" t="s">
        <v>1721</v>
      </c>
      <c r="E1238" s="45">
        <v>60</v>
      </c>
      <c r="F1238" t="s">
        <v>1441</v>
      </c>
      <c r="I1238" s="152"/>
    </row>
    <row r="1239" spans="2:9" customFormat="1" ht="14.4" x14ac:dyDescent="0.3">
      <c r="B1239" t="s">
        <v>1692</v>
      </c>
      <c r="C1239" t="s">
        <v>1615</v>
      </c>
      <c r="D1239" t="s">
        <v>1722</v>
      </c>
      <c r="E1239" s="45">
        <v>20</v>
      </c>
      <c r="F1239" t="s">
        <v>1441</v>
      </c>
      <c r="I1239" s="152"/>
    </row>
    <row r="1240" spans="2:9" customFormat="1" ht="14.4" x14ac:dyDescent="0.3">
      <c r="B1240" t="s">
        <v>1692</v>
      </c>
      <c r="C1240" t="s">
        <v>1615</v>
      </c>
      <c r="D1240" t="s">
        <v>1723</v>
      </c>
      <c r="E1240" s="45">
        <v>10</v>
      </c>
      <c r="F1240" t="s">
        <v>1441</v>
      </c>
      <c r="I1240" s="152"/>
    </row>
    <row r="1241" spans="2:9" customFormat="1" ht="14.4" x14ac:dyDescent="0.3">
      <c r="B1241" t="s">
        <v>1692</v>
      </c>
      <c r="C1241" t="s">
        <v>1615</v>
      </c>
      <c r="D1241" t="s">
        <v>1724</v>
      </c>
      <c r="E1241" s="45">
        <v>30</v>
      </c>
      <c r="F1241" t="s">
        <v>1441</v>
      </c>
      <c r="I1241" s="152"/>
    </row>
    <row r="1242" spans="2:9" customFormat="1" ht="14.4" x14ac:dyDescent="0.3">
      <c r="B1242" t="s">
        <v>1692</v>
      </c>
      <c r="C1242" t="s">
        <v>1615</v>
      </c>
      <c r="D1242" t="s">
        <v>1725</v>
      </c>
      <c r="E1242" s="45">
        <v>45</v>
      </c>
      <c r="F1242" t="s">
        <v>1441</v>
      </c>
      <c r="I1242" s="152"/>
    </row>
    <row r="1243" spans="2:9" customFormat="1" ht="14.4" x14ac:dyDescent="0.3">
      <c r="B1243" t="s">
        <v>1692</v>
      </c>
      <c r="C1243" t="s">
        <v>1615</v>
      </c>
      <c r="D1243" t="s">
        <v>1726</v>
      </c>
      <c r="E1243" s="45">
        <v>40</v>
      </c>
      <c r="F1243" t="s">
        <v>1441</v>
      </c>
      <c r="I1243" s="152"/>
    </row>
    <row r="1244" spans="2:9" customFormat="1" ht="14.4" x14ac:dyDescent="0.3">
      <c r="B1244" t="s">
        <v>1692</v>
      </c>
      <c r="C1244" t="s">
        <v>1615</v>
      </c>
      <c r="D1244" t="s">
        <v>1727</v>
      </c>
      <c r="E1244" s="45">
        <v>50</v>
      </c>
      <c r="F1244" t="s">
        <v>1441</v>
      </c>
      <c r="I1244" s="152"/>
    </row>
    <row r="1245" spans="2:9" customFormat="1" ht="14.4" x14ac:dyDescent="0.3">
      <c r="B1245" t="s">
        <v>1728</v>
      </c>
      <c r="C1245" t="s">
        <v>144</v>
      </c>
      <c r="D1245" t="s">
        <v>145</v>
      </c>
      <c r="E1245" s="45">
        <v>10650</v>
      </c>
      <c r="F1245" t="s">
        <v>1730</v>
      </c>
      <c r="G1245" t="s">
        <v>580</v>
      </c>
      <c r="I1245" s="152" t="s">
        <v>1770</v>
      </c>
    </row>
    <row r="1246" spans="2:9" customFormat="1" ht="14.4" x14ac:dyDescent="0.3">
      <c r="B1246" t="s">
        <v>1728</v>
      </c>
      <c r="C1246" t="s">
        <v>1729</v>
      </c>
      <c r="D1246" t="s">
        <v>284</v>
      </c>
      <c r="E1246" s="45">
        <v>3685</v>
      </c>
      <c r="F1246" t="s">
        <v>508</v>
      </c>
      <c r="G1246" t="s">
        <v>580</v>
      </c>
      <c r="H1246" t="s">
        <v>342</v>
      </c>
      <c r="I1246" s="229" t="s">
        <v>1767</v>
      </c>
    </row>
    <row r="1247" spans="2:9" customFormat="1" ht="14.4" x14ac:dyDescent="0.3">
      <c r="B1247" t="s">
        <v>1728</v>
      </c>
      <c r="C1247" t="s">
        <v>838</v>
      </c>
      <c r="D1247" t="s">
        <v>101</v>
      </c>
      <c r="E1247" s="45">
        <v>-828</v>
      </c>
      <c r="F1247" t="s">
        <v>46</v>
      </c>
      <c r="G1247" t="s">
        <v>586</v>
      </c>
      <c r="H1247" t="s">
        <v>586</v>
      </c>
      <c r="I1247" s="152"/>
    </row>
    <row r="1248" spans="2:9" customFormat="1" ht="14.4" x14ac:dyDescent="0.3">
      <c r="B1248" t="s">
        <v>1728</v>
      </c>
      <c r="C1248" t="s">
        <v>951</v>
      </c>
      <c r="D1248" t="s">
        <v>101</v>
      </c>
      <c r="E1248" s="45">
        <v>-23189</v>
      </c>
      <c r="F1248" t="s">
        <v>46</v>
      </c>
      <c r="G1248" t="s">
        <v>580</v>
      </c>
      <c r="H1248" t="s">
        <v>592</v>
      </c>
      <c r="I1248" s="152"/>
    </row>
    <row r="1249" spans="2:9" customFormat="1" ht="14.4" x14ac:dyDescent="0.3">
      <c r="B1249" t="s">
        <v>1728</v>
      </c>
      <c r="C1249" t="s">
        <v>975</v>
      </c>
      <c r="D1249" t="s">
        <v>101</v>
      </c>
      <c r="E1249" s="45">
        <v>-9845</v>
      </c>
      <c r="F1249" t="s">
        <v>46</v>
      </c>
      <c r="G1249" t="s">
        <v>107</v>
      </c>
      <c r="I1249" s="152"/>
    </row>
    <row r="1250" spans="2:9" customFormat="1" ht="14.4" x14ac:dyDescent="0.3">
      <c r="B1250" t="s">
        <v>1728</v>
      </c>
      <c r="C1250" t="s">
        <v>1730</v>
      </c>
      <c r="D1250" t="s">
        <v>101</v>
      </c>
      <c r="E1250" s="45">
        <v>-5000</v>
      </c>
      <c r="F1250" t="s">
        <v>1730</v>
      </c>
      <c r="G1250" t="s">
        <v>580</v>
      </c>
      <c r="I1250" s="152" t="s">
        <v>1758</v>
      </c>
    </row>
    <row r="1251" spans="2:9" customFormat="1" ht="14.4" x14ac:dyDescent="0.3">
      <c r="B1251" t="s">
        <v>1731</v>
      </c>
      <c r="C1251" t="s">
        <v>144</v>
      </c>
      <c r="D1251" t="s">
        <v>145</v>
      </c>
      <c r="E1251" s="45">
        <v>9200</v>
      </c>
      <c r="F1251" t="s">
        <v>22</v>
      </c>
      <c r="G1251" t="s">
        <v>580</v>
      </c>
      <c r="H1251" s="228" t="s">
        <v>1158</v>
      </c>
      <c r="I1251" s="152"/>
    </row>
    <row r="1252" spans="2:9" customFormat="1" ht="14.4" x14ac:dyDescent="0.3">
      <c r="B1252" t="s">
        <v>1731</v>
      </c>
      <c r="C1252" t="s">
        <v>838</v>
      </c>
      <c r="D1252" t="s">
        <v>101</v>
      </c>
      <c r="E1252" s="45">
        <v>-5377</v>
      </c>
      <c r="F1252" t="s">
        <v>46</v>
      </c>
      <c r="I1252" s="229" t="s">
        <v>1769</v>
      </c>
    </row>
    <row r="1253" spans="2:9" customFormat="1" ht="14.4" x14ac:dyDescent="0.3">
      <c r="B1253" t="s">
        <v>1731</v>
      </c>
      <c r="C1253" t="s">
        <v>508</v>
      </c>
      <c r="D1253" t="s">
        <v>101</v>
      </c>
      <c r="E1253" s="45">
        <v>-3760</v>
      </c>
      <c r="F1253" t="s">
        <v>508</v>
      </c>
      <c r="G1253" t="s">
        <v>107</v>
      </c>
      <c r="I1253" s="152"/>
    </row>
    <row r="1254" spans="2:9" customFormat="1" ht="14.4" x14ac:dyDescent="0.3">
      <c r="B1254" t="s">
        <v>1731</v>
      </c>
      <c r="C1254" t="s">
        <v>1730</v>
      </c>
      <c r="D1254" t="s">
        <v>101</v>
      </c>
      <c r="E1254" s="45">
        <v>-1969</v>
      </c>
      <c r="F1254" t="s">
        <v>1730</v>
      </c>
      <c r="G1254" t="s">
        <v>580</v>
      </c>
      <c r="I1254" s="152" t="s">
        <v>1768</v>
      </c>
    </row>
    <row r="1255" spans="2:9" customFormat="1" ht="14.4" x14ac:dyDescent="0.3">
      <c r="B1255" t="s">
        <v>1732</v>
      </c>
      <c r="C1255" t="s">
        <v>144</v>
      </c>
      <c r="D1255" t="s">
        <v>145</v>
      </c>
      <c r="E1255" s="45">
        <v>8100</v>
      </c>
      <c r="F1255" t="s">
        <v>22</v>
      </c>
      <c r="G1255" t="s">
        <v>580</v>
      </c>
      <c r="H1255" s="228" t="s">
        <v>438</v>
      </c>
      <c r="I1255" s="152"/>
    </row>
    <row r="1256" spans="2:9" customFormat="1" ht="28.8" x14ac:dyDescent="0.3">
      <c r="B1256" t="s">
        <v>1733</v>
      </c>
      <c r="C1256" t="s">
        <v>144</v>
      </c>
      <c r="D1256" t="s">
        <v>145</v>
      </c>
      <c r="E1256" s="45">
        <v>36040</v>
      </c>
      <c r="G1256" t="s">
        <v>107</v>
      </c>
      <c r="H1256" s="228" t="s">
        <v>592</v>
      </c>
      <c r="I1256" s="229" t="s">
        <v>1775</v>
      </c>
    </row>
    <row r="1257" spans="2:9" customFormat="1" ht="14.4" x14ac:dyDescent="0.3">
      <c r="B1257" t="s">
        <v>1733</v>
      </c>
      <c r="C1257" t="s">
        <v>995</v>
      </c>
      <c r="D1257" t="s">
        <v>126</v>
      </c>
      <c r="E1257" s="45">
        <v>-670</v>
      </c>
      <c r="F1257" t="s">
        <v>39</v>
      </c>
      <c r="G1257" t="s">
        <v>586</v>
      </c>
      <c r="H1257" t="s">
        <v>586</v>
      </c>
      <c r="I1257" s="152"/>
    </row>
    <row r="1258" spans="2:9" customFormat="1" ht="14.4" x14ac:dyDescent="0.3">
      <c r="B1258" t="s">
        <v>1733</v>
      </c>
      <c r="C1258" t="s">
        <v>995</v>
      </c>
      <c r="D1258" t="s">
        <v>126</v>
      </c>
      <c r="E1258" s="45">
        <v>-610</v>
      </c>
      <c r="F1258" t="s">
        <v>39</v>
      </c>
      <c r="G1258" t="s">
        <v>586</v>
      </c>
      <c r="H1258" t="s">
        <v>586</v>
      </c>
      <c r="I1258" s="152"/>
    </row>
    <row r="1259" spans="2:9" customFormat="1" ht="14.4" x14ac:dyDescent="0.3">
      <c r="B1259" t="s">
        <v>1733</v>
      </c>
      <c r="C1259" t="s">
        <v>995</v>
      </c>
      <c r="D1259" t="s">
        <v>126</v>
      </c>
      <c r="E1259" s="45">
        <v>-670</v>
      </c>
      <c r="F1259" t="s">
        <v>39</v>
      </c>
      <c r="G1259" t="s">
        <v>586</v>
      </c>
      <c r="H1259" t="s">
        <v>586</v>
      </c>
      <c r="I1259" s="152"/>
    </row>
    <row r="1260" spans="2:9" customFormat="1" ht="14.4" x14ac:dyDescent="0.3">
      <c r="B1260" t="s">
        <v>1733</v>
      </c>
      <c r="C1260" t="s">
        <v>1615</v>
      </c>
      <c r="D1260" t="s">
        <v>1734</v>
      </c>
      <c r="E1260" s="45">
        <v>25</v>
      </c>
      <c r="F1260" t="s">
        <v>1441</v>
      </c>
      <c r="I1260" s="152"/>
    </row>
    <row r="1261" spans="2:9" customFormat="1" ht="14.4" x14ac:dyDescent="0.3">
      <c r="B1261" t="s">
        <v>1733</v>
      </c>
      <c r="C1261" t="s">
        <v>1615</v>
      </c>
      <c r="D1261" t="s">
        <v>1735</v>
      </c>
      <c r="E1261" s="45">
        <v>92</v>
      </c>
      <c r="F1261" t="s">
        <v>1441</v>
      </c>
      <c r="I1261" s="152"/>
    </row>
    <row r="1262" spans="2:9" customFormat="1" ht="14.4" x14ac:dyDescent="0.3">
      <c r="B1262" t="s">
        <v>1733</v>
      </c>
      <c r="C1262" t="s">
        <v>1615</v>
      </c>
      <c r="D1262" t="s">
        <v>1722</v>
      </c>
      <c r="E1262" s="45">
        <v>20</v>
      </c>
      <c r="F1262" t="s">
        <v>1441</v>
      </c>
      <c r="I1262" s="152"/>
    </row>
    <row r="1263" spans="2:9" customFormat="1" ht="14.4" x14ac:dyDescent="0.3">
      <c r="B1263" t="s">
        <v>1733</v>
      </c>
      <c r="C1263" t="s">
        <v>1615</v>
      </c>
      <c r="D1263" t="s">
        <v>1736</v>
      </c>
      <c r="E1263" s="45">
        <v>15</v>
      </c>
      <c r="F1263" t="s">
        <v>1441</v>
      </c>
      <c r="I1263" s="152"/>
    </row>
    <row r="1264" spans="2:9" customFormat="1" ht="14.4" x14ac:dyDescent="0.3">
      <c r="B1264" t="s">
        <v>1733</v>
      </c>
      <c r="C1264" t="s">
        <v>1615</v>
      </c>
      <c r="D1264" t="s">
        <v>1737</v>
      </c>
      <c r="E1264" s="45">
        <v>10</v>
      </c>
      <c r="F1264" t="s">
        <v>1441</v>
      </c>
      <c r="I1264" s="152"/>
    </row>
    <row r="1265" spans="1:9" customFormat="1" ht="14.4" x14ac:dyDescent="0.3">
      <c r="B1265" t="s">
        <v>1733</v>
      </c>
      <c r="C1265" t="s">
        <v>1615</v>
      </c>
      <c r="D1265" t="s">
        <v>1737</v>
      </c>
      <c r="E1265" s="45">
        <v>25</v>
      </c>
      <c r="F1265" t="s">
        <v>1441</v>
      </c>
      <c r="I1265" s="152"/>
    </row>
    <row r="1266" spans="1:9" customFormat="1" ht="14.4" x14ac:dyDescent="0.3">
      <c r="B1266" t="s">
        <v>1733</v>
      </c>
      <c r="C1266" t="s">
        <v>1615</v>
      </c>
      <c r="D1266" t="s">
        <v>1738</v>
      </c>
      <c r="E1266" s="45">
        <v>60</v>
      </c>
      <c r="F1266" t="s">
        <v>1441</v>
      </c>
      <c r="I1266" s="152"/>
    </row>
    <row r="1267" spans="1:9" customFormat="1" ht="14.4" x14ac:dyDescent="0.3">
      <c r="B1267" t="s">
        <v>1733</v>
      </c>
      <c r="C1267" t="s">
        <v>1615</v>
      </c>
      <c r="D1267" t="s">
        <v>1739</v>
      </c>
      <c r="E1267" s="45">
        <v>120</v>
      </c>
      <c r="F1267" t="s">
        <v>1441</v>
      </c>
      <c r="I1267" s="152"/>
    </row>
    <row r="1268" spans="1:9" customFormat="1" ht="14.4" x14ac:dyDescent="0.3">
      <c r="B1268" t="s">
        <v>1733</v>
      </c>
      <c r="C1268" t="s">
        <v>1615</v>
      </c>
      <c r="D1268" t="s">
        <v>1740</v>
      </c>
      <c r="E1268" s="45">
        <v>15</v>
      </c>
      <c r="F1268" t="s">
        <v>1441</v>
      </c>
      <c r="I1268" s="152"/>
    </row>
    <row r="1269" spans="1:9" customFormat="1" ht="14.4" x14ac:dyDescent="0.3">
      <c r="B1269" t="s">
        <v>1733</v>
      </c>
      <c r="C1269" t="s">
        <v>1615</v>
      </c>
      <c r="D1269" t="s">
        <v>1741</v>
      </c>
      <c r="E1269" s="45">
        <v>40</v>
      </c>
      <c r="F1269" t="s">
        <v>1441</v>
      </c>
      <c r="I1269" s="152"/>
    </row>
    <row r="1270" spans="1:9" customFormat="1" ht="14.4" x14ac:dyDescent="0.3">
      <c r="B1270" t="s">
        <v>1733</v>
      </c>
      <c r="C1270" t="s">
        <v>1615</v>
      </c>
      <c r="D1270" t="s">
        <v>1742</v>
      </c>
      <c r="E1270" s="45">
        <v>10</v>
      </c>
      <c r="F1270" t="s">
        <v>1441</v>
      </c>
      <c r="I1270" s="152"/>
    </row>
    <row r="1271" spans="1:9" customFormat="1" ht="14.4" x14ac:dyDescent="0.3">
      <c r="B1271" t="s">
        <v>1733</v>
      </c>
      <c r="C1271" t="s">
        <v>1615</v>
      </c>
      <c r="D1271" t="s">
        <v>1743</v>
      </c>
      <c r="E1271" s="45">
        <v>15</v>
      </c>
      <c r="F1271" t="s">
        <v>1441</v>
      </c>
      <c r="I1271" s="152"/>
    </row>
    <row r="1272" spans="1:9" customFormat="1" ht="14.4" x14ac:dyDescent="0.3">
      <c r="B1272" t="s">
        <v>1744</v>
      </c>
      <c r="C1272" t="s">
        <v>144</v>
      </c>
      <c r="D1272" t="s">
        <v>145</v>
      </c>
      <c r="E1272" s="45">
        <v>10000</v>
      </c>
      <c r="F1272" t="s">
        <v>46</v>
      </c>
      <c r="G1272" t="s">
        <v>580</v>
      </c>
      <c r="H1272" t="s">
        <v>592</v>
      </c>
      <c r="I1272" s="229" t="s">
        <v>1765</v>
      </c>
    </row>
    <row r="1273" spans="1:9" customFormat="1" ht="14.4" x14ac:dyDescent="0.3">
      <c r="A1273" s="166"/>
      <c r="B1273" s="166" t="s">
        <v>1744</v>
      </c>
      <c r="C1273" s="166" t="s">
        <v>1144</v>
      </c>
      <c r="D1273" s="166" t="s">
        <v>126</v>
      </c>
      <c r="E1273" s="167">
        <v>-1600</v>
      </c>
      <c r="F1273" s="166"/>
      <c r="G1273" s="166"/>
      <c r="H1273" s="166"/>
      <c r="I1273" s="152"/>
    </row>
    <row r="1274" spans="1:9" customFormat="1" ht="14.4" x14ac:dyDescent="0.3">
      <c r="B1274" t="s">
        <v>1745</v>
      </c>
      <c r="C1274" t="s">
        <v>144</v>
      </c>
      <c r="D1274" t="s">
        <v>145</v>
      </c>
      <c r="E1274" s="45">
        <v>2354</v>
      </c>
      <c r="G1274" t="s">
        <v>107</v>
      </c>
      <c r="I1274" s="229" t="s">
        <v>1763</v>
      </c>
    </row>
    <row r="1275" spans="1:9" customFormat="1" ht="14.4" x14ac:dyDescent="0.3">
      <c r="B1275" t="s">
        <v>1745</v>
      </c>
      <c r="C1275" t="s">
        <v>1104</v>
      </c>
      <c r="D1275" t="s">
        <v>101</v>
      </c>
      <c r="E1275" s="45">
        <v>-8271</v>
      </c>
      <c r="F1275" t="s">
        <v>46</v>
      </c>
      <c r="G1275" t="s">
        <v>580</v>
      </c>
      <c r="H1275" t="s">
        <v>858</v>
      </c>
      <c r="I1275" s="152"/>
    </row>
    <row r="1276" spans="1:9" customFormat="1" ht="14.4" x14ac:dyDescent="0.3">
      <c r="B1276" t="s">
        <v>1745</v>
      </c>
      <c r="C1276" t="s">
        <v>838</v>
      </c>
      <c r="D1276" t="s">
        <v>101</v>
      </c>
      <c r="E1276" s="45">
        <v>-7365</v>
      </c>
      <c r="F1276" t="s">
        <v>46</v>
      </c>
      <c r="G1276" t="s">
        <v>586</v>
      </c>
      <c r="H1276" t="s">
        <v>586</v>
      </c>
      <c r="I1276" s="152"/>
    </row>
    <row r="1277" spans="1:9" customFormat="1" ht="14.4" x14ac:dyDescent="0.3">
      <c r="B1277" t="s">
        <v>1745</v>
      </c>
      <c r="C1277" t="s">
        <v>948</v>
      </c>
      <c r="D1277" t="s">
        <v>122</v>
      </c>
      <c r="E1277" s="45">
        <v>-6600</v>
      </c>
      <c r="F1277" t="s">
        <v>154</v>
      </c>
      <c r="G1277" t="s">
        <v>580</v>
      </c>
      <c r="I1277" s="152" t="s">
        <v>1764</v>
      </c>
    </row>
    <row r="1278" spans="1:9" customFormat="1" ht="14.4" x14ac:dyDescent="0.3">
      <c r="B1278" t="s">
        <v>1746</v>
      </c>
      <c r="C1278" t="s">
        <v>144</v>
      </c>
      <c r="D1278" t="s">
        <v>145</v>
      </c>
      <c r="E1278" s="45">
        <v>10016</v>
      </c>
      <c r="F1278" t="s">
        <v>46</v>
      </c>
      <c r="G1278" t="s">
        <v>580</v>
      </c>
      <c r="H1278" t="s">
        <v>582</v>
      </c>
      <c r="I1278" s="229" t="s">
        <v>1761</v>
      </c>
    </row>
    <row r="1279" spans="1:9" customFormat="1" ht="14.4" x14ac:dyDescent="0.3">
      <c r="B1279" t="s">
        <v>1746</v>
      </c>
      <c r="C1279" t="s">
        <v>942</v>
      </c>
      <c r="D1279" t="s">
        <v>126</v>
      </c>
      <c r="E1279" s="45">
        <v>-605</v>
      </c>
      <c r="F1279" t="s">
        <v>39</v>
      </c>
      <c r="G1279" t="s">
        <v>580</v>
      </c>
      <c r="H1279" t="s">
        <v>592</v>
      </c>
      <c r="I1279" s="152"/>
    </row>
    <row r="1280" spans="1:9" customFormat="1" ht="14.4" x14ac:dyDescent="0.3">
      <c r="B1280" t="s">
        <v>1746</v>
      </c>
      <c r="C1280" t="s">
        <v>998</v>
      </c>
      <c r="D1280" t="s">
        <v>126</v>
      </c>
      <c r="E1280" s="45">
        <v>-425</v>
      </c>
      <c r="F1280" t="s">
        <v>39</v>
      </c>
      <c r="G1280" t="s">
        <v>580</v>
      </c>
      <c r="H1280" t="s">
        <v>438</v>
      </c>
      <c r="I1280" s="152"/>
    </row>
    <row r="1281" spans="1:9" customFormat="1" ht="14.4" x14ac:dyDescent="0.3">
      <c r="B1281" t="s">
        <v>1746</v>
      </c>
      <c r="C1281" t="s">
        <v>838</v>
      </c>
      <c r="D1281" t="s">
        <v>101</v>
      </c>
      <c r="E1281" s="45">
        <v>-247</v>
      </c>
      <c r="F1281" t="s">
        <v>46</v>
      </c>
      <c r="G1281" t="s">
        <v>586</v>
      </c>
      <c r="H1281" t="s">
        <v>586</v>
      </c>
      <c r="I1281" s="152"/>
    </row>
    <row r="1282" spans="1:9" customFormat="1" ht="14.4" x14ac:dyDescent="0.3">
      <c r="B1282" t="s">
        <v>1746</v>
      </c>
      <c r="C1282" t="s">
        <v>1404</v>
      </c>
      <c r="D1282" t="s">
        <v>101</v>
      </c>
      <c r="E1282" s="45">
        <v>-1439</v>
      </c>
      <c r="F1282" t="s">
        <v>46</v>
      </c>
      <c r="H1282" t="s">
        <v>586</v>
      </c>
      <c r="I1282" s="152" t="s">
        <v>1762</v>
      </c>
    </row>
    <row r="1283" spans="1:9" customFormat="1" ht="14.4" x14ac:dyDescent="0.3">
      <c r="B1283" t="s">
        <v>1747</v>
      </c>
      <c r="C1283" t="s">
        <v>144</v>
      </c>
      <c r="D1283" t="s">
        <v>145</v>
      </c>
      <c r="E1283" s="45">
        <v>27694</v>
      </c>
      <c r="F1283" t="s">
        <v>1157</v>
      </c>
      <c r="I1283" s="152" t="s">
        <v>1760</v>
      </c>
    </row>
    <row r="1284" spans="1:9" customFormat="1" ht="14.4" x14ac:dyDescent="0.3">
      <c r="B1284" t="s">
        <v>1747</v>
      </c>
      <c r="C1284" t="s">
        <v>928</v>
      </c>
      <c r="D1284" t="s">
        <v>126</v>
      </c>
      <c r="E1284" s="45">
        <v>-545</v>
      </c>
      <c r="F1284" t="s">
        <v>39</v>
      </c>
      <c r="G1284" t="s">
        <v>580</v>
      </c>
      <c r="H1284" t="s">
        <v>594</v>
      </c>
      <c r="I1284" s="152"/>
    </row>
    <row r="1285" spans="1:9" customFormat="1" ht="14.4" x14ac:dyDescent="0.3">
      <c r="B1285" t="s">
        <v>1747</v>
      </c>
      <c r="C1285" t="s">
        <v>1748</v>
      </c>
      <c r="D1285" t="s">
        <v>284</v>
      </c>
      <c r="E1285" s="45">
        <v>10400</v>
      </c>
      <c r="F1285" t="s">
        <v>22</v>
      </c>
      <c r="G1285" t="s">
        <v>580</v>
      </c>
      <c r="H1285" s="228" t="s">
        <v>342</v>
      </c>
      <c r="I1285" s="152"/>
    </row>
    <row r="1286" spans="1:9" customFormat="1" ht="14.4" x14ac:dyDescent="0.3">
      <c r="B1286" t="s">
        <v>1747</v>
      </c>
      <c r="C1286" t="s">
        <v>998</v>
      </c>
      <c r="D1286" t="s">
        <v>126</v>
      </c>
      <c r="E1286" s="45">
        <v>-635</v>
      </c>
      <c r="F1286" t="s">
        <v>39</v>
      </c>
      <c r="G1286" t="s">
        <v>580</v>
      </c>
      <c r="H1286" t="s">
        <v>438</v>
      </c>
      <c r="I1286" s="152"/>
    </row>
    <row r="1287" spans="1:9" customFormat="1" ht="14.4" x14ac:dyDescent="0.3">
      <c r="B1287" t="s">
        <v>1747</v>
      </c>
      <c r="C1287" t="s">
        <v>1615</v>
      </c>
      <c r="D1287" t="s">
        <v>1749</v>
      </c>
      <c r="E1287" s="45">
        <v>15</v>
      </c>
      <c r="F1287" t="s">
        <v>1441</v>
      </c>
      <c r="I1287" s="152"/>
    </row>
    <row r="1288" spans="1:9" customFormat="1" ht="14.4" x14ac:dyDescent="0.3">
      <c r="B1288" t="s">
        <v>1747</v>
      </c>
      <c r="C1288" t="s">
        <v>1615</v>
      </c>
      <c r="D1288" t="s">
        <v>1750</v>
      </c>
      <c r="E1288" s="45">
        <v>45</v>
      </c>
      <c r="F1288" t="s">
        <v>1441</v>
      </c>
      <c r="I1288" s="152"/>
    </row>
    <row r="1289" spans="1:9" customFormat="1" ht="14.4" x14ac:dyDescent="0.3">
      <c r="B1289" t="s">
        <v>1747</v>
      </c>
      <c r="C1289" t="s">
        <v>1615</v>
      </c>
      <c r="D1289" t="s">
        <v>1685</v>
      </c>
      <c r="E1289" s="45">
        <v>60</v>
      </c>
      <c r="F1289" t="s">
        <v>1441</v>
      </c>
      <c r="I1289" s="152"/>
    </row>
    <row r="1290" spans="1:9" customFormat="1" ht="14.4" x14ac:dyDescent="0.3">
      <c r="B1290" t="s">
        <v>1751</v>
      </c>
      <c r="C1290" t="s">
        <v>493</v>
      </c>
      <c r="D1290" t="s">
        <v>101</v>
      </c>
      <c r="E1290" s="45">
        <v>-1170</v>
      </c>
      <c r="F1290" t="s">
        <v>493</v>
      </c>
      <c r="I1290" s="152" t="s">
        <v>231</v>
      </c>
    </row>
    <row r="1291" spans="1:9" customFormat="1" ht="14.4" x14ac:dyDescent="0.3">
      <c r="A1291" s="166"/>
      <c r="B1291" s="166" t="s">
        <v>1752</v>
      </c>
      <c r="C1291" s="166" t="s">
        <v>144</v>
      </c>
      <c r="D1291" s="166" t="s">
        <v>145</v>
      </c>
      <c r="E1291" s="167">
        <v>1200</v>
      </c>
      <c r="F1291" s="166"/>
      <c r="G1291" s="166"/>
      <c r="H1291" s="166"/>
      <c r="I1291" s="231"/>
    </row>
    <row r="1292" spans="1:9" customFormat="1" ht="14.4" x14ac:dyDescent="0.3">
      <c r="B1292" t="s">
        <v>1752</v>
      </c>
      <c r="C1292" t="s">
        <v>1370</v>
      </c>
      <c r="D1292" t="s">
        <v>101</v>
      </c>
      <c r="E1292" s="45">
        <v>-1000</v>
      </c>
      <c r="F1292" t="s">
        <v>36</v>
      </c>
      <c r="G1292" t="s">
        <v>580</v>
      </c>
      <c r="H1292" t="s">
        <v>1385</v>
      </c>
      <c r="I1292" s="152"/>
    </row>
    <row r="1293" spans="1:9" customFormat="1" ht="14.4" x14ac:dyDescent="0.3">
      <c r="B1293" t="s">
        <v>1752</v>
      </c>
      <c r="C1293" t="s">
        <v>1397</v>
      </c>
      <c r="D1293" t="s">
        <v>126</v>
      </c>
      <c r="E1293" s="45">
        <v>-395</v>
      </c>
      <c r="F1293" t="s">
        <v>39</v>
      </c>
      <c r="G1293" t="s">
        <v>580</v>
      </c>
      <c r="H1293" t="s">
        <v>593</v>
      </c>
      <c r="I1293" s="152"/>
    </row>
    <row r="1294" spans="1:9" customFormat="1" ht="14.4" x14ac:dyDescent="0.3">
      <c r="B1294" t="s">
        <v>1752</v>
      </c>
      <c r="C1294" t="s">
        <v>928</v>
      </c>
      <c r="D1294" t="s">
        <v>126</v>
      </c>
      <c r="E1294" s="45">
        <v>-395</v>
      </c>
      <c r="F1294" t="s">
        <v>39</v>
      </c>
      <c r="G1294" t="s">
        <v>580</v>
      </c>
      <c r="H1294" t="s">
        <v>594</v>
      </c>
      <c r="I1294" s="152"/>
    </row>
    <row r="1295" spans="1:9" customFormat="1" ht="14.4" x14ac:dyDescent="0.3">
      <c r="A1295" s="166"/>
      <c r="B1295" s="166" t="s">
        <v>1752</v>
      </c>
      <c r="C1295" s="166" t="s">
        <v>1144</v>
      </c>
      <c r="D1295" s="166" t="s">
        <v>126</v>
      </c>
      <c r="E1295" s="167">
        <v>-1200</v>
      </c>
      <c r="F1295" s="166"/>
      <c r="G1295" s="166"/>
      <c r="H1295" s="166"/>
      <c r="I1295" s="231"/>
    </row>
    <row r="1296" spans="1:9" customFormat="1" ht="14.4" x14ac:dyDescent="0.3">
      <c r="B1296" t="s">
        <v>1753</v>
      </c>
      <c r="C1296" t="s">
        <v>995</v>
      </c>
      <c r="D1296" t="s">
        <v>126</v>
      </c>
      <c r="E1296" s="45">
        <v>-650</v>
      </c>
      <c r="F1296" t="s">
        <v>39</v>
      </c>
      <c r="G1296" t="s">
        <v>586</v>
      </c>
      <c r="H1296" t="s">
        <v>586</v>
      </c>
      <c r="I1296" s="152"/>
    </row>
    <row r="1297" spans="1:9" customFormat="1" ht="14.4" x14ac:dyDescent="0.3">
      <c r="B1297" t="s">
        <v>1753</v>
      </c>
      <c r="C1297" t="s">
        <v>995</v>
      </c>
      <c r="D1297" t="s">
        <v>126</v>
      </c>
      <c r="E1297" s="45">
        <v>-1045</v>
      </c>
      <c r="F1297" t="s">
        <v>39</v>
      </c>
      <c r="G1297" t="s">
        <v>586</v>
      </c>
      <c r="H1297" t="s">
        <v>586</v>
      </c>
      <c r="I1297" s="152"/>
    </row>
    <row r="1298" spans="1:9" customFormat="1" ht="14.4" x14ac:dyDescent="0.3">
      <c r="B1298" t="s">
        <v>1753</v>
      </c>
      <c r="C1298" t="s">
        <v>995</v>
      </c>
      <c r="D1298" t="s">
        <v>126</v>
      </c>
      <c r="E1298" s="45">
        <v>-590</v>
      </c>
      <c r="F1298" t="s">
        <v>39</v>
      </c>
      <c r="G1298" t="s">
        <v>586</v>
      </c>
      <c r="H1298" t="s">
        <v>586</v>
      </c>
      <c r="I1298" s="152"/>
    </row>
    <row r="1299" spans="1:9" customFormat="1" ht="14.4" x14ac:dyDescent="0.3">
      <c r="B1299" t="s">
        <v>1754</v>
      </c>
      <c r="C1299" t="s">
        <v>144</v>
      </c>
      <c r="D1299" t="s">
        <v>145</v>
      </c>
      <c r="E1299" s="45">
        <v>5080</v>
      </c>
      <c r="F1299" t="s">
        <v>24</v>
      </c>
      <c r="I1299" s="152" t="s">
        <v>1759</v>
      </c>
    </row>
    <row r="1300" spans="1:9" customFormat="1" ht="14.4" x14ac:dyDescent="0.3">
      <c r="B1300" t="s">
        <v>1755</v>
      </c>
      <c r="C1300" t="s">
        <v>941</v>
      </c>
      <c r="D1300" t="s">
        <v>126</v>
      </c>
      <c r="E1300" s="45">
        <v>-780</v>
      </c>
      <c r="F1300" t="s">
        <v>39</v>
      </c>
      <c r="G1300" t="s">
        <v>580</v>
      </c>
      <c r="H1300" t="s">
        <v>342</v>
      </c>
      <c r="I1300" s="152"/>
    </row>
    <row r="1301" spans="1:9" customFormat="1" ht="14.4" x14ac:dyDescent="0.3">
      <c r="B1301" t="s">
        <v>1755</v>
      </c>
      <c r="C1301" t="s">
        <v>942</v>
      </c>
      <c r="D1301" t="s">
        <v>126</v>
      </c>
      <c r="E1301" s="45">
        <v>-545</v>
      </c>
      <c r="F1301" t="s">
        <v>39</v>
      </c>
      <c r="G1301" t="s">
        <v>580</v>
      </c>
      <c r="H1301" t="s">
        <v>592</v>
      </c>
      <c r="I1301" s="152"/>
    </row>
    <row r="1302" spans="1:9" customFormat="1" ht="15" thickBot="1" x14ac:dyDescent="0.35">
      <c r="A1302" s="185"/>
      <c r="B1302" s="185" t="s">
        <v>1756</v>
      </c>
      <c r="C1302" s="185" t="s">
        <v>1144</v>
      </c>
      <c r="D1302" s="185" t="s">
        <v>126</v>
      </c>
      <c r="E1302" s="186">
        <v>-1400</v>
      </c>
      <c r="F1302" s="185"/>
      <c r="G1302" s="185"/>
      <c r="H1302" s="185"/>
      <c r="I1302" s="232"/>
    </row>
    <row r="1303" spans="1:9" customFormat="1" ht="43.2" x14ac:dyDescent="0.3">
      <c r="B1303" t="s">
        <v>1635</v>
      </c>
      <c r="C1303" t="s">
        <v>144</v>
      </c>
      <c r="D1303" t="s">
        <v>145</v>
      </c>
      <c r="E1303" s="45">
        <v>18925</v>
      </c>
      <c r="G1303" t="s">
        <v>107</v>
      </c>
      <c r="I1303" s="152" t="s">
        <v>1766</v>
      </c>
    </row>
    <row r="1304" spans="1:9" customFormat="1" ht="14.4" x14ac:dyDescent="0.3">
      <c r="B1304" t="s">
        <v>1636</v>
      </c>
      <c r="C1304" t="s">
        <v>838</v>
      </c>
      <c r="D1304" t="s">
        <v>101</v>
      </c>
      <c r="E1304" s="45">
        <v>-438</v>
      </c>
      <c r="F1304" t="s">
        <v>46</v>
      </c>
      <c r="G1304" t="s">
        <v>586</v>
      </c>
      <c r="H1304" t="s">
        <v>586</v>
      </c>
      <c r="I1304" s="152"/>
    </row>
    <row r="1305" spans="1:9" customFormat="1" ht="14.4" x14ac:dyDescent="0.3">
      <c r="B1305" t="s">
        <v>1637</v>
      </c>
      <c r="C1305" t="s">
        <v>998</v>
      </c>
      <c r="D1305" t="s">
        <v>126</v>
      </c>
      <c r="E1305" s="45">
        <v>-355</v>
      </c>
      <c r="F1305" t="s">
        <v>39</v>
      </c>
      <c r="G1305" t="s">
        <v>580</v>
      </c>
      <c r="H1305" t="s">
        <v>438</v>
      </c>
      <c r="I1305" s="152"/>
    </row>
    <row r="1306" spans="1:9" customFormat="1" ht="14.4" x14ac:dyDescent="0.3">
      <c r="B1306" t="s">
        <v>1637</v>
      </c>
      <c r="C1306" t="s">
        <v>1184</v>
      </c>
      <c r="D1306" t="s">
        <v>1185</v>
      </c>
      <c r="E1306" s="45">
        <v>650</v>
      </c>
      <c r="F1306" t="s">
        <v>1441</v>
      </c>
      <c r="G1306" t="s">
        <v>107</v>
      </c>
      <c r="I1306" s="152"/>
    </row>
    <row r="1307" spans="1:9" customFormat="1" ht="14.4" x14ac:dyDescent="0.3">
      <c r="B1307" t="s">
        <v>1638</v>
      </c>
      <c r="C1307" t="s">
        <v>942</v>
      </c>
      <c r="D1307" t="s">
        <v>126</v>
      </c>
      <c r="E1307" s="45">
        <v>-480</v>
      </c>
      <c r="F1307" t="s">
        <v>39</v>
      </c>
      <c r="G1307" t="s">
        <v>580</v>
      </c>
      <c r="H1307" t="s">
        <v>592</v>
      </c>
      <c r="I1307" s="152"/>
    </row>
    <row r="1308" spans="1:9" customFormat="1" ht="14.4" x14ac:dyDescent="0.3">
      <c r="B1308" t="s">
        <v>1638</v>
      </c>
      <c r="C1308" t="s">
        <v>995</v>
      </c>
      <c r="D1308" t="s">
        <v>126</v>
      </c>
      <c r="E1308" s="45">
        <v>-595</v>
      </c>
      <c r="F1308" t="s">
        <v>39</v>
      </c>
      <c r="G1308" t="s">
        <v>586</v>
      </c>
      <c r="H1308" t="s">
        <v>586</v>
      </c>
      <c r="I1308" s="152"/>
    </row>
    <row r="1309" spans="1:9" customFormat="1" ht="14.4" x14ac:dyDescent="0.3">
      <c r="B1309" t="s">
        <v>1638</v>
      </c>
      <c r="C1309" t="s">
        <v>995</v>
      </c>
      <c r="D1309" t="s">
        <v>126</v>
      </c>
      <c r="E1309" s="45">
        <v>-1100</v>
      </c>
      <c r="F1309" t="s">
        <v>39</v>
      </c>
      <c r="G1309" t="s">
        <v>586</v>
      </c>
      <c r="H1309" t="s">
        <v>586</v>
      </c>
      <c r="I1309" s="152"/>
    </row>
    <row r="1310" spans="1:9" customFormat="1" ht="14.4" x14ac:dyDescent="0.3">
      <c r="B1310" t="s">
        <v>1638</v>
      </c>
      <c r="C1310" t="s">
        <v>995</v>
      </c>
      <c r="D1310" t="s">
        <v>126</v>
      </c>
      <c r="E1310" s="45">
        <v>-595</v>
      </c>
      <c r="F1310" t="s">
        <v>39</v>
      </c>
      <c r="G1310" t="s">
        <v>586</v>
      </c>
      <c r="H1310" t="s">
        <v>586</v>
      </c>
      <c r="I1310" s="152"/>
    </row>
    <row r="1311" spans="1:9" customFormat="1" ht="14.4" x14ac:dyDescent="0.3">
      <c r="B1311" t="s">
        <v>1639</v>
      </c>
      <c r="C1311" t="s">
        <v>144</v>
      </c>
      <c r="D1311" t="s">
        <v>145</v>
      </c>
      <c r="E1311" s="45">
        <v>5837.88</v>
      </c>
      <c r="F1311" t="s">
        <v>490</v>
      </c>
      <c r="G1311" t="s">
        <v>580</v>
      </c>
      <c r="I1311" s="152" t="s">
        <v>1646</v>
      </c>
    </row>
    <row r="1312" spans="1:9" customFormat="1" ht="14.4" x14ac:dyDescent="0.3">
      <c r="B1312" t="s">
        <v>1640</v>
      </c>
      <c r="C1312" t="s">
        <v>1197</v>
      </c>
      <c r="D1312" t="s">
        <v>122</v>
      </c>
      <c r="E1312" s="45">
        <v>-600</v>
      </c>
      <c r="F1312" t="s">
        <v>39</v>
      </c>
      <c r="G1312" t="s">
        <v>107</v>
      </c>
      <c r="I1312" s="152"/>
    </row>
    <row r="1313" spans="1:9" customFormat="1" ht="14.4" x14ac:dyDescent="0.3">
      <c r="B1313" t="s">
        <v>1640</v>
      </c>
      <c r="C1313" t="s">
        <v>998</v>
      </c>
      <c r="D1313" t="s">
        <v>126</v>
      </c>
      <c r="E1313" s="45">
        <v>-480</v>
      </c>
      <c r="F1313" t="s">
        <v>39</v>
      </c>
      <c r="G1313" t="s">
        <v>580</v>
      </c>
      <c r="H1313" t="s">
        <v>438</v>
      </c>
      <c r="I1313" s="152"/>
    </row>
    <row r="1314" spans="1:9" customFormat="1" ht="14.4" x14ac:dyDescent="0.3">
      <c r="B1314" t="s">
        <v>1641</v>
      </c>
      <c r="C1314" t="s">
        <v>144</v>
      </c>
      <c r="D1314" t="s">
        <v>145</v>
      </c>
      <c r="E1314" s="45">
        <v>52238</v>
      </c>
      <c r="F1314" t="s">
        <v>1157</v>
      </c>
      <c r="G1314" t="s">
        <v>107</v>
      </c>
      <c r="I1314" s="152"/>
    </row>
    <row r="1315" spans="1:9" customFormat="1" ht="14.4" x14ac:dyDescent="0.3">
      <c r="B1315" t="s">
        <v>1641</v>
      </c>
      <c r="C1315" t="s">
        <v>950</v>
      </c>
      <c r="D1315" t="s">
        <v>101</v>
      </c>
      <c r="E1315" s="45">
        <v>-2100</v>
      </c>
      <c r="F1315" t="s">
        <v>1633</v>
      </c>
      <c r="G1315" t="s">
        <v>580</v>
      </c>
      <c r="I1315" s="152"/>
    </row>
    <row r="1316" spans="1:9" customFormat="1" ht="14.4" x14ac:dyDescent="0.3">
      <c r="B1316" t="s">
        <v>1641</v>
      </c>
      <c r="C1316" t="s">
        <v>851</v>
      </c>
      <c r="D1316" t="s">
        <v>122</v>
      </c>
      <c r="E1316" s="45">
        <v>-2000</v>
      </c>
      <c r="F1316" t="s">
        <v>36</v>
      </c>
      <c r="G1316" t="s">
        <v>580</v>
      </c>
      <c r="H1316" t="s">
        <v>592</v>
      </c>
      <c r="I1316" s="152"/>
    </row>
    <row r="1317" spans="1:9" customFormat="1" ht="14.4" x14ac:dyDescent="0.3">
      <c r="B1317" t="s">
        <v>1641</v>
      </c>
      <c r="C1317" t="s">
        <v>851</v>
      </c>
      <c r="D1317" t="s">
        <v>126</v>
      </c>
      <c r="E1317" s="45">
        <v>-1000</v>
      </c>
      <c r="F1317" t="s">
        <v>36</v>
      </c>
      <c r="G1317" t="s">
        <v>580</v>
      </c>
      <c r="H1317" t="s">
        <v>592</v>
      </c>
      <c r="I1317" s="152"/>
    </row>
    <row r="1318" spans="1:9" customFormat="1" ht="14.4" x14ac:dyDescent="0.3">
      <c r="B1318" t="s">
        <v>1642</v>
      </c>
      <c r="C1318" t="s">
        <v>998</v>
      </c>
      <c r="D1318" t="s">
        <v>126</v>
      </c>
      <c r="E1318" s="45">
        <v>-480</v>
      </c>
      <c r="F1318" t="s">
        <v>39</v>
      </c>
      <c r="G1318" t="s">
        <v>580</v>
      </c>
      <c r="H1318" t="s">
        <v>438</v>
      </c>
      <c r="I1318" s="152"/>
    </row>
    <row r="1319" spans="1:9" customFormat="1" ht="14.4" x14ac:dyDescent="0.3">
      <c r="B1319" t="s">
        <v>1643</v>
      </c>
      <c r="C1319" t="s">
        <v>1496</v>
      </c>
      <c r="D1319" t="s">
        <v>101</v>
      </c>
      <c r="E1319" s="45">
        <v>-1400</v>
      </c>
      <c r="F1319" t="s">
        <v>36</v>
      </c>
      <c r="G1319" t="s">
        <v>580</v>
      </c>
      <c r="H1319" t="s">
        <v>593</v>
      </c>
      <c r="I1319" s="152"/>
    </row>
    <row r="1320" spans="1:9" customFormat="1" ht="14.4" x14ac:dyDescent="0.3">
      <c r="A1320" s="166"/>
      <c r="B1320" s="166" t="s">
        <v>1643</v>
      </c>
      <c r="C1320" s="166" t="s">
        <v>1144</v>
      </c>
      <c r="D1320" s="166" t="s">
        <v>126</v>
      </c>
      <c r="E1320" s="167">
        <v>-1200</v>
      </c>
      <c r="F1320" s="166"/>
      <c r="G1320" s="166"/>
      <c r="H1320" s="166"/>
      <c r="I1320" s="152"/>
    </row>
    <row r="1321" spans="1:9" customFormat="1" ht="14.4" x14ac:dyDescent="0.3">
      <c r="B1321" t="s">
        <v>1643</v>
      </c>
      <c r="C1321" t="s">
        <v>794</v>
      </c>
      <c r="D1321" t="s">
        <v>126</v>
      </c>
      <c r="E1321" s="45">
        <v>8584.25</v>
      </c>
      <c r="F1321" t="s">
        <v>794</v>
      </c>
      <c r="G1321" t="s">
        <v>794</v>
      </c>
      <c r="I1321" s="152"/>
    </row>
    <row r="1322" spans="1:9" customFormat="1" ht="14.4" x14ac:dyDescent="0.3">
      <c r="A1322" s="166"/>
      <c r="B1322" s="166" t="s">
        <v>1644</v>
      </c>
      <c r="C1322" s="166" t="s">
        <v>144</v>
      </c>
      <c r="D1322" s="166" t="s">
        <v>145</v>
      </c>
      <c r="E1322" s="167">
        <v>1200</v>
      </c>
      <c r="F1322" s="166"/>
      <c r="G1322" s="166"/>
      <c r="H1322" s="166"/>
      <c r="I1322" s="152"/>
    </row>
    <row r="1323" spans="1:9" customFormat="1" ht="14.4" x14ac:dyDescent="0.3">
      <c r="B1323" t="s">
        <v>1645</v>
      </c>
      <c r="C1323" t="s">
        <v>838</v>
      </c>
      <c r="D1323" t="s">
        <v>101</v>
      </c>
      <c r="E1323" s="45">
        <v>-209</v>
      </c>
      <c r="F1323" t="s">
        <v>46</v>
      </c>
      <c r="G1323" t="s">
        <v>586</v>
      </c>
      <c r="H1323" t="s">
        <v>586</v>
      </c>
      <c r="I1323" s="152"/>
    </row>
    <row r="1324" spans="1:9" customFormat="1" ht="15" thickBot="1" x14ac:dyDescent="0.35">
      <c r="A1324" s="54"/>
      <c r="B1324" s="54" t="s">
        <v>1645</v>
      </c>
      <c r="C1324" s="54" t="s">
        <v>1619</v>
      </c>
      <c r="D1324" s="54" t="s">
        <v>101</v>
      </c>
      <c r="E1324" s="153">
        <v>-3000</v>
      </c>
      <c r="F1324" s="54" t="s">
        <v>154</v>
      </c>
      <c r="G1324" s="54" t="s">
        <v>580</v>
      </c>
      <c r="H1324" s="54"/>
      <c r="I1324" s="152"/>
    </row>
    <row r="1325" spans="1:9" customFormat="1" ht="14.4" x14ac:dyDescent="0.3">
      <c r="A1325" s="166"/>
      <c r="B1325" s="166" t="s">
        <v>1606</v>
      </c>
      <c r="C1325" s="166" t="s">
        <v>1144</v>
      </c>
      <c r="D1325" s="166" t="s">
        <v>126</v>
      </c>
      <c r="E1325" s="167">
        <v>-1600</v>
      </c>
      <c r="F1325" s="166"/>
      <c r="I1325" s="152"/>
    </row>
    <row r="1326" spans="1:9" customFormat="1" ht="14.4" x14ac:dyDescent="0.3">
      <c r="A1326" s="166"/>
      <c r="B1326" s="166" t="s">
        <v>1607</v>
      </c>
      <c r="C1326" s="166" t="s">
        <v>144</v>
      </c>
      <c r="D1326" s="166" t="s">
        <v>145</v>
      </c>
      <c r="E1326" s="167">
        <v>1600</v>
      </c>
      <c r="F1326" s="166"/>
      <c r="I1326" s="152"/>
    </row>
    <row r="1327" spans="1:9" customFormat="1" ht="14.4" x14ac:dyDescent="0.3">
      <c r="B1327" t="s">
        <v>1608</v>
      </c>
      <c r="C1327" t="s">
        <v>838</v>
      </c>
      <c r="D1327" t="s">
        <v>101</v>
      </c>
      <c r="E1327" s="45">
        <v>-336</v>
      </c>
      <c r="F1327" t="s">
        <v>46</v>
      </c>
      <c r="G1327" t="s">
        <v>586</v>
      </c>
      <c r="H1327" t="s">
        <v>586</v>
      </c>
      <c r="I1327" s="152"/>
    </row>
    <row r="1328" spans="1:9" customFormat="1" ht="14.4" x14ac:dyDescent="0.3">
      <c r="B1328" t="s">
        <v>1609</v>
      </c>
      <c r="C1328" t="s">
        <v>144</v>
      </c>
      <c r="D1328" t="s">
        <v>145</v>
      </c>
      <c r="E1328" s="45">
        <v>2914</v>
      </c>
      <c r="F1328" t="s">
        <v>490</v>
      </c>
      <c r="G1328" t="s">
        <v>580</v>
      </c>
      <c r="I1328" s="152" t="s">
        <v>1632</v>
      </c>
    </row>
    <row r="1329" spans="1:9" customFormat="1" ht="14.4" x14ac:dyDescent="0.3">
      <c r="B1329" t="s">
        <v>1609</v>
      </c>
      <c r="C1329" t="s">
        <v>1128</v>
      </c>
      <c r="D1329" t="s">
        <v>101</v>
      </c>
      <c r="E1329" s="45">
        <v>-89</v>
      </c>
      <c r="F1329" t="s">
        <v>46</v>
      </c>
      <c r="G1329" t="s">
        <v>580</v>
      </c>
      <c r="H1329" t="s">
        <v>438</v>
      </c>
      <c r="I1329" s="152"/>
    </row>
    <row r="1330" spans="1:9" customFormat="1" ht="14.4" x14ac:dyDescent="0.3">
      <c r="B1330" t="s">
        <v>1610</v>
      </c>
      <c r="C1330" t="s">
        <v>1162</v>
      </c>
      <c r="D1330" t="s">
        <v>126</v>
      </c>
      <c r="E1330" s="45">
        <v>-3350</v>
      </c>
      <c r="F1330" t="s">
        <v>36</v>
      </c>
      <c r="G1330" t="s">
        <v>580</v>
      </c>
      <c r="H1330" t="s">
        <v>438</v>
      </c>
      <c r="I1330" s="152"/>
    </row>
    <row r="1331" spans="1:9" customFormat="1" ht="14.4" x14ac:dyDescent="0.3">
      <c r="B1331" t="s">
        <v>1611</v>
      </c>
      <c r="C1331" t="s">
        <v>1373</v>
      </c>
      <c r="D1331" t="s">
        <v>122</v>
      </c>
      <c r="E1331" s="45">
        <v>-500</v>
      </c>
      <c r="F1331" t="s">
        <v>964</v>
      </c>
      <c r="G1331" t="s">
        <v>107</v>
      </c>
      <c r="I1331" s="152"/>
    </row>
    <row r="1332" spans="1:9" customFormat="1" ht="14.4" x14ac:dyDescent="0.3">
      <c r="B1332" t="s">
        <v>1612</v>
      </c>
      <c r="C1332" t="s">
        <v>1141</v>
      </c>
      <c r="D1332" t="s">
        <v>122</v>
      </c>
      <c r="E1332" s="45">
        <v>-1100</v>
      </c>
      <c r="F1332" t="s">
        <v>36</v>
      </c>
      <c r="G1332" t="s">
        <v>586</v>
      </c>
      <c r="H1332" t="s">
        <v>586</v>
      </c>
      <c r="I1332" s="152"/>
    </row>
    <row r="1333" spans="1:9" customFormat="1" ht="14.4" x14ac:dyDescent="0.3">
      <c r="B1333" t="s">
        <v>1613</v>
      </c>
      <c r="C1333" t="s">
        <v>838</v>
      </c>
      <c r="D1333" t="s">
        <v>101</v>
      </c>
      <c r="E1333" s="45">
        <v>-213</v>
      </c>
      <c r="F1333" t="s">
        <v>46</v>
      </c>
      <c r="G1333" t="s">
        <v>586</v>
      </c>
      <c r="H1333" t="s">
        <v>586</v>
      </c>
      <c r="I1333" s="152"/>
    </row>
    <row r="1334" spans="1:9" customFormat="1" ht="14.4" x14ac:dyDescent="0.3">
      <c r="A1334" s="166"/>
      <c r="B1334" s="166" t="s">
        <v>1613</v>
      </c>
      <c r="C1334" s="166" t="s">
        <v>1614</v>
      </c>
      <c r="D1334" s="166" t="s">
        <v>126</v>
      </c>
      <c r="E1334" s="167">
        <v>-540</v>
      </c>
      <c r="F1334" s="166"/>
      <c r="I1334" s="152"/>
    </row>
    <row r="1335" spans="1:9" customFormat="1" ht="14.4" x14ac:dyDescent="0.3">
      <c r="A1335" s="166"/>
      <c r="B1335" s="166" t="s">
        <v>1613</v>
      </c>
      <c r="C1335" s="166" t="s">
        <v>1615</v>
      </c>
      <c r="D1335" s="166" t="s">
        <v>1616</v>
      </c>
      <c r="E1335" s="167">
        <v>130</v>
      </c>
      <c r="F1335" s="166"/>
      <c r="I1335" s="152"/>
    </row>
    <row r="1336" spans="1:9" customFormat="1" ht="14.4" x14ac:dyDescent="0.3">
      <c r="A1336" s="166"/>
      <c r="B1336" s="166" t="s">
        <v>1613</v>
      </c>
      <c r="C1336" s="166" t="s">
        <v>1615</v>
      </c>
      <c r="D1336" s="166" t="s">
        <v>1616</v>
      </c>
      <c r="E1336" s="167">
        <v>60</v>
      </c>
      <c r="F1336" s="166"/>
      <c r="I1336" s="152"/>
    </row>
    <row r="1337" spans="1:9" customFormat="1" ht="14.4" x14ac:dyDescent="0.3">
      <c r="A1337" s="166"/>
      <c r="B1337" s="166" t="s">
        <v>1613</v>
      </c>
      <c r="C1337" s="166" t="s">
        <v>1615</v>
      </c>
      <c r="D1337" s="166" t="s">
        <v>1616</v>
      </c>
      <c r="E1337" s="167">
        <v>60</v>
      </c>
      <c r="F1337" s="166"/>
      <c r="I1337" s="152"/>
    </row>
    <row r="1338" spans="1:9" customFormat="1" ht="14.4" x14ac:dyDescent="0.3">
      <c r="A1338" s="166"/>
      <c r="B1338" s="166" t="s">
        <v>1613</v>
      </c>
      <c r="C1338" s="166" t="s">
        <v>1615</v>
      </c>
      <c r="D1338" s="166" t="s">
        <v>1616</v>
      </c>
      <c r="E1338" s="167">
        <v>10</v>
      </c>
      <c r="F1338" s="166"/>
      <c r="I1338" s="152"/>
    </row>
    <row r="1339" spans="1:9" customFormat="1" ht="14.4" x14ac:dyDescent="0.3">
      <c r="A1339" s="166"/>
      <c r="B1339" s="166" t="s">
        <v>1613</v>
      </c>
      <c r="C1339" s="166" t="s">
        <v>1615</v>
      </c>
      <c r="D1339" s="166" t="s">
        <v>1616</v>
      </c>
      <c r="E1339" s="167">
        <v>30</v>
      </c>
      <c r="F1339" s="166"/>
      <c r="I1339" s="152"/>
    </row>
    <row r="1340" spans="1:9" customFormat="1" ht="14.4" x14ac:dyDescent="0.3">
      <c r="A1340" s="166"/>
      <c r="B1340" s="166" t="s">
        <v>1613</v>
      </c>
      <c r="C1340" s="166" t="s">
        <v>1615</v>
      </c>
      <c r="D1340" s="166" t="s">
        <v>1616</v>
      </c>
      <c r="E1340" s="167">
        <v>20</v>
      </c>
      <c r="F1340" s="166"/>
      <c r="I1340" s="152"/>
    </row>
    <row r="1341" spans="1:9" customFormat="1" ht="14.4" x14ac:dyDescent="0.3">
      <c r="A1341" s="166"/>
      <c r="B1341" s="166" t="s">
        <v>1613</v>
      </c>
      <c r="C1341" s="166" t="s">
        <v>1615</v>
      </c>
      <c r="D1341" s="166" t="s">
        <v>1616</v>
      </c>
      <c r="E1341" s="167">
        <v>40</v>
      </c>
      <c r="F1341" s="166"/>
      <c r="I1341" s="152"/>
    </row>
    <row r="1342" spans="1:9" customFormat="1" ht="14.4" x14ac:dyDescent="0.3">
      <c r="A1342" s="166"/>
      <c r="B1342" s="166" t="s">
        <v>1613</v>
      </c>
      <c r="C1342" s="166" t="s">
        <v>1615</v>
      </c>
      <c r="D1342" s="166" t="s">
        <v>1616</v>
      </c>
      <c r="E1342" s="167">
        <v>10</v>
      </c>
      <c r="F1342" s="166"/>
      <c r="I1342" s="152"/>
    </row>
    <row r="1343" spans="1:9" customFormat="1" ht="14.4" x14ac:dyDescent="0.3">
      <c r="A1343" s="166"/>
      <c r="B1343" s="166" t="s">
        <v>1613</v>
      </c>
      <c r="C1343" s="166" t="s">
        <v>1615</v>
      </c>
      <c r="D1343" s="166" t="s">
        <v>1616</v>
      </c>
      <c r="E1343" s="167">
        <v>20</v>
      </c>
      <c r="F1343" s="166"/>
      <c r="I1343" s="152"/>
    </row>
    <row r="1344" spans="1:9" customFormat="1" ht="14.4" x14ac:dyDescent="0.3">
      <c r="A1344" s="166"/>
      <c r="B1344" s="166" t="s">
        <v>1613</v>
      </c>
      <c r="C1344" s="166" t="s">
        <v>1615</v>
      </c>
      <c r="D1344" s="166" t="s">
        <v>1616</v>
      </c>
      <c r="E1344" s="167">
        <v>50</v>
      </c>
      <c r="F1344" s="166"/>
      <c r="I1344" s="152"/>
    </row>
    <row r="1345" spans="1:9" customFormat="1" ht="14.4" x14ac:dyDescent="0.3">
      <c r="A1345" s="166"/>
      <c r="B1345" s="166" t="s">
        <v>1613</v>
      </c>
      <c r="C1345" s="166" t="s">
        <v>1615</v>
      </c>
      <c r="D1345" s="166" t="s">
        <v>1616</v>
      </c>
      <c r="E1345" s="167">
        <v>30</v>
      </c>
      <c r="F1345" s="166"/>
      <c r="I1345" s="152"/>
    </row>
    <row r="1346" spans="1:9" customFormat="1" ht="14.4" x14ac:dyDescent="0.3">
      <c r="A1346" s="166"/>
      <c r="B1346" s="166" t="s">
        <v>1613</v>
      </c>
      <c r="C1346" s="166" t="s">
        <v>1615</v>
      </c>
      <c r="D1346" s="166" t="s">
        <v>1616</v>
      </c>
      <c r="E1346" s="167">
        <v>50</v>
      </c>
      <c r="F1346" s="166"/>
      <c r="I1346" s="152"/>
    </row>
    <row r="1347" spans="1:9" customFormat="1" ht="14.4" x14ac:dyDescent="0.3">
      <c r="A1347" s="166"/>
      <c r="B1347" s="166" t="s">
        <v>1613</v>
      </c>
      <c r="C1347" s="166" t="s">
        <v>1615</v>
      </c>
      <c r="D1347" s="166" t="s">
        <v>1616</v>
      </c>
      <c r="E1347" s="167">
        <v>30</v>
      </c>
      <c r="F1347" s="166"/>
      <c r="I1347" s="152"/>
    </row>
    <row r="1348" spans="1:9" customFormat="1" ht="14.4" x14ac:dyDescent="0.3">
      <c r="A1348" s="166"/>
      <c r="B1348" s="166" t="s">
        <v>1617</v>
      </c>
      <c r="C1348" s="166" t="s">
        <v>1144</v>
      </c>
      <c r="D1348" s="166" t="s">
        <v>126</v>
      </c>
      <c r="E1348" s="167">
        <v>-800</v>
      </c>
      <c r="F1348" s="166"/>
      <c r="I1348" s="152"/>
    </row>
    <row r="1349" spans="1:9" customFormat="1" ht="14.4" x14ac:dyDescent="0.3">
      <c r="A1349" s="166"/>
      <c r="B1349" s="166" t="s">
        <v>1618</v>
      </c>
      <c r="C1349" s="166" t="s">
        <v>144</v>
      </c>
      <c r="D1349" s="166" t="s">
        <v>145</v>
      </c>
      <c r="E1349" s="167">
        <v>800</v>
      </c>
      <c r="F1349" s="166"/>
      <c r="I1349" s="152"/>
    </row>
    <row r="1350" spans="1:9" customFormat="1" ht="14.4" x14ac:dyDescent="0.3">
      <c r="B1350" t="s">
        <v>1618</v>
      </c>
      <c r="C1350" t="s">
        <v>1619</v>
      </c>
      <c r="D1350" t="s">
        <v>101</v>
      </c>
      <c r="E1350" s="45">
        <v>-1000</v>
      </c>
      <c r="F1350" t="s">
        <v>154</v>
      </c>
      <c r="G1350" t="s">
        <v>586</v>
      </c>
      <c r="H1350" t="s">
        <v>586</v>
      </c>
      <c r="I1350" s="152"/>
    </row>
    <row r="1351" spans="1:9" customFormat="1" ht="14.4" x14ac:dyDescent="0.3">
      <c r="B1351" t="s">
        <v>1620</v>
      </c>
      <c r="C1351" t="s">
        <v>1560</v>
      </c>
      <c r="D1351" t="s">
        <v>101</v>
      </c>
      <c r="E1351" s="45">
        <v>-1200</v>
      </c>
      <c r="F1351" t="s">
        <v>36</v>
      </c>
      <c r="G1351" t="s">
        <v>580</v>
      </c>
      <c r="H1351" t="s">
        <v>594</v>
      </c>
      <c r="I1351" s="152"/>
    </row>
    <row r="1352" spans="1:9" customFormat="1" ht="14.4" x14ac:dyDescent="0.3">
      <c r="B1352" t="s">
        <v>1620</v>
      </c>
      <c r="C1352" t="s">
        <v>1141</v>
      </c>
      <c r="D1352" t="s">
        <v>122</v>
      </c>
      <c r="E1352" s="45">
        <v>-800</v>
      </c>
      <c r="F1352" t="s">
        <v>36</v>
      </c>
      <c r="G1352" t="s">
        <v>586</v>
      </c>
      <c r="H1352" t="s">
        <v>586</v>
      </c>
      <c r="I1352" s="152"/>
    </row>
    <row r="1353" spans="1:9" customFormat="1" ht="14.4" x14ac:dyDescent="0.3">
      <c r="A1353" s="166"/>
      <c r="B1353" s="166" t="s">
        <v>1620</v>
      </c>
      <c r="C1353" s="166" t="s">
        <v>1144</v>
      </c>
      <c r="D1353" s="166" t="s">
        <v>126</v>
      </c>
      <c r="E1353" s="167">
        <v>-1400</v>
      </c>
      <c r="F1353" s="166"/>
      <c r="I1353" s="152"/>
    </row>
    <row r="1354" spans="1:9" customFormat="1" ht="14.4" x14ac:dyDescent="0.3">
      <c r="B1354" t="s">
        <v>1620</v>
      </c>
      <c r="C1354" t="s">
        <v>1621</v>
      </c>
      <c r="D1354" t="s">
        <v>285</v>
      </c>
      <c r="E1354" s="45">
        <v>30000</v>
      </c>
      <c r="F1354" t="s">
        <v>489</v>
      </c>
      <c r="G1354" t="s">
        <v>107</v>
      </c>
      <c r="I1354" s="152"/>
    </row>
    <row r="1355" spans="1:9" customFormat="1" ht="14.4" x14ac:dyDescent="0.3">
      <c r="B1355" t="s">
        <v>1622</v>
      </c>
      <c r="C1355" t="s">
        <v>1437</v>
      </c>
      <c r="D1355" t="s">
        <v>101</v>
      </c>
      <c r="E1355" s="45">
        <v>-25151</v>
      </c>
      <c r="F1355" t="s">
        <v>1163</v>
      </c>
      <c r="G1355" t="s">
        <v>107</v>
      </c>
      <c r="I1355" s="152"/>
    </row>
    <row r="1356" spans="1:9" customFormat="1" ht="14.4" x14ac:dyDescent="0.3">
      <c r="A1356" s="166"/>
      <c r="B1356" s="166" t="s">
        <v>1623</v>
      </c>
      <c r="C1356" s="166" t="s">
        <v>144</v>
      </c>
      <c r="D1356" s="166" t="s">
        <v>145</v>
      </c>
      <c r="E1356" s="167">
        <v>1400</v>
      </c>
      <c r="F1356" s="166"/>
      <c r="I1356" s="152"/>
    </row>
    <row r="1357" spans="1:9" customFormat="1" ht="14.4" x14ac:dyDescent="0.3">
      <c r="B1357" t="s">
        <v>1624</v>
      </c>
      <c r="C1357" t="s">
        <v>573</v>
      </c>
      <c r="D1357" t="s">
        <v>574</v>
      </c>
      <c r="E1357" s="45">
        <v>-771</v>
      </c>
      <c r="F1357" t="s">
        <v>964</v>
      </c>
      <c r="G1357" t="s">
        <v>107</v>
      </c>
      <c r="I1357" s="152"/>
    </row>
    <row r="1358" spans="1:9" customFormat="1" ht="14.4" x14ac:dyDescent="0.3">
      <c r="B1358" t="s">
        <v>1625</v>
      </c>
      <c r="C1358" t="s">
        <v>1626</v>
      </c>
      <c r="D1358" t="s">
        <v>126</v>
      </c>
      <c r="E1358" s="45">
        <v>-160</v>
      </c>
      <c r="F1358" t="s">
        <v>33</v>
      </c>
      <c r="G1358" t="s">
        <v>107</v>
      </c>
      <c r="I1358" s="152"/>
    </row>
    <row r="1359" spans="1:9" customFormat="1" ht="14.4" x14ac:dyDescent="0.3">
      <c r="B1359" t="s">
        <v>1625</v>
      </c>
      <c r="C1359" t="s">
        <v>940</v>
      </c>
      <c r="D1359" t="s">
        <v>126</v>
      </c>
      <c r="E1359" s="45">
        <v>-4000</v>
      </c>
      <c r="F1359" t="s">
        <v>940</v>
      </c>
      <c r="G1359" t="s">
        <v>580</v>
      </c>
      <c r="H1359" t="s">
        <v>438</v>
      </c>
      <c r="I1359" s="152"/>
    </row>
    <row r="1360" spans="1:9" customFormat="1" ht="14.4" x14ac:dyDescent="0.3">
      <c r="B1360" t="s">
        <v>1627</v>
      </c>
      <c r="C1360" t="s">
        <v>144</v>
      </c>
      <c r="D1360" t="s">
        <v>145</v>
      </c>
      <c r="E1360" s="45">
        <v>140</v>
      </c>
      <c r="F1360" t="s">
        <v>493</v>
      </c>
      <c r="G1360" t="s">
        <v>107</v>
      </c>
      <c r="I1360" s="152"/>
    </row>
    <row r="1361" spans="1:9" customFormat="1" ht="14.4" x14ac:dyDescent="0.3">
      <c r="A1361" s="166"/>
      <c r="B1361" s="166" t="s">
        <v>1628</v>
      </c>
      <c r="C1361" s="166" t="s">
        <v>144</v>
      </c>
      <c r="D1361" s="166" t="s">
        <v>145</v>
      </c>
      <c r="E1361" s="167">
        <v>1200</v>
      </c>
      <c r="F1361" s="166"/>
      <c r="I1361" s="152"/>
    </row>
    <row r="1362" spans="1:9" customFormat="1" ht="14.4" x14ac:dyDescent="0.3">
      <c r="B1362" t="s">
        <v>1628</v>
      </c>
      <c r="C1362" t="s">
        <v>1629</v>
      </c>
      <c r="D1362" t="s">
        <v>101</v>
      </c>
      <c r="E1362" s="45">
        <v>-3576</v>
      </c>
      <c r="F1362" t="s">
        <v>1163</v>
      </c>
      <c r="G1362" t="s">
        <v>107</v>
      </c>
      <c r="I1362" s="152"/>
    </row>
    <row r="1363" spans="1:9" customFormat="1" ht="14.4" x14ac:dyDescent="0.3">
      <c r="B1363" t="s">
        <v>1628</v>
      </c>
      <c r="C1363" t="s">
        <v>1629</v>
      </c>
      <c r="D1363" t="s">
        <v>101</v>
      </c>
      <c r="E1363" s="45">
        <v>-975</v>
      </c>
      <c r="F1363" t="s">
        <v>1163</v>
      </c>
      <c r="G1363" t="s">
        <v>107</v>
      </c>
      <c r="I1363" s="152"/>
    </row>
    <row r="1364" spans="1:9" customFormat="1" ht="14.4" x14ac:dyDescent="0.3">
      <c r="A1364" s="166"/>
      <c r="B1364" s="166" t="s">
        <v>1628</v>
      </c>
      <c r="C1364" s="166" t="s">
        <v>1144</v>
      </c>
      <c r="D1364" s="166" t="s">
        <v>126</v>
      </c>
      <c r="E1364" s="167">
        <v>-1200</v>
      </c>
      <c r="F1364" s="166"/>
      <c r="I1364" s="152"/>
    </row>
    <row r="1365" spans="1:9" customFormat="1" ht="14.4" x14ac:dyDescent="0.3">
      <c r="B1365" t="s">
        <v>1630</v>
      </c>
      <c r="C1365" t="s">
        <v>838</v>
      </c>
      <c r="D1365" t="s">
        <v>101</v>
      </c>
      <c r="E1365" s="45">
        <v>-321</v>
      </c>
      <c r="F1365" t="s">
        <v>46</v>
      </c>
      <c r="G1365" t="s">
        <v>586</v>
      </c>
      <c r="H1365" t="s">
        <v>586</v>
      </c>
      <c r="I1365" s="152"/>
    </row>
    <row r="1366" spans="1:9" customFormat="1" ht="14.4" x14ac:dyDescent="0.3">
      <c r="A1366" s="166"/>
      <c r="B1366" s="166" t="s">
        <v>1630</v>
      </c>
      <c r="C1366" s="166" t="s">
        <v>1144</v>
      </c>
      <c r="D1366" s="166" t="s">
        <v>126</v>
      </c>
      <c r="E1366" s="167">
        <v>-1000</v>
      </c>
      <c r="F1366" s="166"/>
      <c r="I1366" s="152"/>
    </row>
    <row r="1367" spans="1:9" customFormat="1" ht="14.4" x14ac:dyDescent="0.3">
      <c r="A1367" s="166"/>
      <c r="B1367" s="166" t="s">
        <v>1631</v>
      </c>
      <c r="C1367" s="166" t="s">
        <v>144</v>
      </c>
      <c r="D1367" s="166" t="s">
        <v>145</v>
      </c>
      <c r="E1367" s="167">
        <v>1000</v>
      </c>
      <c r="F1367" s="166"/>
      <c r="I1367" s="152"/>
    </row>
  </sheetData>
  <autoFilter ref="A1:J1423" xr:uid="{00000000-0009-0000-0000-00000D000000}"/>
  <pageMargins left="0.7" right="0.7" top="0.75" bottom="0.75" header="0.3" footer="0.3"/>
  <pageSetup scale="13" fitToHeight="4" orientation="portrait" horizontalDpi="300" verticalDpi="300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  <pageSetUpPr fitToPage="1"/>
  </sheetPr>
  <dimension ref="A1:N50"/>
  <sheetViews>
    <sheetView zoomScale="90" zoomScaleNormal="90" workbookViewId="0">
      <pane xSplit="1" ySplit="3" topLeftCell="F13" activePane="bottomRight" state="frozen"/>
      <selection pane="topRight" activeCell="B1" sqref="B1"/>
      <selection pane="bottomLeft" activeCell="A4" sqref="A4"/>
      <selection pane="bottomRight" activeCell="J1" sqref="J1:J1048576"/>
    </sheetView>
  </sheetViews>
  <sheetFormatPr defaultColWidth="9.109375" defaultRowHeight="15.6" x14ac:dyDescent="0.3"/>
  <cols>
    <col min="1" max="1" width="30.6640625" style="4" bestFit="1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0" width="16.44140625" style="1" customWidth="1"/>
    <col min="11" max="11" width="18.5546875" style="1" bestFit="1" customWidth="1"/>
    <col min="12" max="12" width="27" style="196" customWidth="1"/>
    <col min="13" max="13" width="12" style="155" customWidth="1"/>
    <col min="14" max="16384" width="9.109375" style="1"/>
  </cols>
  <sheetData>
    <row r="1" spans="1:13" ht="31.8" thickBot="1" x14ac:dyDescent="0.65">
      <c r="A1" s="211" t="s">
        <v>486</v>
      </c>
      <c r="C1" s="224"/>
      <c r="D1" s="224"/>
      <c r="E1" s="295" t="s">
        <v>487</v>
      </c>
      <c r="F1" s="295"/>
      <c r="G1" s="295"/>
    </row>
    <row r="2" spans="1:13" ht="16.2" thickBot="1" x14ac:dyDescent="0.35"/>
    <row r="3" spans="1:13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227">
        <v>2016</v>
      </c>
      <c r="K3" s="44" t="s">
        <v>1591</v>
      </c>
      <c r="L3" s="156"/>
      <c r="M3" s="156"/>
    </row>
    <row r="4" spans="1:13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110"/>
      <c r="K4" s="209"/>
      <c r="L4" s="156"/>
      <c r="M4" s="156"/>
    </row>
    <row r="5" spans="1:13" ht="16.2" thickBot="1" x14ac:dyDescent="0.35">
      <c r="A5" s="32" t="s">
        <v>19</v>
      </c>
      <c r="B5" s="10"/>
      <c r="C5" s="7"/>
      <c r="D5" s="7"/>
      <c r="I5" s="4"/>
      <c r="J5" s="238"/>
      <c r="K5" s="8"/>
      <c r="L5" s="155"/>
    </row>
    <row r="6" spans="1:13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9">
        <f>52238+27694+85834+43522</f>
        <v>209288</v>
      </c>
      <c r="K6" s="190">
        <v>200000</v>
      </c>
      <c r="L6" s="217"/>
    </row>
    <row r="7" spans="1:13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9">
        <f>10400+10800+8100+9200+9600+5400+4000+800+400+7500+10200+900+13200+7800-1200+800+400-400+400+200+225+150+6000+2800+2875</f>
        <v>110550</v>
      </c>
      <c r="K7" s="190">
        <v>110000</v>
      </c>
      <c r="L7" s="236"/>
    </row>
    <row r="8" spans="1:13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9">
        <f>650+3276+2520+29769+8260+395+6493+11012+10000+1310+342+345+2260-1880+16765</f>
        <v>91517</v>
      </c>
      <c r="K8" s="190">
        <v>80000</v>
      </c>
      <c r="L8" s="155"/>
    </row>
    <row r="9" spans="1:13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9">
        <f>5080+5080+5080+25240-25000+5080-5000+3000+3000+5080</f>
        <v>26640</v>
      </c>
      <c r="K9" s="190">
        <v>35000</v>
      </c>
      <c r="L9" s="217"/>
    </row>
    <row r="10" spans="1:13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9">
        <f>30000+10650+24230+36000-24230+3000-3000-2752</f>
        <v>73898</v>
      </c>
      <c r="K10" s="190">
        <v>60000</v>
      </c>
      <c r="L10" s="217"/>
    </row>
    <row r="11" spans="1:13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9">
        <f>81000</f>
        <v>81000</v>
      </c>
      <c r="K11" s="190">
        <v>100000</v>
      </c>
      <c r="L11" s="155"/>
    </row>
    <row r="12" spans="1:13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9">
        <f>5750-1743-1743-1453-3486-4358-15750+10000+7640+840+1463+5660</f>
        <v>2820</v>
      </c>
      <c r="K12" s="190">
        <v>0</v>
      </c>
      <c r="L12" s="155"/>
    </row>
    <row r="13" spans="1:13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9">
        <v>0</v>
      </c>
      <c r="K13" s="190">
        <v>0</v>
      </c>
      <c r="L13" s="155"/>
    </row>
    <row r="14" spans="1:13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9">
        <f>2914+5838+4950+240+1000+6365+1880+2390</f>
        <v>25577</v>
      </c>
      <c r="K14" s="190">
        <v>15000</v>
      </c>
      <c r="L14" s="217"/>
    </row>
    <row r="15" spans="1:13" x14ac:dyDescent="0.3">
      <c r="A15" s="7" t="s">
        <v>29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11">
        <f t="shared" si="0"/>
        <v>621290</v>
      </c>
      <c r="K15" s="191">
        <f t="shared" si="0"/>
        <v>600000</v>
      </c>
      <c r="L15" s="155"/>
    </row>
    <row r="16" spans="1:13" ht="16.2" thickBot="1" x14ac:dyDescent="0.35">
      <c r="B16" s="38"/>
      <c r="C16" s="40"/>
      <c r="D16" s="40"/>
      <c r="E16" s="38"/>
      <c r="F16" s="40"/>
      <c r="G16" s="40"/>
      <c r="H16" s="40"/>
      <c r="I16" s="40"/>
      <c r="J16" s="111"/>
      <c r="K16" s="190"/>
      <c r="L16" s="155"/>
    </row>
    <row r="17" spans="1:14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112"/>
      <c r="K17" s="190"/>
      <c r="L17" s="159"/>
      <c r="M17" s="159"/>
    </row>
    <row r="18" spans="1:14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9">
        <f>-975-3576-25151+2412-26894-7152-45412</f>
        <v>-106748</v>
      </c>
      <c r="K18" s="190">
        <v>-120000</v>
      </c>
      <c r="L18" s="155"/>
      <c r="M18" s="197"/>
      <c r="N18" s="55"/>
    </row>
    <row r="19" spans="1:14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9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90">
        <v>-130000</v>
      </c>
      <c r="L19" s="157"/>
      <c r="M19" s="197"/>
    </row>
    <row r="20" spans="1:14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9">
        <f>-3760-1277-3685+3685-2253-17843-2444-4021-349-5145-111-368-279-322</f>
        <v>-38172</v>
      </c>
      <c r="K20" s="190">
        <v>-20000</v>
      </c>
      <c r="L20" s="157"/>
      <c r="M20" s="197"/>
    </row>
    <row r="21" spans="1:14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9">
        <f>-2100-1969-5000-500-15500-1440-629-7355</f>
        <v>-34493</v>
      </c>
      <c r="K21" s="190">
        <v>-50000</v>
      </c>
      <c r="L21" s="155"/>
      <c r="M21" s="197"/>
    </row>
    <row r="22" spans="1:14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9">
        <f>-4000-5500-4000-407</f>
        <v>-13907</v>
      </c>
      <c r="K22" s="190">
        <v>-15000</v>
      </c>
      <c r="L22" s="155"/>
      <c r="M22" s="197"/>
    </row>
    <row r="23" spans="1:14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9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90">
        <v>-55000</v>
      </c>
      <c r="L23" s="157"/>
      <c r="M23" s="197"/>
    </row>
    <row r="24" spans="1:14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9">
        <f>-2750</f>
        <v>-2750</v>
      </c>
      <c r="K24" s="190">
        <v>-4000</v>
      </c>
      <c r="L24" s="155"/>
      <c r="M24" s="197"/>
    </row>
    <row r="25" spans="1:14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9">
        <f>-800-1200-1100-3350-1400-1000-2000-1000-1400-300-1200-1400-1800-1500-1500-1600-1400-1400</f>
        <v>-25350</v>
      </c>
      <c r="K25" s="190">
        <v>-25000</v>
      </c>
      <c r="L25" s="157"/>
      <c r="M25" s="197"/>
    </row>
    <row r="26" spans="1:14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9">
        <f>-1000-3000-6600-9700-4500-1900-1200-2000-2400-2000-400-500-2000</f>
        <v>-37200</v>
      </c>
      <c r="K26" s="190">
        <v>-25000</v>
      </c>
      <c r="L26" s="157"/>
      <c r="M26" s="197"/>
    </row>
    <row r="27" spans="1:14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9">
        <f>-4700-2390-8400</f>
        <v>-15490</v>
      </c>
      <c r="K27" s="190">
        <v>-15000</v>
      </c>
      <c r="L27" s="155"/>
      <c r="M27" s="197"/>
    </row>
    <row r="28" spans="1:14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9">
        <f>-1500-10000-500-4000</f>
        <v>-16000</v>
      </c>
      <c r="K28" s="190">
        <v>-25000</v>
      </c>
      <c r="L28" s="157"/>
      <c r="M28" s="197"/>
    </row>
    <row r="29" spans="1:14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9">
        <f>-500-2500-500-1000</f>
        <v>-4500</v>
      </c>
      <c r="K29" s="190">
        <v>0</v>
      </c>
      <c r="L29" s="157"/>
    </row>
    <row r="30" spans="1:14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9">
        <f>-771-500</f>
        <v>-1271</v>
      </c>
      <c r="K30" s="190">
        <v>-2000</v>
      </c>
      <c r="L30" s="157"/>
    </row>
    <row r="31" spans="1:14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9">
        <f>-268-800-800-800-800-800-800-800-800-800-800-800-800-800-800-800-800-800-264-800-800-28998-800-800-800-36777</f>
        <v>-83907</v>
      </c>
      <c r="K31" s="190">
        <v>-100000</v>
      </c>
      <c r="L31" s="155"/>
      <c r="M31" s="197"/>
    </row>
    <row r="32" spans="1:14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9">
        <f>-160</f>
        <v>-160</v>
      </c>
      <c r="K32" s="190">
        <v>0</v>
      </c>
      <c r="L32" s="155"/>
      <c r="M32" s="197"/>
    </row>
    <row r="33" spans="1:14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9">
        <f>140-1170-608-2080-341</f>
        <v>-4059</v>
      </c>
      <c r="K33" s="190">
        <v>-5000</v>
      </c>
      <c r="L33" s="155"/>
      <c r="M33" s="197"/>
    </row>
    <row r="34" spans="1:14" x14ac:dyDescent="0.3">
      <c r="A34" s="7" t="s">
        <v>47</v>
      </c>
      <c r="B34" s="39">
        <f>SUM(B18:B33)</f>
        <v>-218877</v>
      </c>
      <c r="C34" s="39">
        <f t="shared" ref="C34:H34" si="1">SUM(C18:C33)</f>
        <v>-258934</v>
      </c>
      <c r="D34" s="39">
        <f t="shared" si="1"/>
        <v>-187844</v>
      </c>
      <c r="E34" s="39">
        <f t="shared" si="1"/>
        <v>-247088.42</v>
      </c>
      <c r="F34" s="39">
        <f t="shared" si="1"/>
        <v>-325572.77</v>
      </c>
      <c r="G34" s="39">
        <f t="shared" si="1"/>
        <v>-457445</v>
      </c>
      <c r="H34" s="39">
        <f t="shared" si="1"/>
        <v>-467066</v>
      </c>
      <c r="I34" s="39">
        <f>SUM(I18:I33)</f>
        <v>-618159</v>
      </c>
      <c r="J34" s="11">
        <f>SUM(J18:J33)</f>
        <v>-584733</v>
      </c>
      <c r="K34" s="191">
        <f>SUM(K18:K33)</f>
        <v>-591000</v>
      </c>
      <c r="L34" s="205"/>
      <c r="M34" s="206"/>
    </row>
    <row r="35" spans="1:14" x14ac:dyDescent="0.3">
      <c r="A35" s="7"/>
      <c r="B35" s="41"/>
      <c r="C35" s="41"/>
      <c r="D35" s="41"/>
      <c r="E35" s="39"/>
      <c r="F35" s="39"/>
      <c r="G35" s="39"/>
      <c r="H35" s="39"/>
      <c r="I35" s="46"/>
      <c r="J35" s="113"/>
      <c r="K35" s="191"/>
      <c r="L35" s="158"/>
      <c r="M35" s="207"/>
    </row>
    <row r="36" spans="1:14" s="13" customFormat="1" x14ac:dyDescent="0.3">
      <c r="A36" s="7" t="s">
        <v>48</v>
      </c>
      <c r="B36" s="39">
        <f t="shared" ref="B36:J36" si="2">+B34+B15</f>
        <v>-24674</v>
      </c>
      <c r="C36" s="39">
        <f t="shared" si="2"/>
        <v>86791</v>
      </c>
      <c r="D36" s="39">
        <f t="shared" si="2"/>
        <v>32713</v>
      </c>
      <c r="E36" s="39">
        <f t="shared" si="2"/>
        <v>-5009.1400000000431</v>
      </c>
      <c r="F36" s="39">
        <f t="shared" si="2"/>
        <v>-25959.489999999991</v>
      </c>
      <c r="G36" s="39">
        <f t="shared" si="2"/>
        <v>-167525</v>
      </c>
      <c r="H36" s="39">
        <f t="shared" si="2"/>
        <v>13685</v>
      </c>
      <c r="I36" s="12">
        <f t="shared" si="2"/>
        <v>10177</v>
      </c>
      <c r="J36" s="11">
        <f t="shared" si="2"/>
        <v>36557</v>
      </c>
      <c r="K36" s="191">
        <f>K15+K34</f>
        <v>9000</v>
      </c>
      <c r="L36" s="158"/>
      <c r="M36" s="207"/>
    </row>
    <row r="37" spans="1:14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1"/>
      <c r="K37" s="191"/>
      <c r="L37" s="158"/>
      <c r="M37" s="207"/>
    </row>
    <row r="38" spans="1:14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1">
        <v>0</v>
      </c>
      <c r="K38" s="191">
        <v>0</v>
      </c>
      <c r="L38" s="155"/>
      <c r="M38" s="206"/>
    </row>
    <row r="39" spans="1:14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1"/>
      <c r="K39" s="210"/>
      <c r="L39" s="205"/>
      <c r="M39" s="206"/>
    </row>
    <row r="40" spans="1:14" s="13" customFormat="1" ht="16.2" thickBot="1" x14ac:dyDescent="0.35">
      <c r="A40" s="7" t="s">
        <v>88</v>
      </c>
      <c r="B40" s="39">
        <f t="shared" ref="B40:J40" si="3">+B38+B36</f>
        <v>-34674</v>
      </c>
      <c r="C40" s="39">
        <f t="shared" si="3"/>
        <v>76791</v>
      </c>
      <c r="D40" s="39">
        <f t="shared" si="3"/>
        <v>22713</v>
      </c>
      <c r="E40" s="39">
        <f t="shared" si="3"/>
        <v>-15009.140000000043</v>
      </c>
      <c r="F40" s="39">
        <f t="shared" si="3"/>
        <v>-35959.489999999991</v>
      </c>
      <c r="G40" s="39">
        <f t="shared" si="3"/>
        <v>-181974</v>
      </c>
      <c r="H40" s="39">
        <f t="shared" si="3"/>
        <v>13685</v>
      </c>
      <c r="I40" s="12">
        <f t="shared" si="3"/>
        <v>10177</v>
      </c>
      <c r="J40" s="154">
        <f t="shared" si="3"/>
        <v>36557</v>
      </c>
      <c r="K40" s="192">
        <f>+K38+K36</f>
        <v>9000</v>
      </c>
      <c r="L40" s="155"/>
      <c r="M40" s="208"/>
    </row>
    <row r="41" spans="1:14" s="13" customFormat="1" x14ac:dyDescent="0.3">
      <c r="A41" s="4"/>
      <c r="B41" s="4"/>
      <c r="C41" s="4"/>
      <c r="D41" s="4"/>
      <c r="E41" s="4"/>
      <c r="F41" s="4"/>
      <c r="G41" s="4"/>
      <c r="H41" s="4"/>
      <c r="K41" s="58"/>
      <c r="L41" s="196"/>
      <c r="M41" s="155"/>
    </row>
    <row r="47" spans="1:14" s="4" customFormat="1" x14ac:dyDescent="0.3">
      <c r="L47" s="196"/>
      <c r="M47" s="155"/>
      <c r="N47" s="1"/>
    </row>
    <row r="48" spans="1:14" s="4" customFormat="1" x14ac:dyDescent="0.3">
      <c r="L48" s="196"/>
      <c r="M48" s="155"/>
      <c r="N48" s="1"/>
    </row>
    <row r="49" spans="12:14" s="4" customFormat="1" x14ac:dyDescent="0.3">
      <c r="L49" s="196"/>
      <c r="M49" s="155"/>
      <c r="N49" s="1"/>
    </row>
    <row r="50" spans="12:14" s="4" customFormat="1" x14ac:dyDescent="0.3">
      <c r="L50" s="196"/>
      <c r="M50" s="155"/>
      <c r="N50" s="1"/>
    </row>
  </sheetData>
  <mergeCells count="1">
    <mergeCell ref="E1:G1"/>
  </mergeCells>
  <pageMargins left="0.7" right="0.7" top="0.75" bottom="0.75" header="0.3" footer="0.3"/>
  <pageSetup paperSize="9" scale="72" orientation="landscape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  <pageSetUpPr fitToPage="1"/>
  </sheetPr>
  <dimension ref="A1:O52"/>
  <sheetViews>
    <sheetView zoomScale="90" zoomScaleNormal="90" workbookViewId="0">
      <pane xSplit="1" ySplit="3" topLeftCell="F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bestFit="1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0" width="16.44140625" style="1" customWidth="1"/>
    <col min="11" max="12" width="18.5546875" style="1" bestFit="1" customWidth="1"/>
    <col min="13" max="13" width="27" style="196" customWidth="1"/>
    <col min="14" max="14" width="12" style="155" customWidth="1"/>
    <col min="15" max="16384" width="9.109375" style="1"/>
  </cols>
  <sheetData>
    <row r="1" spans="1:14" ht="31.8" thickBot="1" x14ac:dyDescent="0.65">
      <c r="A1" s="211" t="s">
        <v>486</v>
      </c>
      <c r="C1" s="224"/>
      <c r="D1" s="224"/>
      <c r="E1" s="295" t="s">
        <v>487</v>
      </c>
      <c r="F1" s="295"/>
      <c r="G1" s="295"/>
    </row>
    <row r="2" spans="1:14" ht="16.2" thickBot="1" x14ac:dyDescent="0.35"/>
    <row r="3" spans="1:14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227">
        <v>2016</v>
      </c>
      <c r="K3" s="57" t="s">
        <v>809</v>
      </c>
      <c r="L3" s="44" t="s">
        <v>1591</v>
      </c>
      <c r="M3" s="156"/>
      <c r="N3" s="156"/>
    </row>
    <row r="4" spans="1:14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110">
        <v>42735</v>
      </c>
      <c r="K4" s="110">
        <v>42735</v>
      </c>
      <c r="L4" s="209"/>
      <c r="M4" s="156"/>
      <c r="N4" s="156"/>
    </row>
    <row r="5" spans="1:14" ht="16.2" thickBot="1" x14ac:dyDescent="0.35">
      <c r="A5" s="32" t="s">
        <v>19</v>
      </c>
      <c r="B5" s="10"/>
      <c r="C5" s="7"/>
      <c r="D5" s="7"/>
      <c r="I5" s="4"/>
      <c r="J5" s="237" t="s">
        <v>2430</v>
      </c>
      <c r="K5" s="111"/>
      <c r="L5" s="8"/>
      <c r="M5" s="155"/>
    </row>
    <row r="6" spans="1:14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9">
        <f>52238+27694+85834+43522</f>
        <v>209288</v>
      </c>
      <c r="K6" s="115">
        <v>209288</v>
      </c>
      <c r="L6" s="190">
        <v>200000</v>
      </c>
      <c r="M6" s="217" t="s">
        <v>2347</v>
      </c>
    </row>
    <row r="7" spans="1:14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9">
        <f>10400+10800+8100+9200+9600+5400+4000+800+400+7500+10200+900+13200+7800-1200+800+400-400+400+200+225+150+6000+2800+2875</f>
        <v>110550</v>
      </c>
      <c r="K7" s="115">
        <v>110550</v>
      </c>
      <c r="L7" s="190">
        <v>110000</v>
      </c>
      <c r="M7" s="236" t="s">
        <v>2417</v>
      </c>
    </row>
    <row r="8" spans="1:14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9">
        <f>650+3276+2520+29769+8260+395+6493+11012+10000+1310+342+345+2260-1880+16765</f>
        <v>91517</v>
      </c>
      <c r="K8" s="115">
        <v>91517</v>
      </c>
      <c r="L8" s="190">
        <v>80000</v>
      </c>
      <c r="M8" s="155"/>
    </row>
    <row r="9" spans="1:14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9">
        <f>5080+5080+5080+25240-25000+5080-5000+3000+3000+5080</f>
        <v>26640</v>
      </c>
      <c r="K9" s="115">
        <v>26640</v>
      </c>
      <c r="L9" s="190">
        <v>35000</v>
      </c>
      <c r="M9" s="217" t="s">
        <v>2421</v>
      </c>
    </row>
    <row r="10" spans="1:14" ht="21.6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9">
        <f>30000+10650+24230+36000-24230+3000-3000-2752</f>
        <v>73898</v>
      </c>
      <c r="K10" s="115">
        <v>73898</v>
      </c>
      <c r="L10" s="190">
        <v>60000</v>
      </c>
      <c r="M10" s="217" t="s">
        <v>1864</v>
      </c>
    </row>
    <row r="11" spans="1:14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9">
        <f>81000</f>
        <v>81000</v>
      </c>
      <c r="K11" s="115">
        <v>81000</v>
      </c>
      <c r="L11" s="190">
        <v>100000</v>
      </c>
      <c r="M11" s="155"/>
    </row>
    <row r="12" spans="1:14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9">
        <f>5750-1743-1743-1453-3486-4358-15750+10000+7640+840+1463+5660</f>
        <v>2820</v>
      </c>
      <c r="K12" s="115">
        <v>2820</v>
      </c>
      <c r="L12" s="190">
        <v>0</v>
      </c>
      <c r="M12" s="155"/>
    </row>
    <row r="13" spans="1:14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9">
        <v>0</v>
      </c>
      <c r="K13" s="115">
        <v>0</v>
      </c>
      <c r="L13" s="190">
        <v>0</v>
      </c>
      <c r="M13" s="155"/>
    </row>
    <row r="14" spans="1:14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9">
        <f>2914+5838+4950+240+1000+6365+1880+2390</f>
        <v>25577</v>
      </c>
      <c r="K14" s="115">
        <v>25577</v>
      </c>
      <c r="L14" s="190">
        <v>15000</v>
      </c>
      <c r="M14" s="217" t="s">
        <v>2429</v>
      </c>
    </row>
    <row r="15" spans="1:14" x14ac:dyDescent="0.3">
      <c r="A15" s="7" t="s">
        <v>29</v>
      </c>
      <c r="B15" s="39">
        <f t="shared" ref="B15:L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11">
        <f t="shared" si="0"/>
        <v>621290</v>
      </c>
      <c r="K15" s="116">
        <f t="shared" si="0"/>
        <v>621290</v>
      </c>
      <c r="L15" s="191">
        <f t="shared" si="0"/>
        <v>600000</v>
      </c>
      <c r="M15" s="155"/>
    </row>
    <row r="16" spans="1:14" ht="16.2" thickBot="1" x14ac:dyDescent="0.35">
      <c r="B16" s="38"/>
      <c r="C16" s="40"/>
      <c r="D16" s="40"/>
      <c r="E16" s="38"/>
      <c r="F16" s="40"/>
      <c r="G16" s="40"/>
      <c r="H16" s="40"/>
      <c r="I16" s="40"/>
      <c r="J16" s="111"/>
      <c r="K16" s="117"/>
      <c r="L16" s="190"/>
      <c r="M16" s="155"/>
    </row>
    <row r="17" spans="1:15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112"/>
      <c r="K17" s="118"/>
      <c r="L17" s="190"/>
      <c r="M17" s="159"/>
      <c r="N17" s="159"/>
    </row>
    <row r="18" spans="1:15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9">
        <f>-975-3576-25151+2412-26894-7152-45412</f>
        <v>-106748</v>
      </c>
      <c r="K18" s="115">
        <v>-106748</v>
      </c>
      <c r="L18" s="190">
        <v>-120000</v>
      </c>
      <c r="M18" s="155"/>
      <c r="N18" s="197"/>
      <c r="O18" s="55"/>
    </row>
    <row r="19" spans="1:15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9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15">
        <v>-126124</v>
      </c>
      <c r="L19" s="190">
        <v>-130000</v>
      </c>
      <c r="M19" s="157" t="s">
        <v>2428</v>
      </c>
      <c r="N19" s="197"/>
    </row>
    <row r="20" spans="1:15" ht="24.6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9">
        <f>-3760-1277-3685+3685-2253-17843-2444-4021-349-5145-111-368-279-322</f>
        <v>-38172</v>
      </c>
      <c r="K20" s="115">
        <v>-38172</v>
      </c>
      <c r="L20" s="190">
        <v>-20000</v>
      </c>
      <c r="M20" s="157" t="s">
        <v>1777</v>
      </c>
      <c r="N20" s="197"/>
    </row>
    <row r="21" spans="1:15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9">
        <f>-2100-1969-5000-500-15500-1440-629-7355</f>
        <v>-34493</v>
      </c>
      <c r="K21" s="115">
        <v>-34493</v>
      </c>
      <c r="L21" s="190">
        <v>-50000</v>
      </c>
      <c r="M21" s="155"/>
      <c r="N21" s="197"/>
    </row>
    <row r="22" spans="1:15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9">
        <f>-4000-5500-4000-407</f>
        <v>-13907</v>
      </c>
      <c r="K22" s="115">
        <v>-13907</v>
      </c>
      <c r="L22" s="190">
        <v>-15000</v>
      </c>
      <c r="M22" s="155"/>
      <c r="N22" s="197"/>
    </row>
    <row r="23" spans="1:15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9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15">
        <v>-74602</v>
      </c>
      <c r="L23" s="190">
        <v>-55000</v>
      </c>
      <c r="M23" s="157" t="s">
        <v>2418</v>
      </c>
      <c r="N23" s="197"/>
    </row>
    <row r="24" spans="1:15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9">
        <f>-2750</f>
        <v>-2750</v>
      </c>
      <c r="K24" s="115">
        <v>-2750</v>
      </c>
      <c r="L24" s="190">
        <v>-4000</v>
      </c>
      <c r="M24" s="155"/>
      <c r="N24" s="197"/>
    </row>
    <row r="25" spans="1:15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9">
        <f>-800-1200-1100-3350-1400-1000-2000-1000-1400-300-1200-1400-1800-1500-1500-1600-1400-1400</f>
        <v>-25350</v>
      </c>
      <c r="K25" s="115">
        <v>-25350</v>
      </c>
      <c r="L25" s="190">
        <v>-25000</v>
      </c>
      <c r="M25" s="157"/>
      <c r="N25" s="197"/>
    </row>
    <row r="26" spans="1:15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9">
        <f>-1000-3000-6600-9700-4500-1900-1200-2000-2400-2000-400-500-2000</f>
        <v>-37200</v>
      </c>
      <c r="K26" s="115">
        <v>-37200</v>
      </c>
      <c r="L26" s="190">
        <v>-25000</v>
      </c>
      <c r="M26" s="157" t="s">
        <v>2427</v>
      </c>
      <c r="N26" s="197"/>
    </row>
    <row r="27" spans="1:15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9">
        <f>-4700-2390-8400</f>
        <v>-15490</v>
      </c>
      <c r="K27" s="115">
        <v>-15490</v>
      </c>
      <c r="L27" s="190">
        <v>-15000</v>
      </c>
      <c r="M27" s="155"/>
      <c r="N27" s="197"/>
    </row>
    <row r="28" spans="1:15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9">
        <f>-1500-10000-500-4000</f>
        <v>-16000</v>
      </c>
      <c r="K28" s="115">
        <v>-16000</v>
      </c>
      <c r="L28" s="190">
        <v>-25000</v>
      </c>
      <c r="M28" s="157" t="s">
        <v>2419</v>
      </c>
      <c r="N28" s="197"/>
    </row>
    <row r="29" spans="1:15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9">
        <f>-500-2500-500-1000</f>
        <v>-4500</v>
      </c>
      <c r="K29" s="115">
        <v>-4500</v>
      </c>
      <c r="L29" s="190">
        <v>0</v>
      </c>
      <c r="M29" s="157" t="s">
        <v>2420</v>
      </c>
    </row>
    <row r="30" spans="1:15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9">
        <f>-771-500</f>
        <v>-1271</v>
      </c>
      <c r="K30" s="115">
        <v>-1271</v>
      </c>
      <c r="L30" s="190">
        <v>-2000</v>
      </c>
      <c r="M30" s="157"/>
    </row>
    <row r="31" spans="1:15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9">
        <f>-268-800-800-800-800-800-800-800-800-800-800-800-800-800-800-800-800-800-264-800-800-28998-800-800-800-36777</f>
        <v>-83907</v>
      </c>
      <c r="K31" s="115">
        <v>-83907</v>
      </c>
      <c r="L31" s="190">
        <v>-100000</v>
      </c>
      <c r="M31" s="155"/>
      <c r="N31" s="197"/>
    </row>
    <row r="32" spans="1:15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9">
        <f>-160</f>
        <v>-160</v>
      </c>
      <c r="K32" s="115">
        <v>-160</v>
      </c>
      <c r="L32" s="190">
        <v>0</v>
      </c>
      <c r="M32" s="155"/>
      <c r="N32" s="197"/>
    </row>
    <row r="33" spans="1:15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9">
        <f>140-1170-608-2080-341</f>
        <v>-4059</v>
      </c>
      <c r="K33" s="115">
        <v>-4059</v>
      </c>
      <c r="L33" s="190">
        <v>-5000</v>
      </c>
      <c r="M33" s="155"/>
      <c r="N33" s="197"/>
    </row>
    <row r="34" spans="1:15" x14ac:dyDescent="0.3">
      <c r="A34" s="7" t="s">
        <v>47</v>
      </c>
      <c r="B34" s="39">
        <f>SUM(B18:B33)</f>
        <v>-218877</v>
      </c>
      <c r="C34" s="39">
        <f t="shared" ref="C34:H34" si="1">SUM(C18:C33)</f>
        <v>-258934</v>
      </c>
      <c r="D34" s="39">
        <f t="shared" si="1"/>
        <v>-187844</v>
      </c>
      <c r="E34" s="39">
        <f t="shared" si="1"/>
        <v>-247088.42</v>
      </c>
      <c r="F34" s="39">
        <f t="shared" si="1"/>
        <v>-325572.77</v>
      </c>
      <c r="G34" s="39">
        <f t="shared" si="1"/>
        <v>-457445</v>
      </c>
      <c r="H34" s="39">
        <f t="shared" si="1"/>
        <v>-467066</v>
      </c>
      <c r="I34" s="39">
        <f>SUM(I18:I33)</f>
        <v>-618159</v>
      </c>
      <c r="J34" s="11">
        <f>SUM(J18:J33)</f>
        <v>-584733</v>
      </c>
      <c r="K34" s="116">
        <f>SUM(K18:K33)</f>
        <v>-584733</v>
      </c>
      <c r="L34" s="191">
        <f>SUM(L18:L33)</f>
        <v>-591000</v>
      </c>
      <c r="M34" s="205"/>
      <c r="N34" s="206"/>
    </row>
    <row r="35" spans="1:15" x14ac:dyDescent="0.3">
      <c r="A35" s="7"/>
      <c r="B35" s="41"/>
      <c r="C35" s="41"/>
      <c r="D35" s="41"/>
      <c r="E35" s="39"/>
      <c r="F35" s="39"/>
      <c r="G35" s="39"/>
      <c r="H35" s="39"/>
      <c r="I35" s="46"/>
      <c r="J35" s="113"/>
      <c r="K35" s="117"/>
      <c r="L35" s="191"/>
      <c r="M35" s="158"/>
      <c r="N35" s="207"/>
    </row>
    <row r="36" spans="1:15" s="13" customFormat="1" ht="38.25" customHeight="1" x14ac:dyDescent="0.3">
      <c r="A36" s="7" t="s">
        <v>48</v>
      </c>
      <c r="B36" s="39">
        <f t="shared" ref="B36:K36" si="2">+B34+B15</f>
        <v>-24674</v>
      </c>
      <c r="C36" s="39">
        <f t="shared" si="2"/>
        <v>86791</v>
      </c>
      <c r="D36" s="39">
        <f t="shared" si="2"/>
        <v>32713</v>
      </c>
      <c r="E36" s="39">
        <f t="shared" si="2"/>
        <v>-5009.1400000000431</v>
      </c>
      <c r="F36" s="39">
        <f t="shared" si="2"/>
        <v>-25959.489999999991</v>
      </c>
      <c r="G36" s="39">
        <f t="shared" si="2"/>
        <v>-167525</v>
      </c>
      <c r="H36" s="39">
        <f t="shared" si="2"/>
        <v>13685</v>
      </c>
      <c r="I36" s="12">
        <f t="shared" si="2"/>
        <v>10177</v>
      </c>
      <c r="J36" s="11">
        <f t="shared" si="2"/>
        <v>36557</v>
      </c>
      <c r="K36" s="116">
        <f t="shared" si="2"/>
        <v>36557</v>
      </c>
      <c r="L36" s="191">
        <f>L15+L34</f>
        <v>9000</v>
      </c>
      <c r="M36" s="158"/>
      <c r="N36" s="207"/>
    </row>
    <row r="37" spans="1:15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1"/>
      <c r="K37" s="116"/>
      <c r="L37" s="191"/>
      <c r="M37" s="158"/>
      <c r="N37" s="207"/>
    </row>
    <row r="38" spans="1:15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1">
        <v>0</v>
      </c>
      <c r="K38" s="116">
        <v>0</v>
      </c>
      <c r="L38" s="191">
        <v>0</v>
      </c>
      <c r="M38" s="155"/>
      <c r="N38" s="206"/>
    </row>
    <row r="39" spans="1:15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1"/>
      <c r="K39" s="116"/>
      <c r="L39" s="210"/>
      <c r="M39" s="205"/>
      <c r="N39" s="206"/>
    </row>
    <row r="40" spans="1:15" s="13" customFormat="1" ht="16.2" thickBot="1" x14ac:dyDescent="0.35">
      <c r="A40" s="7" t="s">
        <v>88</v>
      </c>
      <c r="B40" s="39">
        <f t="shared" ref="B40:K40" si="3">+B38+B36</f>
        <v>-34674</v>
      </c>
      <c r="C40" s="39">
        <f t="shared" si="3"/>
        <v>76791</v>
      </c>
      <c r="D40" s="39">
        <f t="shared" si="3"/>
        <v>22713</v>
      </c>
      <c r="E40" s="39">
        <f t="shared" si="3"/>
        <v>-15009.140000000043</v>
      </c>
      <c r="F40" s="39">
        <f t="shared" si="3"/>
        <v>-35959.489999999991</v>
      </c>
      <c r="G40" s="39">
        <f t="shared" si="3"/>
        <v>-181974</v>
      </c>
      <c r="H40" s="39">
        <f t="shared" si="3"/>
        <v>13685</v>
      </c>
      <c r="I40" s="12">
        <f t="shared" si="3"/>
        <v>10177</v>
      </c>
      <c r="J40" s="154">
        <f t="shared" si="3"/>
        <v>36557</v>
      </c>
      <c r="K40" s="33">
        <f t="shared" si="3"/>
        <v>36557</v>
      </c>
      <c r="L40" s="192">
        <f>+L38+L36</f>
        <v>9000</v>
      </c>
      <c r="M40" s="155"/>
      <c r="N40" s="208"/>
    </row>
    <row r="41" spans="1:15" s="13" customFormat="1" x14ac:dyDescent="0.3">
      <c r="A41" s="4"/>
      <c r="B41" s="4"/>
      <c r="C41" s="4"/>
      <c r="D41" s="4"/>
      <c r="E41" s="4"/>
      <c r="F41" s="4"/>
      <c r="G41" s="4"/>
      <c r="H41" s="4"/>
      <c r="K41" s="58"/>
      <c r="L41" s="58"/>
      <c r="M41" s="196"/>
      <c r="N41" s="155"/>
    </row>
    <row r="43" spans="1:15" x14ac:dyDescent="0.3">
      <c r="K43" s="99"/>
    </row>
    <row r="44" spans="1:15" x14ac:dyDescent="0.3">
      <c r="K44" s="222"/>
    </row>
    <row r="45" spans="1:15" x14ac:dyDescent="0.3">
      <c r="K45" s="207"/>
    </row>
    <row r="46" spans="1:15" x14ac:dyDescent="0.3">
      <c r="K46" s="222"/>
    </row>
    <row r="47" spans="1:15" s="4" customFormat="1" x14ac:dyDescent="0.3">
      <c r="K47" s="99"/>
      <c r="M47" s="196"/>
      <c r="N47" s="155"/>
      <c r="O47" s="1"/>
    </row>
    <row r="48" spans="1:15" s="4" customFormat="1" x14ac:dyDescent="0.3">
      <c r="K48" s="99"/>
      <c r="M48" s="196"/>
      <c r="N48" s="155"/>
      <c r="O48" s="1"/>
    </row>
    <row r="49" spans="11:15" s="4" customFormat="1" x14ac:dyDescent="0.3">
      <c r="K49" s="99"/>
      <c r="M49" s="196"/>
      <c r="N49" s="155"/>
      <c r="O49" s="1"/>
    </row>
    <row r="50" spans="11:15" s="4" customFormat="1" x14ac:dyDescent="0.3">
      <c r="K50" s="99"/>
      <c r="M50" s="196"/>
      <c r="N50" s="155"/>
      <c r="O50" s="1"/>
    </row>
    <row r="51" spans="11:15" x14ac:dyDescent="0.3">
      <c r="K51" s="99"/>
    </row>
    <row r="52" spans="11:15" x14ac:dyDescent="0.3">
      <c r="K52" s="223"/>
    </row>
  </sheetData>
  <mergeCells count="1">
    <mergeCell ref="E1:G1"/>
  </mergeCells>
  <pageMargins left="0.7" right="0.7" top="0.75" bottom="0.75" header="0.3" footer="0.3"/>
  <pageSetup paperSize="9" scale="61" orientation="landscape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  <pageSetUpPr fitToPage="1"/>
  </sheetPr>
  <dimension ref="A1:O52"/>
  <sheetViews>
    <sheetView zoomScale="90" zoomScaleNormal="90" workbookViewId="0">
      <pane xSplit="1" ySplit="3" topLeftCell="F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bestFit="1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0" width="16.44140625" style="1" customWidth="1"/>
    <col min="11" max="12" width="18.5546875" style="1" bestFit="1" customWidth="1"/>
    <col min="13" max="13" width="27" style="196" customWidth="1"/>
    <col min="14" max="14" width="12" style="155" customWidth="1"/>
    <col min="15" max="16384" width="9.109375" style="1"/>
  </cols>
  <sheetData>
    <row r="1" spans="1:14" ht="31.8" thickBot="1" x14ac:dyDescent="0.65">
      <c r="A1" s="211" t="s">
        <v>486</v>
      </c>
      <c r="C1" s="224"/>
      <c r="D1" s="224"/>
      <c r="E1" s="295" t="s">
        <v>487</v>
      </c>
      <c r="F1" s="295"/>
      <c r="G1" s="295"/>
    </row>
    <row r="2" spans="1:14" ht="16.2" thickBot="1" x14ac:dyDescent="0.35"/>
    <row r="3" spans="1:14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227">
        <v>2016</v>
      </c>
      <c r="K3" s="57" t="s">
        <v>809</v>
      </c>
      <c r="L3" s="44" t="s">
        <v>1591</v>
      </c>
      <c r="M3" s="156"/>
      <c r="N3" s="156"/>
    </row>
    <row r="4" spans="1:14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110">
        <v>42698</v>
      </c>
      <c r="K4" s="110">
        <v>42735</v>
      </c>
      <c r="L4" s="209"/>
      <c r="M4" s="156"/>
      <c r="N4" s="156"/>
    </row>
    <row r="5" spans="1:14" ht="16.2" thickBot="1" x14ac:dyDescent="0.35">
      <c r="A5" s="32" t="s">
        <v>19</v>
      </c>
      <c r="B5" s="10"/>
      <c r="C5" s="7"/>
      <c r="D5" s="7"/>
      <c r="I5" s="4"/>
      <c r="J5" s="111"/>
      <c r="K5" s="111"/>
      <c r="L5" s="8"/>
      <c r="M5" s="155"/>
    </row>
    <row r="6" spans="1:14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9">
        <f>52238+27694+85834+43522</f>
        <v>209288</v>
      </c>
      <c r="K6" s="115">
        <v>210000</v>
      </c>
      <c r="L6" s="190">
        <v>200000</v>
      </c>
      <c r="M6" s="217" t="s">
        <v>2347</v>
      </c>
    </row>
    <row r="7" spans="1:14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9">
        <f>10400+10800+8100+9200+9600+5400+4000+800+400+7500+10200+900+13200+7800-1200+800+400-400+400+200+225+150</f>
        <v>98875</v>
      </c>
      <c r="K7" s="115">
        <v>105000</v>
      </c>
      <c r="L7" s="190">
        <v>110000</v>
      </c>
      <c r="M7" s="217" t="s">
        <v>2148</v>
      </c>
    </row>
    <row r="8" spans="1:14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9">
        <f>650+3276+2520+29769+8260+395+6493+11012+10000+1310+342+345</f>
        <v>74372</v>
      </c>
      <c r="K8" s="115">
        <v>85000</v>
      </c>
      <c r="L8" s="190">
        <v>80000</v>
      </c>
      <c r="M8" s="155"/>
    </row>
    <row r="9" spans="1:14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9">
        <f>5080+5080+5080+25240-25000+5080-5000+3000+3000+5080</f>
        <v>26640</v>
      </c>
      <c r="K9" s="115">
        <v>32000</v>
      </c>
      <c r="L9" s="190">
        <v>35000</v>
      </c>
      <c r="M9" s="217" t="s">
        <v>2374</v>
      </c>
    </row>
    <row r="10" spans="1:14" ht="21.6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9">
        <f>30000+10650+24230+36000-24230+3000-3000-2752</f>
        <v>73898</v>
      </c>
      <c r="K10" s="115">
        <v>74000</v>
      </c>
      <c r="L10" s="190">
        <v>60000</v>
      </c>
      <c r="M10" s="217" t="s">
        <v>1864</v>
      </c>
    </row>
    <row r="11" spans="1:14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9">
        <f>81000</f>
        <v>81000</v>
      </c>
      <c r="K11" s="115">
        <v>81000</v>
      </c>
      <c r="L11" s="190">
        <v>100000</v>
      </c>
      <c r="M11" s="155"/>
    </row>
    <row r="12" spans="1:14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9">
        <f>5750-1743-1743-1453-3486-4358-15750+10000+7640+840+1463+5660</f>
        <v>2820</v>
      </c>
      <c r="K12" s="115">
        <v>2820</v>
      </c>
      <c r="L12" s="190">
        <v>0</v>
      </c>
      <c r="M12" s="155"/>
    </row>
    <row r="13" spans="1:14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9">
        <v>0</v>
      </c>
      <c r="K13" s="115">
        <v>0</v>
      </c>
      <c r="L13" s="190">
        <v>0</v>
      </c>
      <c r="M13" s="155"/>
    </row>
    <row r="14" spans="1:14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9">
        <f>2914+5838+4950+240+1000</f>
        <v>14942</v>
      </c>
      <c r="K14" s="115">
        <v>20000</v>
      </c>
      <c r="L14" s="190">
        <v>15000</v>
      </c>
      <c r="M14" s="155"/>
    </row>
    <row r="15" spans="1:14" x14ac:dyDescent="0.3">
      <c r="A15" s="7" t="s">
        <v>29</v>
      </c>
      <c r="B15" s="39">
        <f t="shared" ref="B15:L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11">
        <f t="shared" si="0"/>
        <v>581835</v>
      </c>
      <c r="K15" s="116">
        <f t="shared" si="0"/>
        <v>609820</v>
      </c>
      <c r="L15" s="191">
        <f t="shared" si="0"/>
        <v>600000</v>
      </c>
      <c r="M15" s="155"/>
    </row>
    <row r="16" spans="1:14" ht="16.2" thickBot="1" x14ac:dyDescent="0.35">
      <c r="B16" s="38"/>
      <c r="C16" s="40"/>
      <c r="D16" s="40"/>
      <c r="E16" s="38"/>
      <c r="F16" s="40"/>
      <c r="G16" s="40"/>
      <c r="H16" s="40"/>
      <c r="I16" s="40"/>
      <c r="J16" s="111"/>
      <c r="K16" s="117"/>
      <c r="L16" s="190"/>
      <c r="M16" s="155"/>
    </row>
    <row r="17" spans="1:15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112"/>
      <c r="K17" s="118"/>
      <c r="L17" s="190"/>
      <c r="M17" s="159"/>
      <c r="N17" s="159"/>
    </row>
    <row r="18" spans="1:15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9">
        <f>-975-3576-25151+2412-26894-7152-45412</f>
        <v>-106748</v>
      </c>
      <c r="K18" s="115">
        <v>-107000</v>
      </c>
      <c r="L18" s="190">
        <v>-120000</v>
      </c>
      <c r="M18" s="155"/>
      <c r="N18" s="197"/>
      <c r="O18" s="55"/>
    </row>
    <row r="19" spans="1:15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9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</f>
        <v>-122253</v>
      </c>
      <c r="K19" s="115">
        <v>-125000</v>
      </c>
      <c r="L19" s="190">
        <v>-130000</v>
      </c>
      <c r="M19" s="157" t="s">
        <v>2373</v>
      </c>
      <c r="N19" s="197"/>
    </row>
    <row r="20" spans="1:15" ht="24.6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9">
        <f>-3760-1277-3685+3685-2253-17843-2444-4021-349-5145-111-368-279</f>
        <v>-37850</v>
      </c>
      <c r="K20" s="115">
        <v>-40000</v>
      </c>
      <c r="L20" s="190">
        <v>-20000</v>
      </c>
      <c r="M20" s="157" t="s">
        <v>1777</v>
      </c>
      <c r="N20" s="197"/>
    </row>
    <row r="21" spans="1:15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9">
        <f>-2100-1969-5000-500-15500-1440</f>
        <v>-26509</v>
      </c>
      <c r="K21" s="115">
        <v>-35000</v>
      </c>
      <c r="L21" s="190">
        <v>-50000</v>
      </c>
      <c r="M21" s="155"/>
      <c r="N21" s="197"/>
    </row>
    <row r="22" spans="1:15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9">
        <f>-4000-5500-4000-407</f>
        <v>-13907</v>
      </c>
      <c r="K22" s="115">
        <v>-15000</v>
      </c>
      <c r="L22" s="190">
        <v>-15000</v>
      </c>
      <c r="M22" s="155"/>
      <c r="N22" s="197"/>
    </row>
    <row r="23" spans="1:15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9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</f>
        <v>-51015</v>
      </c>
      <c r="K23" s="115">
        <v>-65000</v>
      </c>
      <c r="L23" s="190">
        <v>-55000</v>
      </c>
      <c r="M23" s="157" t="s">
        <v>2375</v>
      </c>
      <c r="N23" s="197"/>
    </row>
    <row r="24" spans="1:15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9">
        <f>-2750</f>
        <v>-2750</v>
      </c>
      <c r="K24" s="115">
        <v>-2750</v>
      </c>
      <c r="L24" s="190">
        <v>-4000</v>
      </c>
      <c r="M24" s="155"/>
      <c r="N24" s="197"/>
    </row>
    <row r="25" spans="1:15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9">
        <f>-800-1200-1100-3350-1400-1000-2000-1000-1400-300-1200-1400-1800-1500-1500</f>
        <v>-20950</v>
      </c>
      <c r="K25" s="115">
        <v>-25000</v>
      </c>
      <c r="L25" s="190">
        <v>-25000</v>
      </c>
      <c r="M25" s="157"/>
      <c r="N25" s="197"/>
    </row>
    <row r="26" spans="1:15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9">
        <f>-1000-3000-6600-9700-4500-1900-1200-2000-2400</f>
        <v>-32300</v>
      </c>
      <c r="K26" s="115">
        <v>-35000</v>
      </c>
      <c r="L26" s="190">
        <v>-25000</v>
      </c>
      <c r="M26" s="157" t="s">
        <v>2266</v>
      </c>
      <c r="N26" s="197"/>
    </row>
    <row r="27" spans="1:15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9">
        <f>-4700</f>
        <v>-4700</v>
      </c>
      <c r="K27" s="115">
        <v>-15000</v>
      </c>
      <c r="L27" s="190">
        <v>-15000</v>
      </c>
      <c r="M27" s="155"/>
      <c r="N27" s="197"/>
    </row>
    <row r="28" spans="1:15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9">
        <v>0</v>
      </c>
      <c r="K28" s="115">
        <v>-15000</v>
      </c>
      <c r="L28" s="190">
        <v>-25000</v>
      </c>
      <c r="M28" s="157" t="s">
        <v>1605</v>
      </c>
      <c r="N28" s="197"/>
    </row>
    <row r="29" spans="1:15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9">
        <v>0</v>
      </c>
      <c r="K29" s="115">
        <v>0</v>
      </c>
      <c r="L29" s="190">
        <v>0</v>
      </c>
      <c r="M29" s="155"/>
    </row>
    <row r="30" spans="1:15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9">
        <f>-771-500</f>
        <v>-1271</v>
      </c>
      <c r="K30" s="115">
        <v>-2000</v>
      </c>
      <c r="L30" s="190">
        <v>-2000</v>
      </c>
      <c r="M30" s="155"/>
    </row>
    <row r="31" spans="1:15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9">
        <f>-268-800-800-800-800-800-800-800-800-800-800-800-800-800-800-800-800-800-264-800-800-28998-800-800-800-36777</f>
        <v>-83907</v>
      </c>
      <c r="K31" s="115">
        <v>-83907</v>
      </c>
      <c r="L31" s="190">
        <v>-100000</v>
      </c>
      <c r="M31" s="155"/>
      <c r="N31" s="197"/>
    </row>
    <row r="32" spans="1:15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9">
        <f>-160</f>
        <v>-160</v>
      </c>
      <c r="K32" s="115">
        <v>0</v>
      </c>
      <c r="L32" s="190">
        <v>0</v>
      </c>
      <c r="M32" s="155"/>
      <c r="N32" s="197"/>
    </row>
    <row r="33" spans="1:15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9">
        <f>140-1170-608-2080-341</f>
        <v>-4059</v>
      </c>
      <c r="K33" s="115">
        <v>-5000</v>
      </c>
      <c r="L33" s="190">
        <v>-5000</v>
      </c>
      <c r="M33" s="155"/>
      <c r="N33" s="197"/>
    </row>
    <row r="34" spans="1:15" x14ac:dyDescent="0.3">
      <c r="A34" s="7" t="s">
        <v>47</v>
      </c>
      <c r="B34" s="39">
        <f>SUM(B18:B33)</f>
        <v>-218877</v>
      </c>
      <c r="C34" s="39">
        <f t="shared" ref="C34:H34" si="1">SUM(C18:C33)</f>
        <v>-258934</v>
      </c>
      <c r="D34" s="39">
        <f t="shared" si="1"/>
        <v>-187844</v>
      </c>
      <c r="E34" s="39">
        <f t="shared" si="1"/>
        <v>-247088.42</v>
      </c>
      <c r="F34" s="39">
        <f t="shared" si="1"/>
        <v>-325572.77</v>
      </c>
      <c r="G34" s="39">
        <f t="shared" si="1"/>
        <v>-457445</v>
      </c>
      <c r="H34" s="39">
        <f t="shared" si="1"/>
        <v>-467066</v>
      </c>
      <c r="I34" s="39">
        <f>SUM(I18:I33)</f>
        <v>-618159</v>
      </c>
      <c r="J34" s="11">
        <f>SUM(J18:J33)</f>
        <v>-508379</v>
      </c>
      <c r="K34" s="116">
        <f>SUM(K18:K33)</f>
        <v>-570657</v>
      </c>
      <c r="L34" s="191">
        <f>SUM(L18:L33)</f>
        <v>-591000</v>
      </c>
      <c r="M34" s="205"/>
      <c r="N34" s="206"/>
    </row>
    <row r="35" spans="1:15" x14ac:dyDescent="0.3">
      <c r="A35" s="7"/>
      <c r="B35" s="41"/>
      <c r="C35" s="41"/>
      <c r="D35" s="41"/>
      <c r="E35" s="39"/>
      <c r="F35" s="39"/>
      <c r="G35" s="39"/>
      <c r="H35" s="39"/>
      <c r="I35" s="46"/>
      <c r="J35" s="113"/>
      <c r="K35" s="117"/>
      <c r="L35" s="191"/>
      <c r="M35" s="158"/>
      <c r="N35" s="207"/>
    </row>
    <row r="36" spans="1:15" s="13" customFormat="1" ht="38.25" customHeight="1" x14ac:dyDescent="0.3">
      <c r="A36" s="7" t="s">
        <v>48</v>
      </c>
      <c r="B36" s="39">
        <f t="shared" ref="B36:K36" si="2">+B34+B15</f>
        <v>-24674</v>
      </c>
      <c r="C36" s="39">
        <f t="shared" si="2"/>
        <v>86791</v>
      </c>
      <c r="D36" s="39">
        <f t="shared" si="2"/>
        <v>32713</v>
      </c>
      <c r="E36" s="39">
        <f t="shared" si="2"/>
        <v>-5009.1400000000431</v>
      </c>
      <c r="F36" s="39">
        <f t="shared" si="2"/>
        <v>-25959.489999999991</v>
      </c>
      <c r="G36" s="39">
        <f t="shared" si="2"/>
        <v>-167525</v>
      </c>
      <c r="H36" s="39">
        <f t="shared" si="2"/>
        <v>13685</v>
      </c>
      <c r="I36" s="12">
        <f t="shared" si="2"/>
        <v>10177</v>
      </c>
      <c r="J36" s="11">
        <f t="shared" si="2"/>
        <v>73456</v>
      </c>
      <c r="K36" s="116">
        <f t="shared" si="2"/>
        <v>39163</v>
      </c>
      <c r="L36" s="191">
        <f>L15+L34</f>
        <v>9000</v>
      </c>
      <c r="M36" s="158"/>
      <c r="N36" s="207"/>
    </row>
    <row r="37" spans="1:15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1"/>
      <c r="K37" s="116"/>
      <c r="L37" s="191"/>
      <c r="M37" s="158"/>
      <c r="N37" s="207"/>
    </row>
    <row r="38" spans="1:15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1">
        <v>0</v>
      </c>
      <c r="K38" s="116">
        <v>0</v>
      </c>
      <c r="L38" s="191">
        <v>0</v>
      </c>
      <c r="M38" s="155"/>
      <c r="N38" s="206"/>
    </row>
    <row r="39" spans="1:15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1"/>
      <c r="K39" s="116"/>
      <c r="L39" s="210"/>
      <c r="M39" s="205"/>
      <c r="N39" s="206"/>
    </row>
    <row r="40" spans="1:15" s="13" customFormat="1" ht="16.2" thickBot="1" x14ac:dyDescent="0.35">
      <c r="A40" s="7" t="s">
        <v>88</v>
      </c>
      <c r="B40" s="39">
        <f t="shared" ref="B40:K40" si="3">+B38+B36</f>
        <v>-34674</v>
      </c>
      <c r="C40" s="39">
        <f t="shared" si="3"/>
        <v>76791</v>
      </c>
      <c r="D40" s="39">
        <f t="shared" si="3"/>
        <v>22713</v>
      </c>
      <c r="E40" s="39">
        <f t="shared" si="3"/>
        <v>-15009.140000000043</v>
      </c>
      <c r="F40" s="39">
        <f t="shared" si="3"/>
        <v>-35959.489999999991</v>
      </c>
      <c r="G40" s="39">
        <f t="shared" si="3"/>
        <v>-181974</v>
      </c>
      <c r="H40" s="39">
        <f t="shared" si="3"/>
        <v>13685</v>
      </c>
      <c r="I40" s="12">
        <f t="shared" si="3"/>
        <v>10177</v>
      </c>
      <c r="J40" s="154">
        <f t="shared" si="3"/>
        <v>73456</v>
      </c>
      <c r="K40" s="33">
        <f t="shared" si="3"/>
        <v>39163</v>
      </c>
      <c r="L40" s="192">
        <f>+L38+L36</f>
        <v>9000</v>
      </c>
      <c r="M40" s="155"/>
      <c r="N40" s="208"/>
    </row>
    <row r="41" spans="1:15" s="13" customFormat="1" x14ac:dyDescent="0.3">
      <c r="A41" s="4"/>
      <c r="B41" s="4"/>
      <c r="C41" s="4"/>
      <c r="D41" s="4"/>
      <c r="E41" s="4"/>
      <c r="F41" s="4"/>
      <c r="G41" s="4"/>
      <c r="H41" s="4"/>
      <c r="K41" s="58"/>
      <c r="L41" s="58"/>
      <c r="M41" s="196"/>
      <c r="N41" s="155"/>
    </row>
    <row r="43" spans="1:15" x14ac:dyDescent="0.3">
      <c r="K43" s="99"/>
    </row>
    <row r="44" spans="1:15" x14ac:dyDescent="0.3">
      <c r="K44" s="222"/>
    </row>
    <row r="45" spans="1:15" x14ac:dyDescent="0.3">
      <c r="K45" s="207"/>
    </row>
    <row r="46" spans="1:15" x14ac:dyDescent="0.3">
      <c r="K46" s="222"/>
    </row>
    <row r="47" spans="1:15" s="4" customFormat="1" x14ac:dyDescent="0.3">
      <c r="K47" s="99"/>
      <c r="M47" s="196"/>
      <c r="N47" s="155"/>
      <c r="O47" s="1"/>
    </row>
    <row r="48" spans="1:15" s="4" customFormat="1" x14ac:dyDescent="0.3">
      <c r="K48" s="99"/>
      <c r="M48" s="196"/>
      <c r="N48" s="155"/>
      <c r="O48" s="1"/>
    </row>
    <row r="49" spans="11:15" s="4" customFormat="1" x14ac:dyDescent="0.3">
      <c r="K49" s="99"/>
      <c r="M49" s="196"/>
      <c r="N49" s="155"/>
      <c r="O49" s="1"/>
    </row>
    <row r="50" spans="11:15" s="4" customFormat="1" x14ac:dyDescent="0.3">
      <c r="K50" s="99"/>
      <c r="M50" s="196"/>
      <c r="N50" s="155"/>
      <c r="O50" s="1"/>
    </row>
    <row r="51" spans="11:15" x14ac:dyDescent="0.3">
      <c r="K51" s="99"/>
    </row>
    <row r="52" spans="11:15" x14ac:dyDescent="0.3">
      <c r="K52" s="223"/>
    </row>
  </sheetData>
  <mergeCells count="1">
    <mergeCell ref="E1:G1"/>
  </mergeCell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145</vt:i4>
      </vt:variant>
      <vt:variant>
        <vt:lpstr>Namngivna områden</vt:lpstr>
      </vt:variant>
      <vt:variant>
        <vt:i4>117</vt:i4>
      </vt:variant>
    </vt:vector>
  </HeadingPairs>
  <TitlesOfParts>
    <vt:vector size="262" baseType="lpstr">
      <vt:lpstr> Budget 2026</vt:lpstr>
      <vt:lpstr>Balans 2025</vt:lpstr>
      <vt:lpstr> Utfall 2025, SLUTLIG</vt:lpstr>
      <vt:lpstr> Utfall 2025, 251231</vt:lpstr>
      <vt:lpstr> Utfall 2025, 251105</vt:lpstr>
      <vt:lpstr> Utfall 2025, 250925</vt:lpstr>
      <vt:lpstr> Utfall 2025, 250819</vt:lpstr>
      <vt:lpstr> Utfall 2025, 250528</vt:lpstr>
      <vt:lpstr> Utfall 2025, 250504</vt:lpstr>
      <vt:lpstr> Utfall 2025, 250327</vt:lpstr>
      <vt:lpstr> Budget 2025, uppdaterad</vt:lpstr>
      <vt:lpstr> Budget 2025</vt:lpstr>
      <vt:lpstr>Balans 2024</vt:lpstr>
      <vt:lpstr> Utfall 2024, SLUTLIG</vt:lpstr>
      <vt:lpstr> Utfall 2024, 241231</vt:lpstr>
      <vt:lpstr> Utfall 2024, 241204</vt:lpstr>
      <vt:lpstr> Utfall 2024, 241023</vt:lpstr>
      <vt:lpstr> Utfall 2024, 240922</vt:lpstr>
      <vt:lpstr> Utfall 2024, 240915</vt:lpstr>
      <vt:lpstr> Utfall 2024, 240828</vt:lpstr>
      <vt:lpstr> Utfall 2024, 240605</vt:lpstr>
      <vt:lpstr> Utfall 2024, 240503</vt:lpstr>
      <vt:lpstr> Utfall 2024, 240329</vt:lpstr>
      <vt:lpstr> Budget 2024</vt:lpstr>
      <vt:lpstr>Balans 2023</vt:lpstr>
      <vt:lpstr> Utfall 2023, SLUTLIG</vt:lpstr>
      <vt:lpstr> Utfall 2023, 231231</vt:lpstr>
      <vt:lpstr> Utfall 2023, 231108</vt:lpstr>
      <vt:lpstr> Utfall 2023, 230930</vt:lpstr>
      <vt:lpstr> Utfall 2023, 230912</vt:lpstr>
      <vt:lpstr> Utfall 2023, 230812</vt:lpstr>
      <vt:lpstr> Utfall 2023, 230515</vt:lpstr>
      <vt:lpstr> Utfall 2023, 230418</vt:lpstr>
      <vt:lpstr> Utfall 2023, 230207</vt:lpstr>
      <vt:lpstr> Budget 2023</vt:lpstr>
      <vt:lpstr>Balans 2022</vt:lpstr>
      <vt:lpstr> Utfall 2022, SLUTLIG</vt:lpstr>
      <vt:lpstr> Utfall 2022, 221231</vt:lpstr>
      <vt:lpstr> Utfall 2022, 221109</vt:lpstr>
      <vt:lpstr> Utfall 2022, 220920</vt:lpstr>
      <vt:lpstr> Utfall 2022, 220818</vt:lpstr>
      <vt:lpstr> Utfall 2022, 220615</vt:lpstr>
      <vt:lpstr> Utfall 2022, 220516</vt:lpstr>
      <vt:lpstr> Utfall 2022, 220411</vt:lpstr>
      <vt:lpstr> Utfall 2022, 220206</vt:lpstr>
      <vt:lpstr> Budget 2022</vt:lpstr>
      <vt:lpstr>Balans 2021</vt:lpstr>
      <vt:lpstr> Utfall 2021, SLUTLIG</vt:lpstr>
      <vt:lpstr> Utfall 2021, 211231</vt:lpstr>
      <vt:lpstr> Utfall 2021, 211128</vt:lpstr>
      <vt:lpstr> Utfall 2021, 210919</vt:lpstr>
      <vt:lpstr> Utfall 2021, 210822</vt:lpstr>
      <vt:lpstr> Utfall 2021, 210606</vt:lpstr>
      <vt:lpstr> Utfall 2021, 210410</vt:lpstr>
      <vt:lpstr> Budget 2021</vt:lpstr>
      <vt:lpstr>Balans 2020</vt:lpstr>
      <vt:lpstr> Utfall 2020, SLUTLIG</vt:lpstr>
      <vt:lpstr> Utfall 2020, 201231</vt:lpstr>
      <vt:lpstr> Utfall 2020, 201117</vt:lpstr>
      <vt:lpstr> Utfall 2020, 200930</vt:lpstr>
      <vt:lpstr> Utfall 2020, 200815</vt:lpstr>
      <vt:lpstr> Utfall 2020, 200617</vt:lpstr>
      <vt:lpstr> Utfall 2020, 200519</vt:lpstr>
      <vt:lpstr> Utfall 2020, 200420</vt:lpstr>
      <vt:lpstr> Utfall 2020, 200310</vt:lpstr>
      <vt:lpstr> Budget 2020</vt:lpstr>
      <vt:lpstr>Balans 2019</vt:lpstr>
      <vt:lpstr> Utfall 2019 - SLUTLIG</vt:lpstr>
      <vt:lpstr> Utfall 2019, 191231</vt:lpstr>
      <vt:lpstr> Utfall 2019, 191207</vt:lpstr>
      <vt:lpstr> Utfall 2019, 191016</vt:lpstr>
      <vt:lpstr> Utfall 2019, 190917</vt:lpstr>
      <vt:lpstr> Utfall 2019, 190812</vt:lpstr>
      <vt:lpstr> Utfall 2019, 190603</vt:lpstr>
      <vt:lpstr> Utfall 2019, 190319</vt:lpstr>
      <vt:lpstr> Budget 2019</vt:lpstr>
      <vt:lpstr>Balans 2018</vt:lpstr>
      <vt:lpstr> Utfall 2018 - SLUTLIG</vt:lpstr>
      <vt:lpstr> Utfall 2018, 181231</vt:lpstr>
      <vt:lpstr> Utfall 2018, 181111</vt:lpstr>
      <vt:lpstr> Utfall 2018, 180927</vt:lpstr>
      <vt:lpstr> Utfall 2018, 180828</vt:lpstr>
      <vt:lpstr> Utfall 2018, 180429</vt:lpstr>
      <vt:lpstr> Budget 2018</vt:lpstr>
      <vt:lpstr>Balans 2017</vt:lpstr>
      <vt:lpstr> Utfall 2017, SLUTLIG</vt:lpstr>
      <vt:lpstr> Utfall 2017, 171231</vt:lpstr>
      <vt:lpstr> Utfall 2017, 171009</vt:lpstr>
      <vt:lpstr> Utfall 2017, 170905</vt:lpstr>
      <vt:lpstr> Utfall 2017, 170728</vt:lpstr>
      <vt:lpstr> Utfall 2017, 170515</vt:lpstr>
      <vt:lpstr> Utfall 2017, 170320</vt:lpstr>
      <vt:lpstr> Budget 2017</vt:lpstr>
      <vt:lpstr> Utfall A-laget 2016</vt:lpstr>
      <vt:lpstr>Balans 2016</vt:lpstr>
      <vt:lpstr>2016 Transaktionsrapport</vt:lpstr>
      <vt:lpstr> Utfall 2016, SLUTLIG</vt:lpstr>
      <vt:lpstr> Utfall 2016, 161231</vt:lpstr>
      <vt:lpstr> Utfall 2016, 161124</vt:lpstr>
      <vt:lpstr> Utfall 2016, 161023</vt:lpstr>
      <vt:lpstr> Utfall 2016, 160917</vt:lpstr>
      <vt:lpstr> Utfall 2016, 160820</vt:lpstr>
      <vt:lpstr> Utfall 2016, 160610</vt:lpstr>
      <vt:lpstr> Utfall 2016, 160514</vt:lpstr>
      <vt:lpstr> Utfall 2016, 160331</vt:lpstr>
      <vt:lpstr> Utfall 2016, 160229</vt:lpstr>
      <vt:lpstr>Budget 2016</vt:lpstr>
      <vt:lpstr> Utfall A-lag 2015</vt:lpstr>
      <vt:lpstr>Balans 2015</vt:lpstr>
      <vt:lpstr>2015 Transaktionsrapport</vt:lpstr>
      <vt:lpstr> Utfall 2015, SLUTLIGT</vt:lpstr>
      <vt:lpstr> Utfall 2015, 151231</vt:lpstr>
      <vt:lpstr> Utfall 2015, 151121</vt:lpstr>
      <vt:lpstr> Utfall 2015, 151017</vt:lpstr>
      <vt:lpstr> Utfall 2015, 150925</vt:lpstr>
      <vt:lpstr> Utfall 2015, 150824</vt:lpstr>
      <vt:lpstr> Utfall 2015, 150731</vt:lpstr>
      <vt:lpstr> Utfall 2015, 150331</vt:lpstr>
      <vt:lpstr> Budget 2015</vt:lpstr>
      <vt:lpstr>Ledare 2014</vt:lpstr>
      <vt:lpstr>Domare 2014</vt:lpstr>
      <vt:lpstr> Utfall 2014, A-lag</vt:lpstr>
      <vt:lpstr>2014 Transaktionsrapport</vt:lpstr>
      <vt:lpstr>Balans 2014</vt:lpstr>
      <vt:lpstr> Utfall 2014, SLUTLIG</vt:lpstr>
      <vt:lpstr> Utfall 2014, 2014-12-31</vt:lpstr>
      <vt:lpstr> Utfall 2014, 2014-11-30</vt:lpstr>
      <vt:lpstr> Utfall 2014, 2014-09-30</vt:lpstr>
      <vt:lpstr> Utfall 2014, 2014-09-15</vt:lpstr>
      <vt:lpstr> Utfall 2014, 2014-04-30</vt:lpstr>
      <vt:lpstr> Utfall 2014, 2014-05-31</vt:lpstr>
      <vt:lpstr> Utfall 2014, 2014-07-31</vt:lpstr>
      <vt:lpstr>Budget 2014</vt:lpstr>
      <vt:lpstr> Utfall 2013, 2013-12-31 SLUTL</vt:lpstr>
      <vt:lpstr>Balans 2013</vt:lpstr>
      <vt:lpstr>2013 Transaktionsrapport</vt:lpstr>
      <vt:lpstr>Resultat Herrlag 2013</vt:lpstr>
      <vt:lpstr>Domare 2013</vt:lpstr>
      <vt:lpstr>Balans 2012 (Inkl A-lag)</vt:lpstr>
      <vt:lpstr>Resultat 2012 inkl Herrar</vt:lpstr>
      <vt:lpstr>Resultat(utan herr)2012</vt:lpstr>
      <vt:lpstr>Resultat Herrlag 2012</vt:lpstr>
      <vt:lpstr> Budget 2013 herrv1</vt:lpstr>
      <vt:lpstr>2012Transaktionsrapport</vt:lpstr>
      <vt:lpstr>Domare 2012</vt:lpstr>
      <vt:lpstr>' Budget 2015'!Utskriftsområde</vt:lpstr>
      <vt:lpstr>' Budget 2017'!Utskriftsområde</vt:lpstr>
      <vt:lpstr>' Budget 2018'!Utskriftsområde</vt:lpstr>
      <vt:lpstr>' Budget 2019'!Utskriftsområde</vt:lpstr>
      <vt:lpstr>' Budget 2020'!Utskriftsområde</vt:lpstr>
      <vt:lpstr>' Budget 2021'!Utskriftsområde</vt:lpstr>
      <vt:lpstr>' Budget 2022'!Utskriftsområde</vt:lpstr>
      <vt:lpstr>' Budget 2023'!Utskriftsområde</vt:lpstr>
      <vt:lpstr>' Budget 2024'!Utskriftsområde</vt:lpstr>
      <vt:lpstr>' Budget 2025'!Utskriftsområde</vt:lpstr>
      <vt:lpstr>' Budget 2025, uppdaterad'!Utskriftsområde</vt:lpstr>
      <vt:lpstr>' Budget 2026'!Utskriftsområde</vt:lpstr>
      <vt:lpstr>' Utfall 2013, 2013-12-31 SLUTL'!Utskriftsområde</vt:lpstr>
      <vt:lpstr>' Utfall 2014, 2014-04-30'!Utskriftsområde</vt:lpstr>
      <vt:lpstr>' Utfall 2014, 2014-05-31'!Utskriftsområde</vt:lpstr>
      <vt:lpstr>' Utfall 2014, 2014-07-31'!Utskriftsområde</vt:lpstr>
      <vt:lpstr>' Utfall 2014, 2014-09-15'!Utskriftsområde</vt:lpstr>
      <vt:lpstr>' Utfall 2014, 2014-09-30'!Utskriftsområde</vt:lpstr>
      <vt:lpstr>' Utfall 2014, 2014-11-30'!Utskriftsområde</vt:lpstr>
      <vt:lpstr>' Utfall 2014, 2014-12-31'!Utskriftsområde</vt:lpstr>
      <vt:lpstr>' Utfall 2014, A-lag'!Utskriftsområde</vt:lpstr>
      <vt:lpstr>' Utfall 2014, SLUTLIG'!Utskriftsområde</vt:lpstr>
      <vt:lpstr>' Utfall 2015, 150331'!Utskriftsområde</vt:lpstr>
      <vt:lpstr>' Utfall 2015, 150731'!Utskriftsområde</vt:lpstr>
      <vt:lpstr>' Utfall 2015, 150824'!Utskriftsområde</vt:lpstr>
      <vt:lpstr>' Utfall 2015, 150925'!Utskriftsområde</vt:lpstr>
      <vt:lpstr>' Utfall 2015, 151017'!Utskriftsområde</vt:lpstr>
      <vt:lpstr>' Utfall 2015, 151121'!Utskriftsområde</vt:lpstr>
      <vt:lpstr>' Utfall 2015, 151231'!Utskriftsområde</vt:lpstr>
      <vt:lpstr>' Utfall 2015, SLUTLIGT'!Utskriftsområde</vt:lpstr>
      <vt:lpstr>' Utfall 2016, 160229'!Utskriftsområde</vt:lpstr>
      <vt:lpstr>' Utfall 2016, 160331'!Utskriftsområde</vt:lpstr>
      <vt:lpstr>' Utfall 2016, 160514'!Utskriftsområde</vt:lpstr>
      <vt:lpstr>' Utfall 2016, 160610'!Utskriftsområde</vt:lpstr>
      <vt:lpstr>' Utfall 2016, 160820'!Utskriftsområde</vt:lpstr>
      <vt:lpstr>' Utfall 2016, 160917'!Utskriftsområde</vt:lpstr>
      <vt:lpstr>' Utfall 2016, 161023'!Utskriftsområde</vt:lpstr>
      <vt:lpstr>' Utfall 2016, 161124'!Utskriftsområde</vt:lpstr>
      <vt:lpstr>' Utfall 2016, 161231'!Utskriftsområde</vt:lpstr>
      <vt:lpstr>' Utfall 2016, SLUTLIG'!Utskriftsområde</vt:lpstr>
      <vt:lpstr>' Utfall 2017, 170320'!Utskriftsområde</vt:lpstr>
      <vt:lpstr>' Utfall 2017, 170515'!Utskriftsområde</vt:lpstr>
      <vt:lpstr>' Utfall 2017, 170728'!Utskriftsområde</vt:lpstr>
      <vt:lpstr>' Utfall 2017, 170905'!Utskriftsområde</vt:lpstr>
      <vt:lpstr>' Utfall 2017, 171009'!Utskriftsområde</vt:lpstr>
      <vt:lpstr>' Utfall 2017, 171231'!Utskriftsområde</vt:lpstr>
      <vt:lpstr>' Utfall 2017, SLUTLIG'!Utskriftsområde</vt:lpstr>
      <vt:lpstr>' Utfall 2018 - SLUTLIG'!Utskriftsområde</vt:lpstr>
      <vt:lpstr>' Utfall 2018, 180429'!Utskriftsområde</vt:lpstr>
      <vt:lpstr>' Utfall 2018, 180828'!Utskriftsområde</vt:lpstr>
      <vt:lpstr>' Utfall 2018, 180927'!Utskriftsområde</vt:lpstr>
      <vt:lpstr>' Utfall 2018, 181111'!Utskriftsområde</vt:lpstr>
      <vt:lpstr>' Utfall 2018, 181231'!Utskriftsområde</vt:lpstr>
      <vt:lpstr>' Utfall 2019 - SLUTLIG'!Utskriftsområde</vt:lpstr>
      <vt:lpstr>' Utfall 2019, 190319'!Utskriftsområde</vt:lpstr>
      <vt:lpstr>' Utfall 2019, 190603'!Utskriftsområde</vt:lpstr>
      <vt:lpstr>' Utfall 2019, 190812'!Utskriftsområde</vt:lpstr>
      <vt:lpstr>' Utfall 2019, 190917'!Utskriftsområde</vt:lpstr>
      <vt:lpstr>' Utfall 2019, 191016'!Utskriftsområde</vt:lpstr>
      <vt:lpstr>' Utfall 2019, 191207'!Utskriftsområde</vt:lpstr>
      <vt:lpstr>' Utfall 2019, 191231'!Utskriftsområde</vt:lpstr>
      <vt:lpstr>' Utfall 2020, 200310'!Utskriftsområde</vt:lpstr>
      <vt:lpstr>' Utfall 2020, 200420'!Utskriftsområde</vt:lpstr>
      <vt:lpstr>' Utfall 2020, 200519'!Utskriftsområde</vt:lpstr>
      <vt:lpstr>' Utfall 2020, 200617'!Utskriftsområde</vt:lpstr>
      <vt:lpstr>' Utfall 2020, 200815'!Utskriftsområde</vt:lpstr>
      <vt:lpstr>' Utfall 2020, 200930'!Utskriftsområde</vt:lpstr>
      <vt:lpstr>' Utfall 2020, 201117'!Utskriftsområde</vt:lpstr>
      <vt:lpstr>' Utfall 2020, 201231'!Utskriftsområde</vt:lpstr>
      <vt:lpstr>' Utfall 2020, SLUTLIG'!Utskriftsområde</vt:lpstr>
      <vt:lpstr>' Utfall 2021, 210410'!Utskriftsområde</vt:lpstr>
      <vt:lpstr>' Utfall 2021, 210606'!Utskriftsområde</vt:lpstr>
      <vt:lpstr>' Utfall 2021, 210822'!Utskriftsområde</vt:lpstr>
      <vt:lpstr>' Utfall 2021, 210919'!Utskriftsområde</vt:lpstr>
      <vt:lpstr>' Utfall 2021, 211128'!Utskriftsområde</vt:lpstr>
      <vt:lpstr>' Utfall 2021, 211231'!Utskriftsområde</vt:lpstr>
      <vt:lpstr>' Utfall 2021, SLUTLIG'!Utskriftsområde</vt:lpstr>
      <vt:lpstr>' Utfall 2022, 220206'!Utskriftsområde</vt:lpstr>
      <vt:lpstr>' Utfall 2022, 220411'!Utskriftsområde</vt:lpstr>
      <vt:lpstr>' Utfall 2022, 220516'!Utskriftsområde</vt:lpstr>
      <vt:lpstr>' Utfall 2022, 220615'!Utskriftsområde</vt:lpstr>
      <vt:lpstr>' Utfall 2022, 220818'!Utskriftsområde</vt:lpstr>
      <vt:lpstr>' Utfall 2022, 220920'!Utskriftsområde</vt:lpstr>
      <vt:lpstr>' Utfall 2022, 221109'!Utskriftsområde</vt:lpstr>
      <vt:lpstr>' Utfall 2022, 221231'!Utskriftsområde</vt:lpstr>
      <vt:lpstr>' Utfall 2022, SLUTLIG'!Utskriftsområde</vt:lpstr>
      <vt:lpstr>' Utfall 2023, 230207'!Utskriftsområde</vt:lpstr>
      <vt:lpstr>' Utfall 2023, 230418'!Utskriftsområde</vt:lpstr>
      <vt:lpstr>' Utfall 2023, 230515'!Utskriftsområde</vt:lpstr>
      <vt:lpstr>' Utfall 2023, 230812'!Utskriftsområde</vt:lpstr>
      <vt:lpstr>' Utfall 2023, 230912'!Utskriftsområde</vt:lpstr>
      <vt:lpstr>' Utfall 2023, 230930'!Utskriftsområde</vt:lpstr>
      <vt:lpstr>' Utfall 2023, 231108'!Utskriftsområde</vt:lpstr>
      <vt:lpstr>' Utfall 2023, 231231'!Utskriftsområde</vt:lpstr>
      <vt:lpstr>' Utfall 2023, SLUTLIG'!Utskriftsområde</vt:lpstr>
      <vt:lpstr>' Utfall 2024, 240329'!Utskriftsområde</vt:lpstr>
      <vt:lpstr>' Utfall 2024, 240503'!Utskriftsområde</vt:lpstr>
      <vt:lpstr>' Utfall 2024, 240605'!Utskriftsområde</vt:lpstr>
      <vt:lpstr>' Utfall 2024, 240828'!Utskriftsområde</vt:lpstr>
      <vt:lpstr>' Utfall 2024, 240915'!Utskriftsområde</vt:lpstr>
      <vt:lpstr>' Utfall 2024, 240922'!Utskriftsområde</vt:lpstr>
      <vt:lpstr>' Utfall 2024, 241023'!Utskriftsområde</vt:lpstr>
      <vt:lpstr>' Utfall 2024, 241204'!Utskriftsområde</vt:lpstr>
      <vt:lpstr>' Utfall 2024, 241231'!Utskriftsområde</vt:lpstr>
      <vt:lpstr>' Utfall 2024, SLUTLIG'!Utskriftsområde</vt:lpstr>
      <vt:lpstr>' Utfall 2025, 250327'!Utskriftsområde</vt:lpstr>
      <vt:lpstr>' Utfall 2025, 250504'!Utskriftsområde</vt:lpstr>
      <vt:lpstr>' Utfall 2025, 250528'!Utskriftsområde</vt:lpstr>
      <vt:lpstr>' Utfall 2025, 250819'!Utskriftsområde</vt:lpstr>
      <vt:lpstr>' Utfall 2025, 250925'!Utskriftsområde</vt:lpstr>
      <vt:lpstr>' Utfall 2025, 251105'!Utskriftsområde</vt:lpstr>
      <vt:lpstr>' Utfall 2025, 251231'!Utskriftsområde</vt:lpstr>
      <vt:lpstr>' Utfall 2025, SLUTLIG'!Utskriftsområde</vt:lpstr>
      <vt:lpstr>' Utfall A-lag 2015'!Utskriftsområde</vt:lpstr>
      <vt:lpstr>' Utfall A-laget 2016'!Utskriftsområde</vt:lpstr>
      <vt:lpstr>'Budget 2014'!Utskriftsområde</vt:lpstr>
      <vt:lpstr>'Budget 2016'!Utskriftsområde</vt:lpstr>
    </vt:vector>
  </TitlesOfParts>
  <Company>AstraZeneca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khxn046</dc:creator>
  <cp:lastModifiedBy>Mats Hörnell</cp:lastModifiedBy>
  <cp:lastPrinted>2020-01-19T08:09:27Z</cp:lastPrinted>
  <dcterms:created xsi:type="dcterms:W3CDTF">2013-02-18T22:01:19Z</dcterms:created>
  <dcterms:modified xsi:type="dcterms:W3CDTF">2026-01-18T11:18:27Z</dcterms:modified>
</cp:coreProperties>
</file>