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an\Desktop\"/>
    </mc:Choice>
  </mc:AlternateContent>
  <xr:revisionPtr revIDLastSave="0" documentId="13_ncr:1_{3DF064DC-286B-4148-88AC-D7B6CE7146B9}" xr6:coauthVersionLast="47" xr6:coauthVersionMax="47" xr10:uidLastSave="{00000000-0000-0000-0000-000000000000}"/>
  <bookViews>
    <workbookView xWindow="-120" yWindow="-120" windowWidth="29040" windowHeight="15840" tabRatio="918" xr2:uid="{8A234A9C-FC6D-49EE-BC88-C4801ECCB660}"/>
  </bookViews>
  <sheets>
    <sheet name="Årsbudget per månad" sheetId="2" r:id="rId1"/>
    <sheet name="Skillnader mellan åren" sheetId="1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8" i="2" l="1"/>
  <c r="Q127" i="2"/>
  <c r="Q125" i="2"/>
  <c r="Q124" i="2"/>
  <c r="Q118" i="2"/>
  <c r="Q106" i="2"/>
  <c r="R55" i="2"/>
  <c r="Q55" i="2"/>
  <c r="S55" i="2"/>
  <c r="Q12" i="2"/>
  <c r="Q11" i="2"/>
  <c r="Q9" i="2" l="1"/>
  <c r="Q13" i="2"/>
  <c r="Q120" i="2"/>
  <c r="O118" i="2"/>
  <c r="Q122" i="2"/>
  <c r="Q119" i="2" s="1"/>
  <c r="Q61" i="2"/>
  <c r="Q58" i="2"/>
  <c r="P23" i="2"/>
  <c r="R29" i="2"/>
  <c r="R27" i="2"/>
  <c r="R30" i="2"/>
  <c r="R23" i="2"/>
  <c r="R25" i="2"/>
  <c r="R26" i="2"/>
  <c r="R24" i="2"/>
  <c r="Q17" i="2"/>
  <c r="Q14" i="2"/>
  <c r="P9" i="2"/>
  <c r="Q150" i="2" l="1"/>
  <c r="Q23" i="2"/>
  <c r="R34" i="2"/>
  <c r="P136" i="2"/>
  <c r="P137" i="2"/>
  <c r="P138" i="2"/>
  <c r="P139" i="2"/>
  <c r="N64" i="17" l="1"/>
  <c r="I134" i="17" l="1"/>
  <c r="N134" i="17" s="1"/>
  <c r="N109" i="17" l="1"/>
  <c r="N111" i="17"/>
  <c r="N59" i="17"/>
  <c r="P21" i="2"/>
  <c r="Q21" i="2" s="1"/>
  <c r="P84" i="2" l="1"/>
  <c r="P85" i="2"/>
  <c r="P86" i="2"/>
  <c r="P87" i="2"/>
  <c r="P88" i="2"/>
  <c r="P89" i="2"/>
  <c r="P90" i="2"/>
  <c r="P91" i="2"/>
  <c r="P92" i="2"/>
  <c r="P93" i="2"/>
  <c r="P94" i="2"/>
  <c r="P95" i="2"/>
  <c r="P126" i="2"/>
  <c r="P36" i="2"/>
  <c r="P35" i="2"/>
  <c r="P33" i="2"/>
  <c r="Q33" i="2" s="1"/>
  <c r="P32" i="2"/>
  <c r="Q32" i="2" s="1"/>
  <c r="P31" i="2"/>
  <c r="P30" i="2"/>
  <c r="Q30" i="2" s="1"/>
  <c r="P29" i="2"/>
  <c r="Q29" i="2" s="1"/>
  <c r="P28" i="2"/>
  <c r="P27" i="2"/>
  <c r="Q27" i="2" s="1"/>
  <c r="P26" i="2"/>
  <c r="Q26" i="2" s="1"/>
  <c r="P25" i="2"/>
  <c r="Q25" i="2" s="1"/>
  <c r="P24" i="2"/>
  <c r="P22" i="2"/>
  <c r="Q22" i="2" s="1"/>
  <c r="P38" i="2"/>
  <c r="P39" i="2"/>
  <c r="Q24" i="2" l="1"/>
  <c r="Q49" i="2" s="1"/>
  <c r="Q152" i="2" s="1"/>
  <c r="I16" i="17"/>
  <c r="N16" i="17" s="1"/>
  <c r="I17" i="17"/>
  <c r="N17" i="17" s="1"/>
  <c r="N116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4" i="17"/>
  <c r="M31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4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60" i="17"/>
  <c r="N61" i="17"/>
  <c r="N62" i="17"/>
  <c r="N63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10" i="17"/>
  <c r="N112" i="17"/>
  <c r="N113" i="17"/>
  <c r="N114" i="17"/>
  <c r="N115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31" i="17"/>
  <c r="N5" i="17"/>
  <c r="N6" i="17"/>
  <c r="N7" i="17"/>
  <c r="N8" i="17"/>
  <c r="N9" i="17"/>
  <c r="N10" i="17"/>
  <c r="N11" i="17"/>
  <c r="N12" i="17"/>
  <c r="N13" i="17"/>
  <c r="N14" i="17"/>
  <c r="N15" i="17"/>
  <c r="N18" i="17"/>
  <c r="N19" i="17"/>
  <c r="N20" i="17"/>
  <c r="N21" i="17"/>
  <c r="N4" i="17"/>
  <c r="C23" i="17"/>
  <c r="C138" i="17" s="1"/>
  <c r="E118" i="2"/>
  <c r="F118" i="2"/>
  <c r="G118" i="2"/>
  <c r="H118" i="2"/>
  <c r="I118" i="2"/>
  <c r="J118" i="2"/>
  <c r="K118" i="2"/>
  <c r="L118" i="2"/>
  <c r="M118" i="2"/>
  <c r="N118" i="2"/>
  <c r="D118" i="2"/>
  <c r="S34" i="2" l="1"/>
  <c r="I23" i="17"/>
  <c r="I138" i="17" s="1"/>
  <c r="G119" i="2"/>
  <c r="D119" i="2"/>
  <c r="J119" i="2"/>
  <c r="P110" i="17"/>
  <c r="P118" i="2"/>
  <c r="N23" i="17" l="1"/>
  <c r="P107" i="2"/>
  <c r="P78" i="2"/>
  <c r="P130" i="2"/>
  <c r="P65" i="2"/>
  <c r="P99" i="2"/>
  <c r="P100" i="2"/>
  <c r="P63" i="2"/>
  <c r="P71" i="2"/>
  <c r="P140" i="2" l="1"/>
  <c r="P141" i="2"/>
  <c r="P142" i="2"/>
  <c r="P143" i="2"/>
  <c r="P144" i="2"/>
  <c r="P145" i="2"/>
  <c r="P146" i="2"/>
  <c r="P147" i="2"/>
  <c r="P148" i="2"/>
  <c r="P103" i="2" l="1"/>
  <c r="P129" i="2" l="1"/>
  <c r="P128" i="2"/>
  <c r="F119" i="2"/>
  <c r="H119" i="2"/>
  <c r="I119" i="2"/>
  <c r="K119" i="2"/>
  <c r="L119" i="2"/>
  <c r="M119" i="2"/>
  <c r="N119" i="2"/>
  <c r="O119" i="2"/>
  <c r="P66" i="2"/>
  <c r="O150" i="2" l="1"/>
  <c r="D150" i="2"/>
  <c r="E119" i="2"/>
  <c r="F150" i="2"/>
  <c r="G150" i="2"/>
  <c r="H150" i="2"/>
  <c r="I150" i="2"/>
  <c r="J150" i="2"/>
  <c r="K150" i="2"/>
  <c r="L150" i="2"/>
  <c r="M150" i="2"/>
  <c r="N150" i="2"/>
  <c r="P61" i="2"/>
  <c r="P62" i="2"/>
  <c r="P64" i="2"/>
  <c r="E150" i="2" l="1"/>
  <c r="P150" i="2" s="1"/>
  <c r="P56" i="2" l="1"/>
  <c r="P57" i="2"/>
  <c r="P58" i="2"/>
  <c r="P68" i="2"/>
  <c r="P69" i="2"/>
  <c r="P72" i="2"/>
  <c r="P73" i="2"/>
  <c r="P75" i="2"/>
  <c r="P76" i="2"/>
  <c r="P77" i="2"/>
  <c r="P80" i="2"/>
  <c r="P81" i="2"/>
  <c r="P83" i="2"/>
  <c r="P97" i="2"/>
  <c r="P98" i="2"/>
  <c r="P102" i="2"/>
  <c r="P105" i="2"/>
  <c r="P106" i="2"/>
  <c r="P108" i="2"/>
  <c r="P109" i="2"/>
  <c r="P110" i="2"/>
  <c r="P111" i="2"/>
  <c r="P112" i="2"/>
  <c r="P113" i="2"/>
  <c r="P115" i="2"/>
  <c r="P119" i="2"/>
  <c r="P120" i="2"/>
  <c r="P121" i="2"/>
  <c r="P124" i="2"/>
  <c r="P125" i="2"/>
  <c r="P127" i="2"/>
  <c r="P132" i="2"/>
  <c r="P133" i="2"/>
  <c r="P134" i="2"/>
  <c r="P135" i="2"/>
  <c r="P16" i="2"/>
  <c r="P17" i="2"/>
  <c r="P18" i="2"/>
  <c r="P19" i="2"/>
  <c r="P55" i="2"/>
  <c r="P53" i="2"/>
  <c r="P52" i="2"/>
  <c r="O49" i="2"/>
  <c r="N49" i="2"/>
  <c r="M49" i="2"/>
  <c r="L49" i="2"/>
  <c r="K49" i="2"/>
  <c r="J49" i="2"/>
  <c r="I49" i="2"/>
  <c r="H49" i="2"/>
  <c r="H152" i="2" s="1"/>
  <c r="G49" i="2"/>
  <c r="F49" i="2"/>
  <c r="E49" i="2"/>
  <c r="D49" i="2"/>
  <c r="P40" i="2"/>
  <c r="P15" i="2"/>
  <c r="P14" i="2"/>
  <c r="P13" i="2"/>
  <c r="P10" i="2"/>
  <c r="P8" i="2"/>
  <c r="P49" i="2" l="1"/>
  <c r="D152" i="2"/>
  <c r="L152" i="2"/>
  <c r="F152" i="2"/>
  <c r="N152" i="2"/>
  <c r="G152" i="2"/>
  <c r="O152" i="2"/>
  <c r="J152" i="2"/>
  <c r="I152" i="2"/>
  <c r="K152" i="2"/>
  <c r="M152" i="2"/>
  <c r="E152" i="2"/>
  <c r="P152" i="2" l="1"/>
  <c r="K50" i="2"/>
  <c r="D50" i="2"/>
  <c r="P151" i="2"/>
  <c r="L151" i="2"/>
  <c r="N151" i="2"/>
  <c r="M151" i="2"/>
  <c r="F151" i="2"/>
  <c r="G151" i="2"/>
  <c r="O151" i="2"/>
  <c r="D151" i="2"/>
  <c r="H151" i="2"/>
  <c r="I151" i="2"/>
  <c r="J151" i="2"/>
  <c r="K151" i="2"/>
  <c r="E151" i="2"/>
  <c r="O50" i="2"/>
  <c r="M50" i="2"/>
  <c r="L50" i="2"/>
  <c r="I50" i="2"/>
  <c r="J50" i="2"/>
  <c r="H50" i="2"/>
  <c r="G50" i="2"/>
  <c r="N50" i="2"/>
  <c r="F50" i="2"/>
  <c r="E50" i="2"/>
  <c r="P50" i="2" l="1"/>
</calcChain>
</file>

<file path=xl/sharedStrings.xml><?xml version="1.0" encoding="utf-8"?>
<sst xmlns="http://schemas.openxmlformats.org/spreadsheetml/2006/main" count="383" uniqueCount="166">
  <si>
    <t>Kommunalt aktivitetsstöd</t>
  </si>
  <si>
    <t>Statlig aktivitetsstöd</t>
  </si>
  <si>
    <t>Hyresbidrag</t>
  </si>
  <si>
    <t>Bidrag</t>
  </si>
  <si>
    <t>Sponsring</t>
  </si>
  <si>
    <t>Rabatthäften</t>
  </si>
  <si>
    <t>Frivaror</t>
  </si>
  <si>
    <t>Spelarförsäljning</t>
  </si>
  <si>
    <t>Camper</t>
  </si>
  <si>
    <t>Cuper - anmälningsavgift</t>
  </si>
  <si>
    <t>Kioskförsäljning</t>
  </si>
  <si>
    <t>Bingo alliansen</t>
  </si>
  <si>
    <t>Planhyra (lag)</t>
  </si>
  <si>
    <t>Lagförsäljning</t>
  </si>
  <si>
    <t xml:space="preserve">Rese/kost/logikostnader </t>
  </si>
  <si>
    <t>Vuxentaxa</t>
  </si>
  <si>
    <t>Klubb</t>
  </si>
  <si>
    <t xml:space="preserve">Herr </t>
  </si>
  <si>
    <t>Dam</t>
  </si>
  <si>
    <t>Träningsläger</t>
  </si>
  <si>
    <t xml:space="preserve">Sjukvård </t>
  </si>
  <si>
    <t xml:space="preserve">Övriga träningskostnader </t>
  </si>
  <si>
    <t>Adademi</t>
  </si>
  <si>
    <t>Arrangemang</t>
  </si>
  <si>
    <t>Akademi</t>
  </si>
  <si>
    <t>Deli Italia</t>
  </si>
  <si>
    <t>Höstlovscupen</t>
  </si>
  <si>
    <t>Camp</t>
  </si>
  <si>
    <t>Påsklovscampen</t>
  </si>
  <si>
    <t>Sommarfotbollsskolan</t>
  </si>
  <si>
    <t>Brasseskolan</t>
  </si>
  <si>
    <t>Sensommarfotbollsskolan</t>
  </si>
  <si>
    <t>Höstlovscampen</t>
  </si>
  <si>
    <t xml:space="preserve">Övriga arragemang </t>
  </si>
  <si>
    <t>HIF dagen</t>
  </si>
  <si>
    <t>Ledaravslutning</t>
  </si>
  <si>
    <t>Administation</t>
  </si>
  <si>
    <t xml:space="preserve">Företagsförsäkringar </t>
  </si>
  <si>
    <t xml:space="preserve">Lokalvård </t>
  </si>
  <si>
    <t>Inventarier</t>
  </si>
  <si>
    <t>Förbrukningsmaterial</t>
  </si>
  <si>
    <t>IT / telefoni</t>
  </si>
  <si>
    <t xml:space="preserve">Bankkostnader </t>
  </si>
  <si>
    <t>Ekta - Redovisningstjänster</t>
  </si>
  <si>
    <t xml:space="preserve">Övrigt </t>
  </si>
  <si>
    <t>Marknad (Dreamstar)</t>
  </si>
  <si>
    <t xml:space="preserve">Personalkostnader </t>
  </si>
  <si>
    <t xml:space="preserve">Löner </t>
  </si>
  <si>
    <t xml:space="preserve">Sociala avgifter </t>
  </si>
  <si>
    <t>Skattefri bilersättning</t>
  </si>
  <si>
    <t>Pensions kostander</t>
  </si>
  <si>
    <t>Arvoden</t>
  </si>
  <si>
    <t>Herr</t>
  </si>
  <si>
    <t>Utbildning</t>
  </si>
  <si>
    <t>Ungdom</t>
  </si>
  <si>
    <t>Kansli</t>
  </si>
  <si>
    <t>Avbetalning skulder</t>
  </si>
  <si>
    <t xml:space="preserve"> 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</si>
  <si>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</si>
  <si>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</si>
  <si>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</si>
  <si>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</si>
  <si>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</si>
  <si>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</si>
  <si>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</si>
  <si>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</si>
  <si>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</si>
  <si>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Oct</t>
  </si>
  <si>
    <t>Nov</t>
  </si>
  <si>
    <t>Dec</t>
  </si>
  <si>
    <t>ÅR Totalt</t>
  </si>
  <si>
    <t>INTÄKTER:</t>
  </si>
  <si>
    <t>TOTALA INTÄKTER:</t>
  </si>
  <si>
    <t>varav i %</t>
  </si>
  <si>
    <t>KOSTNADER:</t>
  </si>
  <si>
    <t>TOTALA KOSTNADER:</t>
  </si>
  <si>
    <t>Städning och renhållning</t>
  </si>
  <si>
    <t>Materialkostnader</t>
  </si>
  <si>
    <t>Akademitränare</t>
  </si>
  <si>
    <t xml:space="preserve">Klubb </t>
  </si>
  <si>
    <t xml:space="preserve">Övriga verkamhetsrelaterade kostnader </t>
  </si>
  <si>
    <t>RESULTAT</t>
  </si>
  <si>
    <t xml:space="preserve">Målvakt </t>
  </si>
  <si>
    <t xml:space="preserve">Spelare </t>
  </si>
  <si>
    <t>Övrigt (Svenska spel)</t>
  </si>
  <si>
    <t>HIF fotbollscamp / Pre academi</t>
  </si>
  <si>
    <t>Fotbollsskola</t>
  </si>
  <si>
    <t>Kiosk</t>
  </si>
  <si>
    <t xml:space="preserve">Inköp till kiosk </t>
  </si>
  <si>
    <t xml:space="preserve">Inköp material </t>
  </si>
  <si>
    <t xml:space="preserve">Tillkommande poster under året </t>
  </si>
  <si>
    <t>Medlemsavgifter (kto3410)</t>
  </si>
  <si>
    <t>Aktivitetsavgfiter (kto 3420)</t>
  </si>
  <si>
    <t>Akademiavgift (kto 3430)</t>
  </si>
  <si>
    <t>Domarkostnader (kto 4010,4011,4012)</t>
  </si>
  <si>
    <t>Serie- o  cupavgifter (4020)</t>
  </si>
  <si>
    <t>Lokalhyra (5010)</t>
  </si>
  <si>
    <t>Plankostnader (kto 4080)</t>
  </si>
  <si>
    <t>Dam (kto 4072)</t>
  </si>
  <si>
    <t xml:space="preserve">Herr - Skobidrag </t>
  </si>
  <si>
    <t>Inköptvättmaskin x2</t>
  </si>
  <si>
    <t>Herr- Aktivitet/avslutning</t>
  </si>
  <si>
    <t>Dam - Aktivitet/avslutning</t>
  </si>
  <si>
    <t xml:space="preserve">Dam - Skobidrag </t>
  </si>
  <si>
    <t>BUDGET 2021</t>
  </si>
  <si>
    <t xml:space="preserve">Arrangemang - Cuper </t>
  </si>
  <si>
    <t>Leasing - Kontorsmateriel</t>
  </si>
  <si>
    <t xml:space="preserve">Renovering av kansli </t>
  </si>
  <si>
    <t>BUDGET 2020</t>
  </si>
  <si>
    <t>SUMMA</t>
  </si>
  <si>
    <t xml:space="preserve">SKILLNADER </t>
  </si>
  <si>
    <t>påsklovsskola</t>
  </si>
  <si>
    <t>sommarcamp v 24 FBS</t>
  </si>
  <si>
    <t>sommarcamp v 25 Brasse</t>
  </si>
  <si>
    <t>sommarcamp v 26 FBS</t>
  </si>
  <si>
    <t>Sommarcamp v 26 pre akademi</t>
  </si>
  <si>
    <t>sommarcamp v 27 FBS</t>
  </si>
  <si>
    <t>sommarcamp v 31 FBS</t>
  </si>
  <si>
    <t>Sommarcamp v 32 FBS</t>
  </si>
  <si>
    <t>sommarcamp v 32 pre akademi</t>
  </si>
  <si>
    <t>sommarcamp v 33</t>
  </si>
  <si>
    <t>Höstlovsskola</t>
  </si>
  <si>
    <t>Påsklovsskolan</t>
  </si>
  <si>
    <t>Vårcup</t>
  </si>
  <si>
    <t>Höstcup</t>
  </si>
  <si>
    <t>Camp mat</t>
  </si>
  <si>
    <t>Mindre cash, Frivaror</t>
  </si>
  <si>
    <t>Totalt sätt</t>
  </si>
  <si>
    <t>Plankostnader</t>
  </si>
  <si>
    <t>Städ personal (Jadwiga)</t>
  </si>
  <si>
    <t xml:space="preserve">Värdegrundsarbete </t>
  </si>
  <si>
    <t>Huddinge Idrottsförening - Årsbudget 2022</t>
  </si>
  <si>
    <t>BUDGET 2022</t>
  </si>
  <si>
    <t>aug</t>
  </si>
  <si>
    <t>dec</t>
  </si>
  <si>
    <t xml:space="preserve">SISU bidrag </t>
  </si>
  <si>
    <t xml:space="preserve">Innovation </t>
  </si>
  <si>
    <t xml:space="preserve">Magnolia </t>
  </si>
  <si>
    <t xml:space="preserve">inställd </t>
  </si>
  <si>
    <t>Inge</t>
  </si>
  <si>
    <t xml:space="preserve">ink mat </t>
  </si>
  <si>
    <t>brantbrink</t>
  </si>
  <si>
    <t>källbrink</t>
  </si>
  <si>
    <t>Plankostnader vuxentaxa  (kto 4080)</t>
  </si>
  <si>
    <t xml:space="preserve">frivarubelopp = 140 000 </t>
  </si>
  <si>
    <t>Kickback = 80 000</t>
  </si>
  <si>
    <t>1500 per spelare</t>
  </si>
  <si>
    <t xml:space="preserve">Vårlovscupen </t>
  </si>
  <si>
    <t>1500 * 2 * 12</t>
  </si>
  <si>
    <t xml:space="preserve">Åldersgrupp, dam J, Baslag </t>
  </si>
  <si>
    <t xml:space="preserve">( JUST NU exklusive övr arvoden) </t>
  </si>
  <si>
    <t xml:space="preserve">InterS och adidas exluderade </t>
  </si>
  <si>
    <t>UTFALL 21</t>
  </si>
  <si>
    <t xml:space="preserve">Avvikelse </t>
  </si>
  <si>
    <t>När sker denna?</t>
  </si>
  <si>
    <t>Flickakademi</t>
  </si>
  <si>
    <t xml:space="preserve">Baslag </t>
  </si>
  <si>
    <t xml:space="preserve">Kanslilöner </t>
  </si>
  <si>
    <t>Inc soc</t>
  </si>
  <si>
    <t>15 dam</t>
  </si>
  <si>
    <t>30+40 herr</t>
  </si>
  <si>
    <t xml:space="preserve">Herman 10k </t>
  </si>
  <si>
    <t>Daniel S 40k</t>
  </si>
  <si>
    <t>Dam j 40k</t>
  </si>
  <si>
    <t>Baslag 60k</t>
  </si>
  <si>
    <t>UEFA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</si>
</sst>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_ ;[Red]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0"/>
      <color indexed="8"/>
      <name val="Calibri"/>
      <family val="2"/>
    </font>
    <font>
      <b/>
      <u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6"/>
      <color rgb="FFFFFF00"/>
      <name val="Calibri"/>
      <family val="2"/>
    </font>
    <font>
      <b/>
      <u/>
      <sz val="11"/>
      <color theme="1"/>
      <name val="Calibri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</font>
    <font>
      <b/>
      <i/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9" fillId="0" borderId="0"/>
    <xf numFmtId="44" fontId="13" fillId="0" borderId="0" applyFont="0" applyFill="0" applyBorder="0" applyAlignment="0" applyProtection="0"/>
    <xf numFmtId="0" fontId="19" fillId="0" borderId="0"/>
    <xf numFmtId="0" fontId="9" fillId="0" borderId="0"/>
    <xf numFmtId="0" fontId="20" fillId="0" borderId="0"/>
    <xf numFmtId="0" fontId="21" fillId="0" borderId="0"/>
    <xf numFmtId="9" fontId="9" fillId="0" borderId="0" applyFont="0" applyFill="0" applyBorder="0" applyAlignment="0" applyProtection="0"/>
    <xf numFmtId="0" fontId="23" fillId="0" borderId="0"/>
  </cellStyleXfs>
  <cellXfs count="114">
    <xf numFmtId="0" fontId="0" fillId="0" borderId="0" xfId="0"/>
    <xf numFmtId="164" fontId="4" fillId="5" borderId="0" xfId="0" applyNumberFormat="1" applyFont="1" applyFill="1" applyBorder="1" applyAlignment="1">
      <alignment vertical="top"/>
    </xf>
    <xf numFmtId="164" fontId="8" fillId="6" borderId="8" xfId="0" applyNumberFormat="1" applyFont="1" applyFill="1" applyBorder="1" applyAlignment="1">
      <alignment vertical="top"/>
    </xf>
    <xf numFmtId="9" fontId="4" fillId="5" borderId="0" xfId="1" applyFont="1" applyFill="1" applyBorder="1" applyAlignment="1">
      <alignment vertical="top"/>
    </xf>
    <xf numFmtId="164" fontId="4" fillId="6" borderId="8" xfId="0" applyNumberFormat="1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0" fillId="5" borderId="0" xfId="0" applyFill="1"/>
    <xf numFmtId="0" fontId="3" fillId="5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9" fontId="2" fillId="5" borderId="0" xfId="1" applyFont="1" applyFill="1"/>
    <xf numFmtId="0" fontId="12" fillId="5" borderId="0" xfId="0" applyFont="1" applyFill="1" applyAlignment="1">
      <alignment vertical="top"/>
    </xf>
    <xf numFmtId="0" fontId="3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vertical="top"/>
    </xf>
    <xf numFmtId="49" fontId="6" fillId="8" borderId="6" xfId="0" applyNumberFormat="1" applyFont="1" applyFill="1" applyBorder="1" applyAlignment="1" applyProtection="1">
      <alignment horizontal="center" vertical="top"/>
    </xf>
    <xf numFmtId="49" fontId="6" fillId="8" borderId="7" xfId="0" applyNumberFormat="1" applyFont="1" applyFill="1" applyBorder="1" applyAlignment="1" applyProtection="1">
      <alignment horizontal="center" vertical="top"/>
    </xf>
    <xf numFmtId="49" fontId="6" fillId="8" borderId="5" xfId="0" applyNumberFormat="1" applyFont="1" applyFill="1" applyBorder="1" applyAlignment="1" applyProtection="1">
      <alignment horizontal="center" vertical="top"/>
    </xf>
    <xf numFmtId="164" fontId="4" fillId="4" borderId="10" xfId="0" applyNumberFormat="1" applyFont="1" applyFill="1" applyBorder="1" applyAlignment="1">
      <alignment vertical="top"/>
    </xf>
    <xf numFmtId="164" fontId="4" fillId="10" borderId="0" xfId="0" applyNumberFormat="1" applyFont="1" applyFill="1" applyAlignment="1">
      <alignment vertical="top"/>
    </xf>
    <xf numFmtId="164" fontId="4" fillId="5" borderId="0" xfId="0" applyNumberFormat="1" applyFont="1" applyFill="1" applyAlignment="1">
      <alignment vertical="top"/>
    </xf>
    <xf numFmtId="9" fontId="11" fillId="5" borderId="0" xfId="1" applyFont="1" applyFill="1" applyBorder="1" applyAlignment="1">
      <alignment vertical="top"/>
    </xf>
    <xf numFmtId="9" fontId="4" fillId="5" borderId="0" xfId="1" applyFont="1" applyFill="1" applyAlignment="1">
      <alignment vertical="top"/>
    </xf>
    <xf numFmtId="0" fontId="15" fillId="5" borderId="0" xfId="0" applyFont="1" applyFill="1" applyAlignment="1">
      <alignment vertical="top"/>
    </xf>
    <xf numFmtId="0" fontId="7" fillId="5" borderId="0" xfId="0" applyFont="1" applyFill="1" applyAlignment="1">
      <alignment horizontal="left" vertical="top"/>
    </xf>
    <xf numFmtId="0" fontId="16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/>
    </xf>
    <xf numFmtId="0" fontId="8" fillId="5" borderId="0" xfId="0" applyFont="1" applyFill="1" applyAlignment="1">
      <alignment horizontal="left" vertical="top"/>
    </xf>
    <xf numFmtId="0" fontId="4" fillId="5" borderId="0" xfId="0" applyFont="1" applyFill="1" applyAlignment="1">
      <alignment vertical="top"/>
    </xf>
    <xf numFmtId="0" fontId="3" fillId="5" borderId="0" xfId="0" applyFont="1" applyFill="1" applyAlignment="1">
      <alignment horizontal="center" vertical="top"/>
    </xf>
    <xf numFmtId="9" fontId="11" fillId="5" borderId="0" xfId="1" applyFont="1" applyFill="1" applyAlignment="1">
      <alignment vertical="top"/>
    </xf>
    <xf numFmtId="164" fontId="17" fillId="4" borderId="10" xfId="0" applyNumberFormat="1" applyFont="1" applyFill="1" applyBorder="1" applyAlignment="1">
      <alignment vertical="top"/>
    </xf>
    <xf numFmtId="0" fontId="4" fillId="9" borderId="2" xfId="0" applyFont="1" applyFill="1" applyBorder="1" applyAlignment="1">
      <alignment vertical="top"/>
    </xf>
    <xf numFmtId="0" fontId="4" fillId="9" borderId="11" xfId="0" applyFont="1" applyFill="1" applyBorder="1" applyAlignment="1">
      <alignment vertical="top"/>
    </xf>
    <xf numFmtId="0" fontId="4" fillId="9" borderId="0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0" fontId="4" fillId="9" borderId="4" xfId="0" applyFont="1" applyFill="1" applyBorder="1" applyAlignment="1">
      <alignment vertical="top"/>
    </xf>
    <xf numFmtId="0" fontId="4" fillId="9" borderId="3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3" fontId="0" fillId="0" borderId="0" xfId="0" applyNumberFormat="1"/>
    <xf numFmtId="164" fontId="8" fillId="6" borderId="14" xfId="0" applyNumberFormat="1" applyFont="1" applyFill="1" applyBorder="1" applyAlignment="1">
      <alignment vertical="top"/>
    </xf>
    <xf numFmtId="164" fontId="8" fillId="10" borderId="15" xfId="0" applyNumberFormat="1" applyFont="1" applyFill="1" applyBorder="1" applyAlignment="1">
      <alignment vertical="top"/>
    </xf>
    <xf numFmtId="164" fontId="4" fillId="10" borderId="15" xfId="0" applyNumberFormat="1" applyFont="1" applyFill="1" applyBorder="1" applyAlignment="1">
      <alignment vertical="top"/>
    </xf>
    <xf numFmtId="164" fontId="4" fillId="6" borderId="14" xfId="0" applyNumberFormat="1" applyFont="1" applyFill="1" applyBorder="1" applyAlignment="1">
      <alignment vertical="top"/>
    </xf>
    <xf numFmtId="0" fontId="8" fillId="5" borderId="0" xfId="0" applyFont="1" applyFill="1" applyAlignment="1">
      <alignment horizontal="left" vertical="top"/>
    </xf>
    <xf numFmtId="10" fontId="4" fillId="5" borderId="0" xfId="1" applyNumberFormat="1" applyFont="1" applyFill="1" applyAlignment="1">
      <alignment vertical="top"/>
    </xf>
    <xf numFmtId="0" fontId="0" fillId="5" borderId="0" xfId="0" applyFont="1" applyFill="1" applyAlignment="1">
      <alignment horizontal="left" vertical="top"/>
    </xf>
    <xf numFmtId="3" fontId="17" fillId="4" borderId="10" xfId="0" applyNumberFormat="1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0" fillId="5" borderId="0" xfId="0" applyFont="1" applyFill="1" applyAlignment="1">
      <alignment vertical="top"/>
    </xf>
    <xf numFmtId="0" fontId="2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0" fillId="7" borderId="0" xfId="0" applyFill="1"/>
    <xf numFmtId="9" fontId="18" fillId="5" borderId="0" xfId="1" applyFont="1" applyFill="1" applyAlignment="1">
      <alignment vertical="top"/>
    </xf>
    <xf numFmtId="3" fontId="0" fillId="7" borderId="0" xfId="0" applyNumberFormat="1" applyFill="1"/>
    <xf numFmtId="0" fontId="2" fillId="7" borderId="0" xfId="0" applyFont="1" applyFill="1"/>
    <xf numFmtId="3" fontId="2" fillId="7" borderId="0" xfId="0" applyNumberFormat="1" applyFont="1" applyFill="1"/>
    <xf numFmtId="3" fontId="0" fillId="7" borderId="3" xfId="0" applyNumberFormat="1" applyFill="1" applyBorder="1"/>
    <xf numFmtId="0" fontId="2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/>
    </xf>
    <xf numFmtId="164" fontId="4" fillId="9" borderId="0" xfId="0" applyNumberFormat="1" applyFont="1" applyFill="1" applyBorder="1" applyAlignment="1">
      <alignment vertical="top"/>
    </xf>
    <xf numFmtId="0" fontId="8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/>
    </xf>
    <xf numFmtId="3" fontId="0" fillId="11" borderId="0" xfId="0" applyNumberFormat="1" applyFill="1"/>
    <xf numFmtId="0" fontId="0" fillId="12" borderId="0" xfId="0" applyFill="1"/>
    <xf numFmtId="0" fontId="15" fillId="7" borderId="0" xfId="0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8" fillId="7" borderId="0" xfId="0" applyFont="1" applyFill="1" applyAlignment="1">
      <alignment horizontal="left" vertical="top"/>
    </xf>
    <xf numFmtId="3" fontId="4" fillId="7" borderId="0" xfId="0" applyNumberFormat="1" applyFont="1" applyFill="1" applyAlignment="1">
      <alignment vertical="top"/>
    </xf>
    <xf numFmtId="3" fontId="8" fillId="7" borderId="0" xfId="0" applyNumberFormat="1" applyFont="1" applyFill="1" applyAlignment="1">
      <alignment vertical="top"/>
    </xf>
    <xf numFmtId="3" fontId="0" fillId="12" borderId="0" xfId="0" applyNumberFormat="1" applyFill="1"/>
    <xf numFmtId="0" fontId="8" fillId="12" borderId="0" xfId="0" applyFont="1" applyFill="1" applyAlignment="1">
      <alignment horizontal="left" vertical="top"/>
    </xf>
    <xf numFmtId="3" fontId="4" fillId="12" borderId="0" xfId="0" applyNumberFormat="1" applyFont="1" applyFill="1" applyAlignment="1">
      <alignment vertical="top"/>
    </xf>
    <xf numFmtId="0" fontId="2" fillId="12" borderId="0" xfId="0" applyFont="1" applyFill="1"/>
    <xf numFmtId="0" fontId="0" fillId="10" borderId="0" xfId="0" applyFill="1"/>
    <xf numFmtId="3" fontId="6" fillId="10" borderId="0" xfId="0" applyNumberFormat="1" applyFont="1" applyFill="1" applyBorder="1" applyAlignment="1" applyProtection="1">
      <alignment horizontal="center" vertical="top"/>
    </xf>
    <xf numFmtId="0" fontId="5" fillId="10" borderId="0" xfId="0" applyFont="1" applyFill="1" applyAlignment="1">
      <alignment vertical="top"/>
    </xf>
    <xf numFmtId="0" fontId="2" fillId="10" borderId="0" xfId="0" applyFont="1" applyFill="1"/>
    <xf numFmtId="0" fontId="4" fillId="5" borderId="0" xfId="0" applyFont="1" applyFill="1" applyAlignment="1">
      <alignment horizontal="left" vertical="top"/>
    </xf>
    <xf numFmtId="0" fontId="0" fillId="7" borderId="0" xfId="0" applyFont="1" applyFill="1" applyAlignment="1">
      <alignment horizontal="left" vertical="top"/>
    </xf>
    <xf numFmtId="164" fontId="4" fillId="7" borderId="0" xfId="0" applyNumberFormat="1" applyFont="1" applyFill="1" applyAlignment="1">
      <alignment vertical="top"/>
    </xf>
    <xf numFmtId="3" fontId="0" fillId="13" borderId="0" xfId="0" applyNumberFormat="1" applyFill="1"/>
    <xf numFmtId="3" fontId="0" fillId="9" borderId="0" xfId="0" applyNumberFormat="1" applyFill="1"/>
    <xf numFmtId="0" fontId="4" fillId="2" borderId="0" xfId="0" applyFont="1" applyFill="1" applyBorder="1" applyAlignment="1">
      <alignment vertical="top"/>
    </xf>
    <xf numFmtId="0" fontId="2" fillId="5" borderId="0" xfId="0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3" fontId="4" fillId="9" borderId="0" xfId="0" applyNumberFormat="1" applyFont="1" applyFill="1" applyBorder="1" applyAlignment="1">
      <alignment vertical="top"/>
    </xf>
    <xf numFmtId="1" fontId="4" fillId="9" borderId="0" xfId="0" applyNumberFormat="1" applyFont="1" applyFill="1" applyBorder="1" applyAlignment="1">
      <alignment vertical="top"/>
    </xf>
    <xf numFmtId="3" fontId="4" fillId="9" borderId="9" xfId="0" applyNumberFormat="1" applyFont="1" applyFill="1" applyBorder="1" applyAlignment="1">
      <alignment vertical="top"/>
    </xf>
    <xf numFmtId="3" fontId="4" fillId="5" borderId="0" xfId="0" applyNumberFormat="1" applyFont="1" applyFill="1" applyBorder="1" applyAlignment="1">
      <alignment vertical="top"/>
    </xf>
    <xf numFmtId="3" fontId="0" fillId="5" borderId="0" xfId="0" applyNumberFormat="1" applyFill="1"/>
    <xf numFmtId="3" fontId="8" fillId="9" borderId="9" xfId="0" applyNumberFormat="1" applyFont="1" applyFill="1" applyBorder="1" applyAlignment="1">
      <alignment vertical="top"/>
    </xf>
    <xf numFmtId="3" fontId="4" fillId="9" borderId="9" xfId="0" quotePrefix="1" applyNumberFormat="1" applyFont="1" applyFill="1" applyBorder="1" applyAlignment="1">
      <alignment vertical="top"/>
    </xf>
    <xf numFmtId="3" fontId="4" fillId="9" borderId="4" xfId="0" applyNumberFormat="1" applyFont="1" applyFill="1" applyBorder="1" applyAlignment="1">
      <alignment vertical="top"/>
    </xf>
    <xf numFmtId="0" fontId="4" fillId="9" borderId="18" xfId="0" applyFont="1" applyFill="1" applyBorder="1" applyAlignment="1">
      <alignment vertical="top"/>
    </xf>
    <xf numFmtId="0" fontId="8" fillId="9" borderId="16" xfId="0" applyFont="1" applyFill="1" applyBorder="1" applyAlignment="1">
      <alignment vertical="top"/>
    </xf>
    <xf numFmtId="0" fontId="0" fillId="5" borderId="0" xfId="0" quotePrefix="1" applyFill="1"/>
    <xf numFmtId="3" fontId="2" fillId="5" borderId="0" xfId="0" applyNumberFormat="1" applyFont="1" applyFill="1"/>
    <xf numFmtId="164" fontId="8" fillId="14" borderId="17" xfId="0" applyNumberFormat="1" applyFont="1" applyFill="1" applyBorder="1" applyAlignment="1">
      <alignment vertical="top"/>
    </xf>
    <xf numFmtId="0" fontId="8" fillId="9" borderId="17" xfId="0" applyFont="1" applyFill="1" applyBorder="1" applyAlignment="1">
      <alignment vertical="top"/>
    </xf>
    <xf numFmtId="0" fontId="8" fillId="15" borderId="0" xfId="0" applyFont="1" applyFill="1" applyAlignment="1">
      <alignment vertical="top"/>
    </xf>
    <xf numFmtId="3" fontId="8" fillId="15" borderId="1" xfId="0" applyNumberFormat="1" applyFont="1" applyFill="1" applyBorder="1" applyAlignment="1">
      <alignment vertical="top"/>
    </xf>
    <xf numFmtId="0" fontId="8" fillId="5" borderId="0" xfId="0" applyFont="1" applyFill="1" applyAlignment="1">
      <alignment horizontal="left" vertical="top"/>
    </xf>
    <xf numFmtId="3" fontId="4" fillId="5" borderId="0" xfId="0" applyNumberFormat="1" applyFont="1" applyFill="1" applyAlignment="1">
      <alignment vertical="top"/>
    </xf>
    <xf numFmtId="3" fontId="22" fillId="5" borderId="0" xfId="0" applyNumberFormat="1" applyFont="1" applyFill="1" applyBorder="1"/>
    <xf numFmtId="0" fontId="8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5" xfId="0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left"/>
    </xf>
    <xf numFmtId="0" fontId="8" fillId="7" borderId="0" xfId="0" applyFont="1" applyFill="1" applyAlignment="1">
      <alignment horizontal="left" vertical="top"/>
    </xf>
  </cellXfs>
  <cellStyles count="11">
    <cellStyle name="Currency 2" xfId="4" xr:uid="{9288FC72-2342-4BF9-B1E9-87F10474CAF0}"/>
    <cellStyle name="Normal" xfId="0" builtinId="0"/>
    <cellStyle name="Normal 2" xfId="2" xr:uid="{EB9E6E4A-DE0F-4139-8983-F5E00C2883A1}"/>
    <cellStyle name="Normal 3" xfId="3" xr:uid="{FC88DBCE-2A88-485F-905E-185D7FBCDFFF}"/>
    <cellStyle name="Normal 4" xfId="5" xr:uid="{000642BA-FF93-45E8-96C4-11738CF25DD4}"/>
    <cellStyle name="Normal 4 2" xfId="6" xr:uid="{97E050AD-79F4-499E-A701-8A26AB5FFD3F}"/>
    <cellStyle name="Normal 5" xfId="7" xr:uid="{4D205D44-FDA6-4CD4-A28A-29DB5C9202E4}"/>
    <cellStyle name="Normal 6" xfId="8" xr:uid="{3D7E98B3-352D-4CEF-A94E-3E6565CD4160}"/>
    <cellStyle name="Normal 7" xfId="10" xr:uid="{C5D4FA88-8B2D-4D46-8D57-8A098F52007A}"/>
    <cellStyle name="Percent 2" xfId="9" xr:uid="{782139DC-1145-458F-B2F7-CB888A9FD45C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650C-B42D-44BB-8DE9-73CE09429190}">
  <sheetPr>
    <tabColor rgb="FFFFFF00"/>
  </sheetPr>
  <dimension ref="A1:BK219"/>
  <sheetViews>
    <sheetView tabSelected="1" topLeftCell="B1" zoomScaleNormal="100" workbookViewId="0">
      <pane ySplit="5" topLeftCell="A6" activePane="bottomLeft" state="frozen"/>
      <selection activeCell="P23" sqref="P23"/>
      <selection pane="bottomLeft" activeCell="I145" sqref="I145"/>
    </sheetView>
  </sheetViews>
  <sheetFormatPr defaultRowHeight="15" x14ac:dyDescent="0.25"/>
  <cols>
    <col min="1" max="1" width="8.140625" style="6" customWidth="1"/>
    <col min="2" max="2" width="32" style="6" customWidth="1"/>
    <col min="3" max="3" width="3.85546875" style="6" customWidth="1"/>
    <col min="4" max="4" width="13.140625" customWidth="1"/>
    <col min="5" max="6" width="12.85546875" customWidth="1"/>
    <col min="7" max="7" width="12.42578125" customWidth="1"/>
    <col min="8" max="15" width="12.85546875" customWidth="1"/>
    <col min="16" max="16" width="13.42578125" customWidth="1"/>
    <col min="17" max="17" width="11.42578125" style="39" bestFit="1" customWidth="1"/>
    <col min="18" max="18" width="11" bestFit="1" customWidth="1"/>
    <col min="19" max="19" width="14.5703125" customWidth="1"/>
    <col min="20" max="20" width="9.5703125" bestFit="1" customWidth="1"/>
    <col min="21" max="21" width="7.7109375" customWidth="1"/>
    <col min="22" max="22" width="9.28515625" bestFit="1" customWidth="1"/>
    <col min="23" max="23" width="7.7109375" customWidth="1"/>
  </cols>
  <sheetData>
    <row r="1" spans="1:63" x14ac:dyDescent="0.25">
      <c r="A1" s="7"/>
      <c r="B1" s="7"/>
      <c r="C1" s="12"/>
      <c r="D1" s="111" t="s">
        <v>131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90"/>
      <c r="R1" s="28"/>
      <c r="S1" s="28"/>
      <c r="T1" s="28"/>
      <c r="U1" s="28"/>
      <c r="V1" s="28"/>
      <c r="W1" s="28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</row>
    <row r="2" spans="1:63" x14ac:dyDescent="0.25">
      <c r="A2" s="7"/>
      <c r="B2" s="7"/>
      <c r="C2" s="12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90"/>
      <c r="R2" s="28"/>
      <c r="S2" s="28"/>
      <c r="T2" s="104"/>
      <c r="U2" s="28"/>
      <c r="V2" s="28"/>
      <c r="W2" s="2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</row>
    <row r="3" spans="1:63" ht="18.75" x14ac:dyDescent="0.25">
      <c r="A3" s="8" t="s">
        <v>57</v>
      </c>
      <c r="B3" s="8"/>
      <c r="C3" s="12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90"/>
      <c r="R3" s="28"/>
      <c r="S3" s="28"/>
      <c r="T3" s="90"/>
      <c r="U3" s="28"/>
      <c r="V3" s="28"/>
      <c r="W3" s="28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</row>
    <row r="4" spans="1:63" ht="18.75" x14ac:dyDescent="0.25">
      <c r="A4" s="8"/>
      <c r="B4" s="8"/>
      <c r="C4" s="13"/>
      <c r="D4" s="108" t="s">
        <v>132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91"/>
      <c r="R4" s="6"/>
      <c r="S4" s="6"/>
      <c r="T4" s="105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</row>
    <row r="5" spans="1:63" ht="18.75" x14ac:dyDescent="0.25">
      <c r="A5" s="8"/>
      <c r="B5" s="8"/>
      <c r="C5" s="12"/>
      <c r="D5" s="14" t="s">
        <v>58</v>
      </c>
      <c r="E5" s="15" t="s">
        <v>59</v>
      </c>
      <c r="F5" s="15" t="s">
        <v>60</v>
      </c>
      <c r="G5" s="15" t="s">
        <v>61</v>
      </c>
      <c r="H5" s="15" t="s">
        <v>62</v>
      </c>
      <c r="I5" s="15" t="s">
        <v>63</v>
      </c>
      <c r="J5" s="15" t="s">
        <v>64</v>
      </c>
      <c r="K5" s="15" t="s">
        <v>65</v>
      </c>
      <c r="L5" s="15" t="s">
        <v>66</v>
      </c>
      <c r="M5" s="15" t="s">
        <v>67</v>
      </c>
      <c r="N5" s="15" t="s">
        <v>68</v>
      </c>
      <c r="O5" s="15" t="s">
        <v>69</v>
      </c>
      <c r="P5" s="16" t="s">
        <v>70</v>
      </c>
      <c r="Q5" s="90"/>
      <c r="R5" s="28"/>
      <c r="S5" s="28"/>
      <c r="T5" s="28"/>
      <c r="U5" s="28"/>
      <c r="V5" s="28"/>
      <c r="W5" s="28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</row>
    <row r="6" spans="1:63" x14ac:dyDescent="0.25">
      <c r="A6" s="22"/>
      <c r="B6" s="22"/>
      <c r="C6" s="1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90"/>
      <c r="R6" s="28"/>
      <c r="S6" s="28"/>
      <c r="T6" s="28"/>
      <c r="U6" s="28"/>
      <c r="V6" s="28"/>
      <c r="W6" s="28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</row>
    <row r="7" spans="1:63" ht="18.75" x14ac:dyDescent="0.25">
      <c r="A7" s="9" t="s">
        <v>71</v>
      </c>
      <c r="B7" s="9"/>
      <c r="C7" s="13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101">
        <v>2021</v>
      </c>
      <c r="Q7" s="102">
        <v>2022</v>
      </c>
      <c r="R7" s="32"/>
      <c r="S7" s="32"/>
      <c r="T7" s="32"/>
      <c r="U7" s="32"/>
      <c r="V7" s="32"/>
      <c r="W7" s="33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</row>
    <row r="8" spans="1:63" x14ac:dyDescent="0.25">
      <c r="A8" s="106" t="s">
        <v>91</v>
      </c>
      <c r="B8" s="106"/>
      <c r="C8" s="1"/>
      <c r="D8" s="17">
        <v>45000</v>
      </c>
      <c r="E8" s="17">
        <v>35000</v>
      </c>
      <c r="F8" s="17">
        <v>8000</v>
      </c>
      <c r="G8" s="17">
        <v>6000</v>
      </c>
      <c r="H8" s="17">
        <v>6000</v>
      </c>
      <c r="I8" s="17">
        <v>2500</v>
      </c>
      <c r="J8" s="17">
        <v>1500</v>
      </c>
      <c r="K8" s="17">
        <v>10000</v>
      </c>
      <c r="L8" s="17">
        <v>3000</v>
      </c>
      <c r="M8" s="17">
        <v>2000</v>
      </c>
      <c r="N8" s="17">
        <v>1000</v>
      </c>
      <c r="O8" s="17">
        <v>0</v>
      </c>
      <c r="P8" s="18">
        <f>SUM(D8:O8)</f>
        <v>120000</v>
      </c>
      <c r="Q8" s="89">
        <v>120000</v>
      </c>
      <c r="R8" s="34"/>
      <c r="S8" s="34"/>
      <c r="T8" s="34"/>
      <c r="U8" s="34"/>
      <c r="V8" s="34"/>
      <c r="W8" s="3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3" x14ac:dyDescent="0.25">
      <c r="A9" s="106" t="s">
        <v>92</v>
      </c>
      <c r="B9" s="106"/>
      <c r="C9" s="1"/>
      <c r="D9" s="17">
        <v>980000</v>
      </c>
      <c r="E9" s="17">
        <v>550000</v>
      </c>
      <c r="F9" s="17">
        <v>180000</v>
      </c>
      <c r="G9" s="17">
        <v>120000</v>
      </c>
      <c r="H9" s="17">
        <v>110000</v>
      </c>
      <c r="I9" s="17">
        <v>35000</v>
      </c>
      <c r="J9" s="17">
        <v>35000</v>
      </c>
      <c r="K9" s="17">
        <v>150000</v>
      </c>
      <c r="L9" s="17">
        <v>55000</v>
      </c>
      <c r="M9" s="17">
        <v>30000</v>
      </c>
      <c r="N9" s="17">
        <v>5000</v>
      </c>
      <c r="O9" s="17">
        <v>0</v>
      </c>
      <c r="P9" s="18">
        <f>SUM(D9:O9)</f>
        <v>2250000</v>
      </c>
      <c r="Q9" s="89">
        <f>2250000+140000</f>
        <v>2390000</v>
      </c>
      <c r="R9" s="34"/>
      <c r="S9" s="34"/>
      <c r="T9" s="34"/>
      <c r="U9" s="34"/>
      <c r="V9" s="61"/>
      <c r="W9" s="35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x14ac:dyDescent="0.25">
      <c r="A10" s="106" t="s">
        <v>93</v>
      </c>
      <c r="B10" s="106"/>
      <c r="C10" s="1"/>
      <c r="D10" s="17">
        <v>0</v>
      </c>
      <c r="E10" s="17">
        <v>225000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225000</v>
      </c>
      <c r="L10" s="17">
        <v>0</v>
      </c>
      <c r="M10" s="17">
        <v>0</v>
      </c>
      <c r="N10" s="17">
        <v>0</v>
      </c>
      <c r="O10" s="17">
        <v>0</v>
      </c>
      <c r="P10" s="18">
        <f t="shared" ref="P10:P40" si="0">SUM(D10:O10)</f>
        <v>450000</v>
      </c>
      <c r="Q10" s="89">
        <v>420000</v>
      </c>
      <c r="R10" s="34" t="s">
        <v>133</v>
      </c>
      <c r="S10" s="34" t="s">
        <v>134</v>
      </c>
      <c r="T10" s="34"/>
      <c r="U10" s="34"/>
      <c r="V10" s="34"/>
      <c r="W10" s="35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25">
      <c r="A11" s="103" t="s">
        <v>155</v>
      </c>
      <c r="B11" s="103"/>
      <c r="C11" s="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>
        <v>0</v>
      </c>
      <c r="Q11" s="89">
        <f>1500*11</f>
        <v>16500</v>
      </c>
      <c r="R11" s="34"/>
      <c r="S11" s="34"/>
      <c r="T11" s="34"/>
      <c r="U11" s="34"/>
      <c r="V11" s="34"/>
      <c r="W11" s="3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25">
      <c r="A12" s="103" t="s">
        <v>156</v>
      </c>
      <c r="B12" s="103"/>
      <c r="C12" s="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>
        <v>0</v>
      </c>
      <c r="Q12" s="89">
        <f>1500*40</f>
        <v>60000</v>
      </c>
      <c r="R12" s="34"/>
      <c r="S12" s="34"/>
      <c r="T12" s="34"/>
      <c r="U12" s="34"/>
      <c r="V12" s="34"/>
      <c r="W12" s="3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25">
      <c r="A13" s="106" t="s">
        <v>0</v>
      </c>
      <c r="B13" s="106"/>
      <c r="C13" s="1"/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253000</v>
      </c>
      <c r="L13" s="17">
        <v>0</v>
      </c>
      <c r="M13" s="17">
        <v>0</v>
      </c>
      <c r="N13" s="17">
        <v>0</v>
      </c>
      <c r="O13" s="17">
        <v>198104</v>
      </c>
      <c r="P13" s="18">
        <f t="shared" si="0"/>
        <v>451104</v>
      </c>
      <c r="Q13" s="89">
        <f>SUM(R13:S13)</f>
        <v>451103.77358490566</v>
      </c>
      <c r="R13" s="34">
        <v>253000</v>
      </c>
      <c r="S13" s="88">
        <v>198103.77358490566</v>
      </c>
      <c r="T13" s="34"/>
      <c r="U13" s="34"/>
      <c r="V13" s="34"/>
      <c r="W13" s="3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25">
      <c r="A14" s="106" t="s">
        <v>1</v>
      </c>
      <c r="B14" s="106"/>
      <c r="C14" s="1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328000</v>
      </c>
      <c r="L14" s="17">
        <v>0</v>
      </c>
      <c r="M14" s="17">
        <v>0</v>
      </c>
      <c r="N14" s="17">
        <v>0</v>
      </c>
      <c r="O14" s="17">
        <v>256830</v>
      </c>
      <c r="P14" s="18">
        <f t="shared" si="0"/>
        <v>584830</v>
      </c>
      <c r="Q14" s="89">
        <f>SUM(R14:S14)</f>
        <v>584830.1886792453</v>
      </c>
      <c r="R14" s="34">
        <v>328000</v>
      </c>
      <c r="S14" s="88">
        <v>256830.1886792453</v>
      </c>
      <c r="T14" s="34"/>
      <c r="U14" s="34"/>
      <c r="V14" s="34"/>
      <c r="W14" s="35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25">
      <c r="A15" s="106" t="s">
        <v>2</v>
      </c>
      <c r="B15" s="106"/>
      <c r="C15" s="1"/>
      <c r="D15" s="17">
        <v>0</v>
      </c>
      <c r="E15" s="17">
        <v>0</v>
      </c>
      <c r="F15" s="17">
        <v>62000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8">
        <f t="shared" si="0"/>
        <v>62000</v>
      </c>
      <c r="Q15" s="89">
        <v>62000</v>
      </c>
      <c r="R15" s="34"/>
      <c r="S15" s="34"/>
      <c r="T15" s="34"/>
      <c r="U15" s="34"/>
      <c r="V15" s="34"/>
      <c r="W15" s="3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25">
      <c r="A16" s="106" t="s">
        <v>3</v>
      </c>
      <c r="B16" s="106"/>
      <c r="C16" s="1"/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8">
        <f t="shared" si="0"/>
        <v>0</v>
      </c>
      <c r="Q16" s="89" t="s">
        <v>135</v>
      </c>
      <c r="R16" s="34"/>
      <c r="S16" s="34" t="s">
        <v>136</v>
      </c>
      <c r="T16" s="34" t="s">
        <v>137</v>
      </c>
      <c r="U16" s="34" t="s">
        <v>151</v>
      </c>
      <c r="V16" s="34"/>
      <c r="W16" s="3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25">
      <c r="A17" s="106" t="s">
        <v>4</v>
      </c>
      <c r="B17" s="106"/>
      <c r="C17" s="1"/>
      <c r="D17" s="17">
        <v>110000</v>
      </c>
      <c r="E17" s="17">
        <v>50000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8">
        <f t="shared" si="0"/>
        <v>160000</v>
      </c>
      <c r="Q17" s="89">
        <f>SUM(S17:T17)</f>
        <v>160000</v>
      </c>
      <c r="R17" s="34"/>
      <c r="S17" s="87">
        <v>110000</v>
      </c>
      <c r="T17" s="34">
        <v>50000</v>
      </c>
      <c r="U17" s="34"/>
      <c r="V17" s="34"/>
      <c r="W17" s="35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25">
      <c r="A18" s="106" t="s">
        <v>5</v>
      </c>
      <c r="B18" s="106"/>
      <c r="C18" s="1"/>
      <c r="D18" s="17">
        <v>0</v>
      </c>
      <c r="E18" s="17">
        <v>0</v>
      </c>
      <c r="F18" s="17">
        <v>0</v>
      </c>
      <c r="G18" s="17">
        <v>100000</v>
      </c>
      <c r="H18" s="17">
        <v>300000</v>
      </c>
      <c r="I18" s="17">
        <v>100000</v>
      </c>
      <c r="J18" s="17">
        <v>80000</v>
      </c>
      <c r="K18" s="17">
        <v>200000</v>
      </c>
      <c r="L18" s="17">
        <v>100000</v>
      </c>
      <c r="M18" s="17">
        <v>20000</v>
      </c>
      <c r="N18" s="17">
        <v>0</v>
      </c>
      <c r="O18" s="17">
        <v>0</v>
      </c>
      <c r="P18" s="18">
        <f t="shared" si="0"/>
        <v>900000</v>
      </c>
      <c r="Q18" s="89">
        <v>900000</v>
      </c>
      <c r="R18" s="34"/>
      <c r="S18" s="34"/>
      <c r="T18" s="34"/>
      <c r="U18" s="34"/>
      <c r="V18" s="34"/>
      <c r="W18" s="35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25">
      <c r="A19" s="106" t="s">
        <v>7</v>
      </c>
      <c r="B19" s="106"/>
      <c r="C19" s="1"/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>
        <f t="shared" si="0"/>
        <v>0</v>
      </c>
      <c r="Q19" s="89"/>
      <c r="R19" s="34"/>
      <c r="S19" s="34"/>
      <c r="T19" s="34"/>
      <c r="U19" s="34"/>
      <c r="V19" s="34"/>
      <c r="W19" s="35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25">
      <c r="A20" s="106" t="s">
        <v>8</v>
      </c>
      <c r="B20" s="106"/>
      <c r="C20" s="1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89"/>
      <c r="R20" s="96" t="s">
        <v>152</v>
      </c>
      <c r="S20" s="34"/>
      <c r="T20" s="34"/>
      <c r="U20" s="34"/>
      <c r="V20" s="34"/>
      <c r="W20" s="35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25">
      <c r="A21" s="62"/>
      <c r="B21" s="79" t="s">
        <v>28</v>
      </c>
      <c r="C21" s="1"/>
      <c r="D21" s="17">
        <v>0</v>
      </c>
      <c r="E21" s="17">
        <v>0</v>
      </c>
      <c r="F21" s="17">
        <v>36000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8">
        <f>SUM(D21:O21)</f>
        <v>36000</v>
      </c>
      <c r="Q21" s="89">
        <f>P21</f>
        <v>36000</v>
      </c>
      <c r="R21" s="95" t="s">
        <v>138</v>
      </c>
      <c r="S21" s="34"/>
      <c r="T21" s="34"/>
      <c r="U21" s="34"/>
      <c r="V21" s="34"/>
      <c r="W21" s="3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25">
      <c r="A22" s="62"/>
      <c r="B22" s="79" t="s">
        <v>122</v>
      </c>
      <c r="C22" s="1"/>
      <c r="D22" s="17">
        <v>0</v>
      </c>
      <c r="E22" s="17">
        <v>0</v>
      </c>
      <c r="F22" s="17">
        <v>40000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40000</v>
      </c>
      <c r="Q22" s="89">
        <f>P22</f>
        <v>40000</v>
      </c>
      <c r="R22" s="95"/>
      <c r="S22" s="34"/>
      <c r="T22" s="34"/>
      <c r="U22" s="34"/>
      <c r="V22" s="34"/>
      <c r="W22" s="35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25">
      <c r="A23" s="62"/>
      <c r="B23" s="46" t="s">
        <v>112</v>
      </c>
      <c r="C23" s="1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112000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112000</v>
      </c>
      <c r="Q23" s="89">
        <f>SUM(P23,R23)/2</f>
        <v>78400</v>
      </c>
      <c r="R23" s="95">
        <f>32*1400</f>
        <v>44800</v>
      </c>
      <c r="S23" s="34"/>
      <c r="T23" s="34"/>
      <c r="U23" s="34"/>
      <c r="V23" s="34"/>
      <c r="W23" s="35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x14ac:dyDescent="0.25">
      <c r="A24" s="62"/>
      <c r="B24" s="46" t="s">
        <v>113</v>
      </c>
      <c r="C24" s="1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84000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8">
        <f t="shared" si="0"/>
        <v>84000</v>
      </c>
      <c r="Q24" s="89">
        <f t="shared" ref="Q24:Q30" si="1">SUM(P24,R24)/2</f>
        <v>81200</v>
      </c>
      <c r="R24" s="95">
        <f>56*1400</f>
        <v>78400</v>
      </c>
      <c r="S24" s="34"/>
      <c r="T24" s="34"/>
      <c r="U24" s="34"/>
      <c r="V24" s="34"/>
      <c r="W24" s="35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25">
      <c r="A25" s="62"/>
      <c r="B25" s="46" t="s">
        <v>114</v>
      </c>
      <c r="C25" s="1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98000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8">
        <f t="shared" si="0"/>
        <v>98000</v>
      </c>
      <c r="Q25" s="89">
        <f t="shared" si="1"/>
        <v>67900</v>
      </c>
      <c r="R25" s="95">
        <f>27*1400</f>
        <v>37800</v>
      </c>
      <c r="S25" s="34"/>
      <c r="T25" s="34"/>
      <c r="U25" s="34"/>
      <c r="V25" s="34"/>
      <c r="W25" s="35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1:63" x14ac:dyDescent="0.25">
      <c r="A26" s="62"/>
      <c r="B26" s="46" t="s">
        <v>115</v>
      </c>
      <c r="C26" s="1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68000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68000</v>
      </c>
      <c r="Q26" s="89">
        <f t="shared" si="1"/>
        <v>72250</v>
      </c>
      <c r="R26" s="95">
        <f>1700*45</f>
        <v>76500</v>
      </c>
      <c r="S26" s="34"/>
      <c r="T26" s="34"/>
      <c r="U26" s="34"/>
      <c r="V26" s="34"/>
      <c r="W26" s="35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1:63" x14ac:dyDescent="0.25">
      <c r="A27" s="62"/>
      <c r="B27" s="46" t="s">
        <v>116</v>
      </c>
      <c r="C27" s="1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33000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8">
        <f t="shared" si="0"/>
        <v>33000</v>
      </c>
      <c r="Q27" s="89">
        <f t="shared" si="1"/>
        <v>24750</v>
      </c>
      <c r="R27" s="95">
        <f>11*1500</f>
        <v>16500</v>
      </c>
      <c r="S27" s="34"/>
      <c r="T27" s="34"/>
      <c r="U27" s="34"/>
      <c r="V27" s="34"/>
      <c r="W27" s="35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1:63" x14ac:dyDescent="0.25">
      <c r="A28" s="62"/>
      <c r="B28" s="46" t="s">
        <v>117</v>
      </c>
      <c r="C28" s="1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33000</v>
      </c>
      <c r="L28" s="17">
        <v>0</v>
      </c>
      <c r="M28" s="17">
        <v>0</v>
      </c>
      <c r="N28" s="17">
        <v>0</v>
      </c>
      <c r="O28" s="17">
        <v>0</v>
      </c>
      <c r="P28" s="18">
        <f t="shared" si="0"/>
        <v>33000</v>
      </c>
      <c r="Q28" s="89">
        <v>25000</v>
      </c>
      <c r="R28" s="95" t="s">
        <v>139</v>
      </c>
      <c r="S28" s="34"/>
      <c r="T28" s="34"/>
      <c r="U28" s="34"/>
      <c r="V28" s="34"/>
      <c r="W28" s="35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3" x14ac:dyDescent="0.25">
      <c r="A29" s="62"/>
      <c r="B29" s="46" t="s">
        <v>118</v>
      </c>
      <c r="C29" s="1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98000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98000</v>
      </c>
      <c r="Q29" s="89">
        <f t="shared" si="1"/>
        <v>56700</v>
      </c>
      <c r="R29" s="95">
        <f>11*1400</f>
        <v>15400</v>
      </c>
      <c r="S29" s="34"/>
      <c r="T29" s="34"/>
      <c r="U29" s="34"/>
      <c r="V29" s="34"/>
      <c r="W29" s="35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1:63" x14ac:dyDescent="0.25">
      <c r="A30" s="62"/>
      <c r="B30" s="46" t="s">
        <v>119</v>
      </c>
      <c r="C30" s="1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68000</v>
      </c>
      <c r="L30" s="17">
        <v>0</v>
      </c>
      <c r="M30" s="17">
        <v>0</v>
      </c>
      <c r="N30" s="17">
        <v>0</v>
      </c>
      <c r="O30" s="17">
        <v>0</v>
      </c>
      <c r="P30" s="18">
        <f t="shared" si="0"/>
        <v>68000</v>
      </c>
      <c r="Q30" s="89">
        <f t="shared" si="1"/>
        <v>51850</v>
      </c>
      <c r="R30" s="95">
        <f>21*1700</f>
        <v>35700</v>
      </c>
      <c r="S30" s="34"/>
      <c r="T30" s="34"/>
      <c r="U30" s="34"/>
      <c r="V30" s="34"/>
      <c r="W30" s="35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1:63" x14ac:dyDescent="0.25">
      <c r="A31" s="62"/>
      <c r="B31" s="46" t="s">
        <v>120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8">
        <f t="shared" si="0"/>
        <v>0</v>
      </c>
      <c r="Q31" s="89"/>
      <c r="R31" s="95">
        <v>0</v>
      </c>
      <c r="S31" s="34"/>
      <c r="T31" s="34"/>
      <c r="U31" s="34"/>
      <c r="V31" s="34"/>
      <c r="W31" s="35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32" s="62"/>
      <c r="B32" s="46" t="s">
        <v>32</v>
      </c>
      <c r="C32" s="1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36000</v>
      </c>
      <c r="N32" s="17">
        <v>0</v>
      </c>
      <c r="O32" s="17">
        <v>0</v>
      </c>
      <c r="P32" s="18">
        <f t="shared" si="0"/>
        <v>36000</v>
      </c>
      <c r="Q32" s="89">
        <f>P32</f>
        <v>36000</v>
      </c>
      <c r="R32" s="95"/>
      <c r="S32" s="34"/>
      <c r="T32" s="34"/>
      <c r="U32" s="34"/>
      <c r="V32" s="34"/>
      <c r="W32" s="35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  <row r="33" spans="1:63" x14ac:dyDescent="0.25">
      <c r="A33" s="62"/>
      <c r="B33" s="6" t="s">
        <v>121</v>
      </c>
      <c r="C33" s="1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40000</v>
      </c>
      <c r="N33" s="17">
        <v>0</v>
      </c>
      <c r="O33" s="17">
        <v>0</v>
      </c>
      <c r="P33" s="18">
        <f t="shared" si="0"/>
        <v>40000</v>
      </c>
      <c r="Q33" s="89">
        <f>P33</f>
        <v>40000</v>
      </c>
      <c r="R33" s="36"/>
      <c r="S33" s="96" t="s">
        <v>153</v>
      </c>
      <c r="T33" s="34"/>
      <c r="U33" s="34"/>
      <c r="V33" s="34"/>
      <c r="W33" s="35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</row>
    <row r="34" spans="1:63" x14ac:dyDescent="0.25">
      <c r="A34" s="106" t="s">
        <v>9</v>
      </c>
      <c r="B34" s="106"/>
      <c r="C34" s="1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89"/>
      <c r="R34" s="34">
        <f>SUM(R23:R33)</f>
        <v>305100</v>
      </c>
      <c r="S34" s="99">
        <f>Q34-R34</f>
        <v>-305100</v>
      </c>
      <c r="T34" s="34"/>
      <c r="U34" s="34"/>
      <c r="V34" s="34"/>
      <c r="W34" s="35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1:63" x14ac:dyDescent="0.25">
      <c r="A35" s="62"/>
      <c r="B35" s="79" t="s">
        <v>123</v>
      </c>
      <c r="C35" s="1"/>
      <c r="D35" s="17">
        <v>0</v>
      </c>
      <c r="E35" s="17">
        <v>0</v>
      </c>
      <c r="F35" s="17">
        <v>0</v>
      </c>
      <c r="G35" s="17">
        <v>80000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8">
        <f t="shared" si="0"/>
        <v>80000</v>
      </c>
      <c r="Q35" s="89">
        <v>80000</v>
      </c>
      <c r="R35" s="34"/>
      <c r="S35" s="34"/>
      <c r="T35" s="34"/>
      <c r="U35" s="34"/>
      <c r="V35" s="34"/>
      <c r="W35" s="35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1:63" x14ac:dyDescent="0.25">
      <c r="A36" s="62"/>
      <c r="B36" s="79" t="s">
        <v>124</v>
      </c>
      <c r="C36" s="1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40000</v>
      </c>
      <c r="N36" s="17">
        <v>0</v>
      </c>
      <c r="O36" s="17">
        <v>0</v>
      </c>
      <c r="P36" s="18">
        <f t="shared" si="0"/>
        <v>40000</v>
      </c>
      <c r="Q36" s="89">
        <v>40000</v>
      </c>
      <c r="R36" s="34"/>
      <c r="S36" s="34"/>
      <c r="T36" s="34"/>
      <c r="U36" s="34"/>
      <c r="V36" s="34"/>
      <c r="W36" s="35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1:63" x14ac:dyDescent="0.25">
      <c r="A37" s="62"/>
      <c r="B37" s="62"/>
      <c r="C37" s="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89"/>
      <c r="R37" s="34"/>
      <c r="S37" s="34"/>
      <c r="T37" s="34"/>
      <c r="U37" s="34"/>
      <c r="V37" s="34"/>
      <c r="W37" s="35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1:63" x14ac:dyDescent="0.25">
      <c r="A38" s="106" t="s">
        <v>10</v>
      </c>
      <c r="B38" s="106"/>
      <c r="C38" s="1"/>
      <c r="D38" s="17">
        <v>0</v>
      </c>
      <c r="E38" s="17">
        <v>50000</v>
      </c>
      <c r="F38" s="17">
        <v>10000</v>
      </c>
      <c r="G38" s="17">
        <v>20000</v>
      </c>
      <c r="H38" s="17">
        <v>30000</v>
      </c>
      <c r="I38" s="17">
        <v>30000</v>
      </c>
      <c r="J38" s="17">
        <v>30000</v>
      </c>
      <c r="K38" s="17">
        <v>35000</v>
      </c>
      <c r="L38" s="17">
        <v>15000</v>
      </c>
      <c r="M38" s="17">
        <v>10000</v>
      </c>
      <c r="N38" s="17">
        <v>10000</v>
      </c>
      <c r="O38" s="17">
        <v>0</v>
      </c>
      <c r="P38" s="18">
        <f t="shared" si="0"/>
        <v>240000</v>
      </c>
      <c r="Q38" s="89">
        <v>240000</v>
      </c>
      <c r="R38" s="34"/>
      <c r="S38" s="34"/>
      <c r="T38" s="34"/>
      <c r="U38" s="34"/>
      <c r="V38" s="34"/>
      <c r="W38" s="35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39" spans="1:63" x14ac:dyDescent="0.25">
      <c r="A39" s="106" t="s">
        <v>11</v>
      </c>
      <c r="B39" s="106"/>
      <c r="C39" s="1"/>
      <c r="D39" s="17">
        <v>8400</v>
      </c>
      <c r="E39" s="17">
        <v>8400</v>
      </c>
      <c r="F39" s="17">
        <v>8400</v>
      </c>
      <c r="G39" s="17">
        <v>8400</v>
      </c>
      <c r="H39" s="17">
        <v>8400</v>
      </c>
      <c r="I39" s="17">
        <v>8400</v>
      </c>
      <c r="J39" s="17">
        <v>8400</v>
      </c>
      <c r="K39" s="17">
        <v>8400</v>
      </c>
      <c r="L39" s="17">
        <v>8400</v>
      </c>
      <c r="M39" s="17">
        <v>8400</v>
      </c>
      <c r="N39" s="17">
        <v>8000</v>
      </c>
      <c r="O39" s="17">
        <v>8000</v>
      </c>
      <c r="P39" s="18">
        <f t="shared" si="0"/>
        <v>100000</v>
      </c>
      <c r="Q39" s="89">
        <v>100000</v>
      </c>
      <c r="R39" s="34"/>
      <c r="S39" s="34"/>
      <c r="T39" s="34"/>
      <c r="U39" s="34"/>
      <c r="V39" s="34"/>
      <c r="W39" s="35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1:63" x14ac:dyDescent="0.25">
      <c r="A40" s="106" t="s">
        <v>84</v>
      </c>
      <c r="B40" s="106"/>
      <c r="C40" s="1"/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30000</v>
      </c>
      <c r="P40" s="18">
        <f t="shared" si="0"/>
        <v>30000</v>
      </c>
      <c r="Q40" s="89">
        <v>30000</v>
      </c>
      <c r="R40" s="34"/>
      <c r="S40" s="34"/>
      <c r="T40" s="34"/>
      <c r="U40" s="34"/>
      <c r="V40" s="34"/>
      <c r="W40" s="35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1" spans="1:63" x14ac:dyDescent="0.25">
      <c r="A41" s="51"/>
      <c r="B41" s="51"/>
      <c r="C41" s="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89"/>
      <c r="R41" s="34"/>
      <c r="S41" s="34"/>
      <c r="T41" s="34"/>
      <c r="U41" s="34"/>
      <c r="V41" s="34"/>
      <c r="W41" s="35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1:63" x14ac:dyDescent="0.25">
      <c r="A42" s="106" t="s">
        <v>90</v>
      </c>
      <c r="B42" s="106"/>
      <c r="C42" s="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89"/>
      <c r="R42" s="34"/>
      <c r="S42" s="34"/>
      <c r="T42" s="34"/>
      <c r="U42" s="34"/>
      <c r="V42" s="34"/>
      <c r="W42" s="35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1:63" x14ac:dyDescent="0.25">
      <c r="A43" s="51"/>
      <c r="B43" s="51"/>
      <c r="C43" s="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89"/>
      <c r="R43" s="34"/>
      <c r="S43" s="34"/>
      <c r="T43" s="34"/>
      <c r="U43" s="34"/>
      <c r="V43" s="34"/>
      <c r="W43" s="3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x14ac:dyDescent="0.25">
      <c r="A44" s="51"/>
      <c r="B44" s="51"/>
      <c r="C44" s="1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  <c r="Q44" s="89"/>
      <c r="R44" s="34"/>
      <c r="S44" s="34"/>
      <c r="T44" s="34"/>
      <c r="U44" s="34"/>
      <c r="V44" s="34"/>
      <c r="W44" s="35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x14ac:dyDescent="0.25">
      <c r="A45" s="51"/>
      <c r="B45" s="51"/>
      <c r="C45" s="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  <c r="Q45" s="89"/>
      <c r="R45" s="34"/>
      <c r="S45" s="34"/>
      <c r="T45" s="34"/>
      <c r="U45" s="34"/>
      <c r="V45" s="34"/>
      <c r="W45" s="35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x14ac:dyDescent="0.25">
      <c r="A46" s="51"/>
      <c r="B46" s="51"/>
      <c r="C46" s="1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  <c r="Q46" s="89"/>
      <c r="R46" s="34"/>
      <c r="S46" s="34"/>
      <c r="T46" s="34"/>
      <c r="U46" s="34"/>
      <c r="V46" s="34"/>
      <c r="W46" s="35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x14ac:dyDescent="0.25">
      <c r="A47" s="51"/>
      <c r="B47" s="5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89"/>
      <c r="R47" s="34"/>
      <c r="S47" s="34"/>
      <c r="T47" s="34"/>
      <c r="U47" s="34"/>
      <c r="V47" s="34"/>
      <c r="W47" s="35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x14ac:dyDescent="0.25">
      <c r="A48" s="106"/>
      <c r="B48" s="106"/>
      <c r="C48" s="1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94"/>
      <c r="R48" s="34"/>
      <c r="S48" s="34"/>
      <c r="T48" s="34"/>
      <c r="U48" s="34"/>
      <c r="V48" s="34"/>
      <c r="W48" s="3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1:63" ht="19.5" thickBot="1" x14ac:dyDescent="0.3">
      <c r="A49" s="23" t="s">
        <v>72</v>
      </c>
      <c r="B49" s="23"/>
      <c r="C49" s="1"/>
      <c r="D49" s="40">
        <f t="shared" ref="D49:O49" si="2">SUM(D8:D48)</f>
        <v>1143400</v>
      </c>
      <c r="E49" s="2">
        <f t="shared" si="2"/>
        <v>918400</v>
      </c>
      <c r="F49" s="2">
        <f t="shared" si="2"/>
        <v>344400</v>
      </c>
      <c r="G49" s="2">
        <f t="shared" si="2"/>
        <v>334400</v>
      </c>
      <c r="H49" s="2">
        <f t="shared" si="2"/>
        <v>454400</v>
      </c>
      <c r="I49" s="2">
        <f t="shared" si="2"/>
        <v>371900</v>
      </c>
      <c r="J49" s="2">
        <f t="shared" si="2"/>
        <v>353900</v>
      </c>
      <c r="K49" s="2">
        <f t="shared" si="2"/>
        <v>1408400</v>
      </c>
      <c r="L49" s="2">
        <f t="shared" si="2"/>
        <v>181400</v>
      </c>
      <c r="M49" s="2">
        <f t="shared" si="2"/>
        <v>186400</v>
      </c>
      <c r="N49" s="2">
        <f t="shared" si="2"/>
        <v>24000</v>
      </c>
      <c r="O49" s="2">
        <f t="shared" si="2"/>
        <v>492934</v>
      </c>
      <c r="P49" s="41">
        <f>SUM(D49:O49)</f>
        <v>6213934</v>
      </c>
      <c r="Q49" s="92">
        <f>SUM(Q8:Q47)</f>
        <v>6264483.9622641504</v>
      </c>
      <c r="R49" s="34"/>
      <c r="S49" s="34"/>
      <c r="T49" s="34"/>
      <c r="U49" s="34"/>
      <c r="V49" s="34"/>
      <c r="W49" s="35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1:63" ht="16.5" thickTop="1" x14ac:dyDescent="0.25">
      <c r="A50" s="24" t="s">
        <v>73</v>
      </c>
      <c r="B50" s="25"/>
      <c r="C50" s="20"/>
      <c r="D50" s="53">
        <f>D49/$P$49</f>
        <v>0.18400581660506854</v>
      </c>
      <c r="E50" s="53">
        <f t="shared" ref="E50:N50" si="3">E49/$P$49</f>
        <v>0.14779687071024572</v>
      </c>
      <c r="F50" s="53">
        <f t="shared" si="3"/>
        <v>5.5423826516342145E-2</v>
      </c>
      <c r="G50" s="53">
        <f t="shared" si="3"/>
        <v>5.3814540032127794E-2</v>
      </c>
      <c r="H50" s="53">
        <f t="shared" si="3"/>
        <v>7.3125977842699974E-2</v>
      </c>
      <c r="I50" s="53">
        <f t="shared" si="3"/>
        <v>5.9849364347931602E-2</v>
      </c>
      <c r="J50" s="53">
        <f t="shared" si="3"/>
        <v>5.6952648676345773E-2</v>
      </c>
      <c r="K50" s="53">
        <f t="shared" si="3"/>
        <v>0.22665190843674876</v>
      </c>
      <c r="L50" s="53">
        <f t="shared" si="3"/>
        <v>2.9192456823648273E-2</v>
      </c>
      <c r="M50" s="53">
        <f>M49/$P$49</f>
        <v>2.9997100065755445E-2</v>
      </c>
      <c r="N50" s="53">
        <f t="shared" si="3"/>
        <v>3.8622875621144351E-3</v>
      </c>
      <c r="O50" s="53">
        <f>O49/$P$49</f>
        <v>7.9327202380971545E-2</v>
      </c>
      <c r="P50" s="53">
        <f>SUM(D50:O50)</f>
        <v>1</v>
      </c>
      <c r="Q50" s="89"/>
      <c r="R50" s="34"/>
      <c r="S50" s="34"/>
      <c r="T50" s="34"/>
      <c r="U50" s="34"/>
      <c r="V50" s="34"/>
      <c r="W50" s="35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1:63" ht="18.75" x14ac:dyDescent="0.25">
      <c r="A51" s="23" t="s">
        <v>74</v>
      </c>
      <c r="B51" s="23"/>
      <c r="C51" s="2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101">
        <v>2021</v>
      </c>
      <c r="Q51" s="102">
        <v>2022</v>
      </c>
      <c r="R51" s="34"/>
      <c r="S51" s="34"/>
      <c r="T51" s="34"/>
      <c r="U51" s="34"/>
      <c r="V51" s="34"/>
      <c r="W51" s="3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1:63" x14ac:dyDescent="0.25">
      <c r="A52" s="107" t="s">
        <v>95</v>
      </c>
      <c r="B52" s="107"/>
      <c r="C52" s="1"/>
      <c r="D52" s="31">
        <v>0</v>
      </c>
      <c r="E52" s="31">
        <v>140000</v>
      </c>
      <c r="F52" s="31">
        <v>15000</v>
      </c>
      <c r="G52" s="31">
        <v>0</v>
      </c>
      <c r="H52" s="31">
        <v>42500</v>
      </c>
      <c r="I52" s="31">
        <v>6250</v>
      </c>
      <c r="J52" s="31">
        <v>6250</v>
      </c>
      <c r="K52" s="31">
        <v>0</v>
      </c>
      <c r="L52" s="31">
        <v>0</v>
      </c>
      <c r="M52" s="31">
        <v>0</v>
      </c>
      <c r="N52" s="31">
        <v>10000</v>
      </c>
      <c r="O52" s="31">
        <v>30000</v>
      </c>
      <c r="P52" s="18">
        <f>SUM(D52:O52)</f>
        <v>250000</v>
      </c>
      <c r="Q52" s="89">
        <v>250000</v>
      </c>
      <c r="R52" s="34"/>
      <c r="S52" s="34"/>
      <c r="T52" s="34"/>
      <c r="U52" s="34"/>
      <c r="V52" s="34"/>
      <c r="W52" s="3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1:63" x14ac:dyDescent="0.25">
      <c r="A53" s="107" t="s">
        <v>94</v>
      </c>
      <c r="B53" s="107"/>
      <c r="C53" s="1"/>
      <c r="D53" s="31">
        <v>5000</v>
      </c>
      <c r="E53" s="31">
        <v>15000</v>
      </c>
      <c r="F53" s="31">
        <v>15000</v>
      </c>
      <c r="G53" s="31">
        <v>40000</v>
      </c>
      <c r="H53" s="31">
        <v>15000</v>
      </c>
      <c r="I53" s="31">
        <v>10000</v>
      </c>
      <c r="J53" s="31">
        <v>10000</v>
      </c>
      <c r="K53" s="31">
        <v>15000</v>
      </c>
      <c r="L53" s="31">
        <v>40000</v>
      </c>
      <c r="M53" s="31">
        <v>15000</v>
      </c>
      <c r="N53" s="31">
        <v>5000</v>
      </c>
      <c r="O53" s="31">
        <v>65000</v>
      </c>
      <c r="P53" s="18">
        <f t="shared" ref="P53:P136" si="4">SUM(D53:O53)</f>
        <v>250000</v>
      </c>
      <c r="Q53" s="89">
        <v>250000</v>
      </c>
      <c r="R53" s="34"/>
      <c r="S53" s="34"/>
      <c r="T53" s="34"/>
      <c r="U53" s="34"/>
      <c r="V53" s="34"/>
      <c r="W53" s="35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1:63" x14ac:dyDescent="0.25">
      <c r="A54" s="107" t="s">
        <v>14</v>
      </c>
      <c r="B54" s="107"/>
      <c r="C54" s="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18"/>
      <c r="Q54" s="89"/>
      <c r="R54" s="34"/>
      <c r="S54" s="34"/>
      <c r="T54" s="34"/>
      <c r="U54" s="34"/>
      <c r="V54" s="34"/>
      <c r="W54" s="35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1:63" x14ac:dyDescent="0.25">
      <c r="A55" s="48"/>
      <c r="B55" s="49" t="s">
        <v>17</v>
      </c>
      <c r="C55" s="1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20000</v>
      </c>
      <c r="J55" s="31">
        <v>0</v>
      </c>
      <c r="K55" s="31">
        <v>20000</v>
      </c>
      <c r="L55" s="31">
        <v>20000</v>
      </c>
      <c r="M55" s="31">
        <v>20000</v>
      </c>
      <c r="N55" s="31">
        <v>0</v>
      </c>
      <c r="O55" s="31">
        <v>0</v>
      </c>
      <c r="P55" s="18">
        <f t="shared" si="4"/>
        <v>80000</v>
      </c>
      <c r="Q55" s="89">
        <f>80000+25000</f>
        <v>105000</v>
      </c>
      <c r="R55" s="34">
        <f>10*8000</f>
        <v>80000</v>
      </c>
      <c r="S55" s="34">
        <f>10*2500</f>
        <v>25000</v>
      </c>
      <c r="T55" s="34" t="s">
        <v>140</v>
      </c>
      <c r="U55" s="34"/>
      <c r="V55" s="34"/>
      <c r="W55" s="35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1:63" x14ac:dyDescent="0.25">
      <c r="A56" s="48"/>
      <c r="B56" s="49" t="s">
        <v>18</v>
      </c>
      <c r="C56" s="1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18">
        <f t="shared" si="4"/>
        <v>0</v>
      </c>
      <c r="Q56" s="89">
        <v>25000</v>
      </c>
      <c r="R56" s="34"/>
      <c r="S56" s="34"/>
      <c r="T56" s="34"/>
      <c r="U56" s="34"/>
      <c r="V56" s="34"/>
      <c r="W56" s="35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1:63" x14ac:dyDescent="0.25">
      <c r="A57" s="48"/>
      <c r="B57" s="49" t="s">
        <v>24</v>
      </c>
      <c r="C57" s="1"/>
      <c r="D57" s="31">
        <v>0</v>
      </c>
      <c r="E57" s="31">
        <v>30000</v>
      </c>
      <c r="F57" s="31">
        <v>20000</v>
      </c>
      <c r="G57" s="31">
        <v>20000</v>
      </c>
      <c r="H57" s="31">
        <v>20000</v>
      </c>
      <c r="I57" s="31">
        <v>20000</v>
      </c>
      <c r="J57" s="31">
        <v>0</v>
      </c>
      <c r="K57" s="31">
        <v>20000</v>
      </c>
      <c r="L57" s="31">
        <v>20000</v>
      </c>
      <c r="M57" s="31">
        <v>20000</v>
      </c>
      <c r="N57" s="31">
        <v>20000</v>
      </c>
      <c r="O57" s="31">
        <v>0</v>
      </c>
      <c r="P57" s="18">
        <f t="shared" si="4"/>
        <v>190000</v>
      </c>
      <c r="Q57" s="89">
        <v>100000</v>
      </c>
      <c r="R57" s="96" t="s">
        <v>142</v>
      </c>
      <c r="S57" s="96" t="s">
        <v>141</v>
      </c>
      <c r="T57" s="34"/>
      <c r="U57" s="34"/>
      <c r="V57" s="34"/>
      <c r="W57" s="35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1:63" x14ac:dyDescent="0.25">
      <c r="A58" s="107" t="s">
        <v>128</v>
      </c>
      <c r="B58" s="107"/>
      <c r="C58" s="1"/>
      <c r="D58" s="31">
        <v>215000</v>
      </c>
      <c r="E58" s="31">
        <v>30000</v>
      </c>
      <c r="F58" s="31">
        <v>30000</v>
      </c>
      <c r="G58" s="31">
        <v>30000</v>
      </c>
      <c r="H58" s="31"/>
      <c r="I58" s="31">
        <v>0</v>
      </c>
      <c r="J58" s="31">
        <v>5000</v>
      </c>
      <c r="K58" s="31">
        <v>30000</v>
      </c>
      <c r="L58" s="31">
        <v>0</v>
      </c>
      <c r="M58" s="31">
        <v>30000</v>
      </c>
      <c r="N58" s="31">
        <v>10000</v>
      </c>
      <c r="O58" s="31">
        <v>20000</v>
      </c>
      <c r="P58" s="18">
        <f t="shared" si="4"/>
        <v>400000</v>
      </c>
      <c r="Q58" s="89">
        <f>SUM(R58:S58)</f>
        <v>355200</v>
      </c>
      <c r="R58" s="100">
        <v>150000</v>
      </c>
      <c r="S58" s="100">
        <v>205200</v>
      </c>
      <c r="T58" s="34"/>
      <c r="U58" s="34"/>
      <c r="V58" s="34"/>
      <c r="W58" s="35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1:63" x14ac:dyDescent="0.25">
      <c r="A59" s="107" t="s">
        <v>143</v>
      </c>
      <c r="B59" s="107"/>
      <c r="C59" s="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18"/>
      <c r="Q59" s="89">
        <v>60000</v>
      </c>
      <c r="R59" s="84" t="s">
        <v>154</v>
      </c>
      <c r="S59" s="34"/>
      <c r="T59" s="34"/>
      <c r="U59" s="34"/>
      <c r="V59" s="34"/>
      <c r="W59" s="35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1:63" x14ac:dyDescent="0.25">
      <c r="A60" s="112" t="s">
        <v>77</v>
      </c>
      <c r="B60" s="112"/>
      <c r="C60" s="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18"/>
      <c r="Q60" s="89"/>
      <c r="R60" s="34"/>
      <c r="S60" s="34"/>
      <c r="T60" s="34"/>
      <c r="U60" s="34"/>
      <c r="V60" s="34"/>
      <c r="W60" s="35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x14ac:dyDescent="0.25">
      <c r="A61" s="26"/>
      <c r="B61" s="46" t="s">
        <v>79</v>
      </c>
      <c r="C61" s="1"/>
      <c r="D61" s="31">
        <v>0</v>
      </c>
      <c r="E61" s="31">
        <v>116000</v>
      </c>
      <c r="F61" s="31">
        <v>5000</v>
      </c>
      <c r="G61" s="31">
        <v>5000</v>
      </c>
      <c r="H61" s="31">
        <v>5000</v>
      </c>
      <c r="I61" s="31">
        <v>5000</v>
      </c>
      <c r="J61" s="31">
        <v>5000</v>
      </c>
      <c r="K61" s="31">
        <v>5000</v>
      </c>
      <c r="L61" s="31">
        <v>5000</v>
      </c>
      <c r="M61" s="31">
        <v>5000</v>
      </c>
      <c r="N61" s="31">
        <v>5000</v>
      </c>
      <c r="O61" s="31">
        <v>5000</v>
      </c>
      <c r="P61" s="18">
        <f t="shared" ref="P61:P65" si="5">SUM(D61:O61)</f>
        <v>166000</v>
      </c>
      <c r="Q61" s="93">
        <f>100000</f>
        <v>100000</v>
      </c>
      <c r="R61" s="34" t="s">
        <v>144</v>
      </c>
      <c r="S61" s="34"/>
      <c r="T61" s="34" t="s">
        <v>145</v>
      </c>
      <c r="U61" s="34"/>
      <c r="V61" s="34"/>
      <c r="W61" s="35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x14ac:dyDescent="0.25">
      <c r="A62" s="26"/>
      <c r="B62" s="46" t="s">
        <v>17</v>
      </c>
      <c r="C62" s="1"/>
      <c r="D62" s="31">
        <v>0</v>
      </c>
      <c r="E62" s="31">
        <v>0</v>
      </c>
      <c r="F62" s="31">
        <v>40000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18">
        <f t="shared" si="5"/>
        <v>40000</v>
      </c>
      <c r="Q62" s="89">
        <v>40000</v>
      </c>
      <c r="R62" s="34"/>
      <c r="S62" s="34"/>
      <c r="T62" s="34"/>
      <c r="U62" s="34"/>
      <c r="V62" s="34"/>
      <c r="W62" s="35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x14ac:dyDescent="0.25">
      <c r="A63" s="60"/>
      <c r="B63" s="46" t="s">
        <v>99</v>
      </c>
      <c r="C63" s="1"/>
      <c r="D63" s="31">
        <v>0</v>
      </c>
      <c r="E63" s="31">
        <v>0</v>
      </c>
      <c r="F63" s="31">
        <v>0</v>
      </c>
      <c r="G63" s="31">
        <v>37500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18">
        <f t="shared" si="5"/>
        <v>37500</v>
      </c>
      <c r="Q63" s="89">
        <v>37500</v>
      </c>
      <c r="R63" s="34" t="s">
        <v>146</v>
      </c>
      <c r="S63" s="34"/>
      <c r="T63" s="34"/>
      <c r="U63" s="34"/>
      <c r="V63" s="34"/>
      <c r="W63" s="35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x14ac:dyDescent="0.25">
      <c r="A64" s="26"/>
      <c r="B64" s="46" t="s">
        <v>18</v>
      </c>
      <c r="C64" s="1"/>
      <c r="D64" s="31">
        <v>0</v>
      </c>
      <c r="E64" s="31">
        <v>30000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18">
        <f t="shared" si="5"/>
        <v>30000</v>
      </c>
      <c r="Q64" s="89">
        <v>30000</v>
      </c>
      <c r="R64" s="34"/>
      <c r="S64" s="34"/>
      <c r="T64" s="34"/>
      <c r="U64" s="34"/>
      <c r="V64" s="34"/>
      <c r="W64" s="35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1:63" x14ac:dyDescent="0.25">
      <c r="A65" s="60"/>
      <c r="B65" s="46" t="s">
        <v>103</v>
      </c>
      <c r="C65" s="1"/>
      <c r="D65" s="31">
        <v>0</v>
      </c>
      <c r="E65" s="31">
        <v>0</v>
      </c>
      <c r="F65" s="31">
        <v>0</v>
      </c>
      <c r="G65" s="31">
        <v>33000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18">
        <f t="shared" si="5"/>
        <v>33000</v>
      </c>
      <c r="Q65" s="89">
        <v>33000</v>
      </c>
      <c r="R65" s="34" t="s">
        <v>146</v>
      </c>
      <c r="S65" s="34"/>
      <c r="T65" s="34"/>
      <c r="U65" s="34"/>
      <c r="V65" s="34"/>
      <c r="W65" s="35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1:63" x14ac:dyDescent="0.25">
      <c r="A66" s="26"/>
      <c r="B66" s="46" t="s">
        <v>27</v>
      </c>
      <c r="C66" s="1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17000</v>
      </c>
      <c r="J66" s="31">
        <v>0</v>
      </c>
      <c r="K66" s="31">
        <v>11000</v>
      </c>
      <c r="L66" s="31">
        <v>0</v>
      </c>
      <c r="M66" s="31">
        <v>0</v>
      </c>
      <c r="N66" s="31">
        <v>0</v>
      </c>
      <c r="O66" s="31">
        <v>0</v>
      </c>
      <c r="P66" s="18">
        <f>SUM(D66:O66)</f>
        <v>28000</v>
      </c>
      <c r="Q66" s="89">
        <v>28000</v>
      </c>
      <c r="R66" s="34"/>
      <c r="S66" s="34"/>
      <c r="T66" s="34"/>
      <c r="U66" s="34"/>
      <c r="V66" s="34"/>
      <c r="W66" s="35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1:63" x14ac:dyDescent="0.25">
      <c r="A67" s="107" t="s">
        <v>19</v>
      </c>
      <c r="B67" s="107"/>
      <c r="C67" s="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18"/>
      <c r="Q67" s="89"/>
      <c r="R67" s="34"/>
      <c r="S67" s="34"/>
      <c r="T67" s="34"/>
      <c r="U67" s="34"/>
      <c r="V67" s="34"/>
      <c r="W67" s="35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1:63" x14ac:dyDescent="0.25">
      <c r="A68" s="26"/>
      <c r="B68" s="46" t="s">
        <v>17</v>
      </c>
      <c r="C68" s="1"/>
      <c r="D68" s="31">
        <v>0</v>
      </c>
      <c r="E68" s="31">
        <v>0</v>
      </c>
      <c r="F68" s="31">
        <v>37500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18">
        <f t="shared" si="4"/>
        <v>37500</v>
      </c>
      <c r="Q68" s="89">
        <v>0</v>
      </c>
      <c r="R68" s="34"/>
      <c r="S68" s="34"/>
      <c r="T68" s="34"/>
      <c r="U68" s="34"/>
      <c r="V68" s="34"/>
      <c r="W68" s="35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1:63" x14ac:dyDescent="0.25">
      <c r="A69" s="26"/>
      <c r="B69" s="46" t="s">
        <v>98</v>
      </c>
      <c r="C69" s="1"/>
      <c r="D69" s="31">
        <v>0</v>
      </c>
      <c r="E69" s="31">
        <v>0</v>
      </c>
      <c r="F69" s="31">
        <v>33000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18">
        <f t="shared" si="4"/>
        <v>33000</v>
      </c>
      <c r="Q69" s="89">
        <v>33000</v>
      </c>
      <c r="R69" s="34" t="s">
        <v>146</v>
      </c>
      <c r="S69" s="34"/>
      <c r="T69" s="34"/>
      <c r="U69" s="34"/>
      <c r="V69" s="34"/>
      <c r="W69" s="3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1:63" x14ac:dyDescent="0.25">
      <c r="A70" s="107" t="s">
        <v>20</v>
      </c>
      <c r="B70" s="107"/>
      <c r="C70" s="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18"/>
      <c r="Q70" s="89"/>
      <c r="R70" s="34"/>
      <c r="S70" s="34"/>
      <c r="T70" s="34"/>
      <c r="U70" s="34"/>
      <c r="V70" s="34"/>
      <c r="W70" s="35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1:63" x14ac:dyDescent="0.25">
      <c r="A71" s="58"/>
      <c r="B71" s="46" t="s">
        <v>79</v>
      </c>
      <c r="C71" s="1"/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18">
        <f t="shared" si="4"/>
        <v>0</v>
      </c>
      <c r="Q71" s="89">
        <v>0</v>
      </c>
      <c r="R71" s="34"/>
      <c r="S71" s="34"/>
      <c r="T71" s="34"/>
      <c r="U71" s="34"/>
      <c r="V71" s="34"/>
      <c r="W71" s="35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1:63" x14ac:dyDescent="0.25">
      <c r="A72" s="26"/>
      <c r="B72" s="46" t="s">
        <v>17</v>
      </c>
      <c r="C72" s="1"/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2500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18">
        <f t="shared" si="4"/>
        <v>2500</v>
      </c>
      <c r="Q72" s="89">
        <v>2500</v>
      </c>
      <c r="R72" s="34"/>
      <c r="S72" s="34"/>
      <c r="T72" s="34"/>
      <c r="U72" s="34"/>
      <c r="V72" s="34"/>
      <c r="W72" s="35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1:63" x14ac:dyDescent="0.25">
      <c r="A73" s="26"/>
      <c r="B73" s="46" t="s">
        <v>18</v>
      </c>
      <c r="C73" s="1"/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2500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18">
        <f t="shared" si="4"/>
        <v>2500</v>
      </c>
      <c r="Q73" s="89">
        <v>2500</v>
      </c>
      <c r="R73" s="34"/>
      <c r="S73" s="34"/>
      <c r="T73" s="34"/>
      <c r="U73" s="34"/>
      <c r="V73" s="34"/>
      <c r="W73" s="35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1:63" x14ac:dyDescent="0.25">
      <c r="A74" s="107" t="s">
        <v>21</v>
      </c>
      <c r="B74" s="107"/>
      <c r="C74" s="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18"/>
      <c r="Q74" s="89"/>
      <c r="R74" s="34"/>
      <c r="S74" s="34"/>
      <c r="T74" s="34"/>
      <c r="U74" s="34"/>
      <c r="V74" s="34"/>
      <c r="W74" s="35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1:63" x14ac:dyDescent="0.25">
      <c r="A75" s="26"/>
      <c r="B75" s="46" t="s">
        <v>17</v>
      </c>
      <c r="C75" s="1"/>
      <c r="D75" s="31">
        <v>0</v>
      </c>
      <c r="E75" s="31">
        <v>0</v>
      </c>
      <c r="F75" s="31">
        <v>10000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18">
        <f t="shared" si="4"/>
        <v>10000</v>
      </c>
      <c r="Q75" s="89">
        <v>10000</v>
      </c>
      <c r="R75" s="34"/>
      <c r="S75" s="34"/>
      <c r="T75" s="34"/>
      <c r="U75" s="34"/>
      <c r="V75" s="34"/>
      <c r="W75" s="35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1:63" x14ac:dyDescent="0.25">
      <c r="A76" s="26"/>
      <c r="B76" s="46" t="s">
        <v>18</v>
      </c>
      <c r="C76" s="1"/>
      <c r="D76" s="31">
        <v>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18">
        <f t="shared" si="4"/>
        <v>10000</v>
      </c>
      <c r="Q76" s="89">
        <v>10000</v>
      </c>
      <c r="R76" s="34"/>
      <c r="S76" s="34"/>
      <c r="T76" s="34"/>
      <c r="U76" s="34"/>
      <c r="V76" s="34"/>
      <c r="W76" s="35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1:63" x14ac:dyDescent="0.25">
      <c r="A77" s="26"/>
      <c r="B77" s="46" t="s">
        <v>22</v>
      </c>
      <c r="C77" s="1"/>
      <c r="D77" s="31">
        <v>0</v>
      </c>
      <c r="E77" s="31">
        <v>0</v>
      </c>
      <c r="F77" s="31">
        <v>26000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14000</v>
      </c>
      <c r="P77" s="18">
        <f t="shared" si="4"/>
        <v>40000</v>
      </c>
      <c r="Q77" s="89">
        <v>50000</v>
      </c>
      <c r="R77" s="34"/>
      <c r="S77" s="34"/>
      <c r="T77" s="34"/>
      <c r="U77" s="34"/>
      <c r="V77" s="34"/>
      <c r="W77" s="35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1:63" x14ac:dyDescent="0.25">
      <c r="A78" s="107" t="s">
        <v>80</v>
      </c>
      <c r="B78" s="107"/>
      <c r="C78" s="1"/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18">
        <f t="shared" si="4"/>
        <v>0</v>
      </c>
      <c r="Q78" s="89"/>
      <c r="R78" s="34"/>
      <c r="S78" s="34"/>
      <c r="T78" s="34"/>
      <c r="U78" s="34"/>
      <c r="V78" s="34"/>
      <c r="W78" s="35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1:63" x14ac:dyDescent="0.25">
      <c r="A79" s="107" t="s">
        <v>105</v>
      </c>
      <c r="B79" s="107"/>
      <c r="C79" s="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18"/>
      <c r="Q79" s="89"/>
      <c r="R79" s="34"/>
      <c r="S79" s="34"/>
      <c r="T79" s="34"/>
      <c r="U79" s="34"/>
      <c r="V79" s="34"/>
      <c r="W79" s="35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1:63" x14ac:dyDescent="0.25">
      <c r="A80" s="26"/>
      <c r="B80" s="46" t="s">
        <v>147</v>
      </c>
      <c r="C80" s="1"/>
      <c r="D80" s="31">
        <v>0</v>
      </c>
      <c r="E80" s="31">
        <v>0</v>
      </c>
      <c r="F80" s="31">
        <v>0</v>
      </c>
      <c r="G80" s="31">
        <v>10000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18">
        <f t="shared" si="4"/>
        <v>10000</v>
      </c>
      <c r="Q80" s="89">
        <v>10000</v>
      </c>
      <c r="R80" s="34"/>
      <c r="S80" s="34"/>
      <c r="T80" s="34"/>
      <c r="U80" s="34"/>
      <c r="V80" s="34"/>
      <c r="W80" s="35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1:63" x14ac:dyDescent="0.25">
      <c r="A81" s="26"/>
      <c r="B81" s="46" t="s">
        <v>26</v>
      </c>
      <c r="C81" s="1"/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10000</v>
      </c>
      <c r="N81" s="31">
        <v>0</v>
      </c>
      <c r="O81" s="31">
        <v>0</v>
      </c>
      <c r="P81" s="18">
        <f t="shared" si="4"/>
        <v>10000</v>
      </c>
      <c r="Q81" s="89">
        <v>10000</v>
      </c>
      <c r="R81" s="34"/>
      <c r="S81" s="34"/>
      <c r="T81" s="34"/>
      <c r="U81" s="34"/>
      <c r="V81" s="34"/>
      <c r="W81" s="35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1:63" x14ac:dyDescent="0.25">
      <c r="A82" s="107" t="s">
        <v>125</v>
      </c>
      <c r="B82" s="107"/>
      <c r="C82" s="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18"/>
      <c r="Q82" s="89"/>
      <c r="R82" s="34"/>
      <c r="S82" s="34"/>
      <c r="T82" s="34"/>
      <c r="U82" s="34"/>
      <c r="V82" s="34"/>
      <c r="W82" s="35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1:63" x14ac:dyDescent="0.25">
      <c r="A83" s="26"/>
      <c r="B83" s="46" t="s">
        <v>28</v>
      </c>
      <c r="C83" s="1"/>
      <c r="D83" s="31">
        <v>0</v>
      </c>
      <c r="E83" s="31">
        <v>0</v>
      </c>
      <c r="F83" s="31">
        <v>0</v>
      </c>
      <c r="G83" s="31">
        <v>7500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18">
        <f t="shared" si="4"/>
        <v>7500</v>
      </c>
      <c r="Q83" s="89">
        <v>7500</v>
      </c>
      <c r="R83" s="34"/>
      <c r="S83" s="34"/>
      <c r="T83" s="34"/>
      <c r="U83" s="34"/>
      <c r="V83" s="34"/>
      <c r="W83" s="35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1:63" x14ac:dyDescent="0.25">
      <c r="A84" s="63"/>
      <c r="B84" s="46" t="s">
        <v>111</v>
      </c>
      <c r="C84" s="1"/>
      <c r="D84" s="31">
        <v>0</v>
      </c>
      <c r="E84" s="31">
        <v>0</v>
      </c>
      <c r="F84" s="31">
        <v>0</v>
      </c>
      <c r="G84" s="31">
        <v>7500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18">
        <f t="shared" si="4"/>
        <v>7500</v>
      </c>
      <c r="Q84" s="89">
        <v>7500</v>
      </c>
      <c r="R84" s="34"/>
      <c r="S84" s="34"/>
      <c r="T84" s="34"/>
      <c r="U84" s="34"/>
      <c r="V84" s="34"/>
      <c r="W84" s="35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1:63" x14ac:dyDescent="0.25">
      <c r="A85" s="63"/>
      <c r="B85" s="46" t="s">
        <v>112</v>
      </c>
      <c r="C85" s="1"/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25000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18">
        <f t="shared" si="4"/>
        <v>25000</v>
      </c>
      <c r="Q85" s="89">
        <v>25000</v>
      </c>
      <c r="R85" s="34"/>
      <c r="S85" s="34"/>
      <c r="T85" s="34"/>
      <c r="U85" s="34"/>
      <c r="V85" s="34"/>
      <c r="W85" s="35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1:63" x14ac:dyDescent="0.25">
      <c r="A86" s="63"/>
      <c r="B86" s="46" t="s">
        <v>113</v>
      </c>
      <c r="C86" s="1"/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15000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18">
        <f t="shared" si="4"/>
        <v>15000</v>
      </c>
      <c r="Q86" s="89">
        <v>15000</v>
      </c>
      <c r="R86" s="34"/>
      <c r="S86" s="34"/>
      <c r="T86" s="34"/>
      <c r="U86" s="34"/>
      <c r="V86" s="34"/>
      <c r="W86" s="35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1:63" x14ac:dyDescent="0.25">
      <c r="A87" s="63"/>
      <c r="B87" s="46" t="s">
        <v>114</v>
      </c>
      <c r="C87" s="1"/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23000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18">
        <f t="shared" si="4"/>
        <v>23000</v>
      </c>
      <c r="Q87" s="89">
        <v>23000</v>
      </c>
      <c r="R87" s="34"/>
      <c r="S87" s="34"/>
      <c r="T87" s="34"/>
      <c r="U87" s="34"/>
      <c r="V87" s="34"/>
      <c r="W87" s="35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</row>
    <row r="88" spans="1:63" x14ac:dyDescent="0.25">
      <c r="A88" s="63"/>
      <c r="B88" s="46" t="s">
        <v>115</v>
      </c>
      <c r="C88" s="1"/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13000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18">
        <f t="shared" si="4"/>
        <v>13000</v>
      </c>
      <c r="Q88" s="89">
        <v>13000</v>
      </c>
      <c r="R88" s="34"/>
      <c r="S88" s="34"/>
      <c r="T88" s="34"/>
      <c r="U88" s="34"/>
      <c r="V88" s="34"/>
      <c r="W88" s="35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</row>
    <row r="89" spans="1:63" x14ac:dyDescent="0.25">
      <c r="A89" s="26"/>
      <c r="B89" s="46" t="s">
        <v>116</v>
      </c>
      <c r="C89" s="1"/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8000</v>
      </c>
      <c r="L89" s="31">
        <v>0</v>
      </c>
      <c r="M89" s="31">
        <v>0</v>
      </c>
      <c r="N89" s="31">
        <v>0</v>
      </c>
      <c r="O89" s="31">
        <v>0</v>
      </c>
      <c r="P89" s="18">
        <f t="shared" si="4"/>
        <v>8000</v>
      </c>
      <c r="Q89" s="89">
        <v>8000</v>
      </c>
      <c r="R89" s="34"/>
      <c r="S89" s="34"/>
      <c r="T89" s="34"/>
      <c r="U89" s="34"/>
      <c r="V89" s="34"/>
      <c r="W89" s="35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</row>
    <row r="90" spans="1:63" x14ac:dyDescent="0.25">
      <c r="A90" s="26"/>
      <c r="B90" s="46" t="s">
        <v>117</v>
      </c>
      <c r="C90" s="1"/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8000</v>
      </c>
      <c r="L90" s="31">
        <v>0</v>
      </c>
      <c r="M90" s="31">
        <v>0</v>
      </c>
      <c r="N90" s="31">
        <v>0</v>
      </c>
      <c r="O90" s="31">
        <v>0</v>
      </c>
      <c r="P90" s="18">
        <f t="shared" si="4"/>
        <v>8000</v>
      </c>
      <c r="Q90" s="89">
        <v>8000</v>
      </c>
      <c r="R90" s="34"/>
      <c r="S90" s="34"/>
      <c r="T90" s="34"/>
      <c r="U90" s="34"/>
      <c r="V90" s="34"/>
      <c r="W90" s="35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</row>
    <row r="91" spans="1:63" x14ac:dyDescent="0.25">
      <c r="A91" s="26"/>
      <c r="B91" s="46" t="s">
        <v>118</v>
      </c>
      <c r="C91" s="1"/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23000</v>
      </c>
      <c r="L91" s="31">
        <v>0</v>
      </c>
      <c r="M91" s="31">
        <v>0</v>
      </c>
      <c r="N91" s="31">
        <v>0</v>
      </c>
      <c r="O91" s="31">
        <v>0</v>
      </c>
      <c r="P91" s="18">
        <f t="shared" si="4"/>
        <v>23000</v>
      </c>
      <c r="Q91" s="89">
        <v>23000</v>
      </c>
      <c r="R91" s="34"/>
      <c r="S91" s="34"/>
      <c r="T91" s="34"/>
      <c r="U91" s="34"/>
      <c r="V91" s="34"/>
      <c r="W91" s="35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</row>
    <row r="92" spans="1:63" x14ac:dyDescent="0.25">
      <c r="A92" s="26"/>
      <c r="B92" s="46" t="s">
        <v>119</v>
      </c>
      <c r="C92" s="1"/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13000</v>
      </c>
      <c r="L92" s="31">
        <v>0</v>
      </c>
      <c r="M92" s="31">
        <v>0</v>
      </c>
      <c r="N92" s="31">
        <v>0</v>
      </c>
      <c r="O92" s="31">
        <v>0</v>
      </c>
      <c r="P92" s="18">
        <f t="shared" si="4"/>
        <v>13000</v>
      </c>
      <c r="Q92" s="89">
        <v>13000</v>
      </c>
      <c r="R92" s="34"/>
      <c r="S92" s="34"/>
      <c r="T92" s="34"/>
      <c r="U92" s="34"/>
      <c r="V92" s="34"/>
      <c r="W92" s="35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</row>
    <row r="93" spans="1:63" x14ac:dyDescent="0.25">
      <c r="A93" s="63"/>
      <c r="B93" s="46" t="s">
        <v>120</v>
      </c>
      <c r="C93" s="1"/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18">
        <f t="shared" si="4"/>
        <v>0</v>
      </c>
      <c r="Q93" s="89">
        <v>0</v>
      </c>
      <c r="R93" s="34"/>
      <c r="S93" s="34"/>
      <c r="T93" s="34"/>
      <c r="U93" s="34"/>
      <c r="V93" s="34"/>
      <c r="W93" s="35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</row>
    <row r="94" spans="1:63" x14ac:dyDescent="0.25">
      <c r="A94" s="63"/>
      <c r="B94" s="46" t="s">
        <v>32</v>
      </c>
      <c r="C94" s="1"/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7500</v>
      </c>
      <c r="N94" s="31">
        <v>0</v>
      </c>
      <c r="O94" s="31">
        <v>0</v>
      </c>
      <c r="P94" s="18">
        <f t="shared" si="4"/>
        <v>7500</v>
      </c>
      <c r="Q94" s="89">
        <v>7500</v>
      </c>
      <c r="R94" s="34"/>
      <c r="S94" s="34"/>
      <c r="T94" s="34"/>
      <c r="U94" s="34"/>
      <c r="V94" s="34"/>
      <c r="W94" s="35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</row>
    <row r="95" spans="1:63" x14ac:dyDescent="0.25">
      <c r="A95" s="26"/>
      <c r="B95" s="6" t="s">
        <v>121</v>
      </c>
      <c r="C95" s="1"/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7500</v>
      </c>
      <c r="N95" s="31">
        <v>0</v>
      </c>
      <c r="O95" s="31">
        <v>0</v>
      </c>
      <c r="P95" s="18">
        <f t="shared" si="4"/>
        <v>7500</v>
      </c>
      <c r="Q95" s="89">
        <v>7500</v>
      </c>
      <c r="R95" s="34"/>
      <c r="S95" s="34"/>
      <c r="T95" s="34"/>
      <c r="U95" s="34"/>
      <c r="V95" s="34"/>
      <c r="W95" s="35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</row>
    <row r="96" spans="1:63" x14ac:dyDescent="0.25">
      <c r="A96" s="107" t="s">
        <v>33</v>
      </c>
      <c r="B96" s="107"/>
      <c r="C96" s="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18"/>
      <c r="Q96" s="89"/>
      <c r="R96" s="34"/>
      <c r="S96" s="34"/>
      <c r="T96" s="34"/>
      <c r="U96" s="34"/>
      <c r="V96" s="34"/>
      <c r="W96" s="35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</row>
    <row r="97" spans="1:63" x14ac:dyDescent="0.25">
      <c r="A97" s="26"/>
      <c r="B97" s="46" t="s">
        <v>34</v>
      </c>
      <c r="C97" s="1"/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10000</v>
      </c>
      <c r="L97" s="31">
        <v>0</v>
      </c>
      <c r="M97" s="31">
        <v>0</v>
      </c>
      <c r="N97" s="31">
        <v>0</v>
      </c>
      <c r="O97" s="31">
        <v>0</v>
      </c>
      <c r="P97" s="18">
        <f t="shared" si="4"/>
        <v>10000</v>
      </c>
      <c r="Q97" s="89">
        <v>10000</v>
      </c>
      <c r="R97" s="34"/>
      <c r="S97" s="34"/>
      <c r="T97" s="34"/>
      <c r="U97" s="34"/>
      <c r="V97" s="34"/>
      <c r="W97" s="35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</row>
    <row r="98" spans="1:63" x14ac:dyDescent="0.25">
      <c r="A98" s="26"/>
      <c r="B98" s="46" t="s">
        <v>35</v>
      </c>
      <c r="C98" s="1"/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10000</v>
      </c>
      <c r="O98" s="31">
        <v>0</v>
      </c>
      <c r="P98" s="18">
        <f t="shared" si="4"/>
        <v>10000</v>
      </c>
      <c r="Q98" s="89">
        <v>15000</v>
      </c>
      <c r="R98" s="34"/>
      <c r="S98" s="34"/>
      <c r="T98" s="34"/>
      <c r="U98" s="34"/>
      <c r="V98" s="34"/>
      <c r="W98" s="35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</row>
    <row r="99" spans="1:63" x14ac:dyDescent="0.25">
      <c r="A99" s="60"/>
      <c r="B99" s="46" t="s">
        <v>101</v>
      </c>
      <c r="C99" s="1"/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10000</v>
      </c>
      <c r="N99" s="31">
        <v>0</v>
      </c>
      <c r="O99" s="31">
        <v>0</v>
      </c>
      <c r="P99" s="18">
        <f t="shared" si="4"/>
        <v>10000</v>
      </c>
      <c r="Q99" s="89">
        <v>10000</v>
      </c>
      <c r="R99" s="34"/>
      <c r="S99" s="34"/>
      <c r="T99" s="34"/>
      <c r="U99" s="34"/>
      <c r="V99" s="34"/>
      <c r="W99" s="35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</row>
    <row r="100" spans="1:63" x14ac:dyDescent="0.25">
      <c r="A100" s="60"/>
      <c r="B100" s="46" t="s">
        <v>102</v>
      </c>
      <c r="C100" s="1"/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10000</v>
      </c>
      <c r="N100" s="31">
        <v>0</v>
      </c>
      <c r="O100" s="31">
        <v>0</v>
      </c>
      <c r="P100" s="18">
        <f t="shared" si="4"/>
        <v>10000</v>
      </c>
      <c r="Q100" s="89">
        <v>10000</v>
      </c>
      <c r="R100" s="34"/>
      <c r="S100" s="34"/>
      <c r="T100" s="34"/>
      <c r="U100" s="34"/>
      <c r="V100" s="34"/>
      <c r="W100" s="35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</row>
    <row r="101" spans="1:63" x14ac:dyDescent="0.25">
      <c r="A101" s="107" t="s">
        <v>87</v>
      </c>
      <c r="B101" s="107"/>
      <c r="C101" s="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18"/>
      <c r="Q101" s="89"/>
      <c r="R101" s="34"/>
      <c r="S101" s="34"/>
      <c r="T101" s="34"/>
      <c r="U101" s="34"/>
      <c r="V101" s="34"/>
      <c r="W101" s="35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</row>
    <row r="102" spans="1:63" x14ac:dyDescent="0.25">
      <c r="B102" s="49" t="s">
        <v>88</v>
      </c>
      <c r="C102" s="1"/>
      <c r="D102" s="31">
        <v>0</v>
      </c>
      <c r="E102" s="31">
        <v>0</v>
      </c>
      <c r="F102" s="31">
        <v>10000</v>
      </c>
      <c r="G102" s="31">
        <v>20000</v>
      </c>
      <c r="H102" s="31">
        <v>50000</v>
      </c>
      <c r="I102" s="31">
        <v>20000</v>
      </c>
      <c r="J102" s="31">
        <v>30000</v>
      </c>
      <c r="K102" s="31">
        <v>20000</v>
      </c>
      <c r="L102" s="31">
        <v>20000</v>
      </c>
      <c r="M102" s="31">
        <v>0</v>
      </c>
      <c r="N102" s="31">
        <v>0</v>
      </c>
      <c r="O102" s="31">
        <v>0</v>
      </c>
      <c r="P102" s="18">
        <f t="shared" si="4"/>
        <v>170000</v>
      </c>
      <c r="Q102" s="89">
        <v>170000</v>
      </c>
      <c r="R102" s="34"/>
      <c r="S102" s="34"/>
      <c r="T102" s="34"/>
      <c r="U102" s="34"/>
      <c r="V102" s="34"/>
      <c r="W102" s="35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</row>
    <row r="103" spans="1:63" x14ac:dyDescent="0.25">
      <c r="B103" s="49" t="s">
        <v>89</v>
      </c>
      <c r="C103" s="1"/>
      <c r="D103" s="31">
        <v>0</v>
      </c>
      <c r="E103" s="31">
        <v>0</v>
      </c>
      <c r="F103" s="31">
        <v>10000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18">
        <f t="shared" si="4"/>
        <v>10000</v>
      </c>
      <c r="Q103" s="89">
        <v>25000</v>
      </c>
      <c r="R103" s="34"/>
      <c r="S103" s="34"/>
      <c r="T103" s="34"/>
      <c r="U103" s="34"/>
      <c r="V103" s="34"/>
      <c r="W103" s="35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</row>
    <row r="104" spans="1:63" x14ac:dyDescent="0.25">
      <c r="A104" s="107" t="s">
        <v>36</v>
      </c>
      <c r="B104" s="107"/>
      <c r="C104" s="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18"/>
      <c r="Q104" s="89"/>
      <c r="R104" s="34"/>
      <c r="S104" s="34"/>
      <c r="T104" s="34"/>
      <c r="U104" s="34"/>
      <c r="V104" s="34"/>
      <c r="W104" s="35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</row>
    <row r="105" spans="1:63" x14ac:dyDescent="0.25">
      <c r="A105" s="26"/>
      <c r="B105" s="46" t="s">
        <v>37</v>
      </c>
      <c r="C105" s="1"/>
      <c r="D105" s="31">
        <v>416.67</v>
      </c>
      <c r="E105" s="31">
        <v>416.67</v>
      </c>
      <c r="F105" s="31">
        <v>416.67</v>
      </c>
      <c r="G105" s="31">
        <v>416.67</v>
      </c>
      <c r="H105" s="31">
        <v>416.67</v>
      </c>
      <c r="I105" s="31">
        <v>416.67</v>
      </c>
      <c r="J105" s="31">
        <v>416.67</v>
      </c>
      <c r="K105" s="31">
        <v>416.67</v>
      </c>
      <c r="L105" s="31">
        <v>416.67</v>
      </c>
      <c r="M105" s="31">
        <v>416.67</v>
      </c>
      <c r="N105" s="31">
        <v>416.67</v>
      </c>
      <c r="O105" s="31">
        <v>416.67</v>
      </c>
      <c r="P105" s="18">
        <f t="shared" si="4"/>
        <v>5000.04</v>
      </c>
      <c r="Q105" s="89">
        <v>5000</v>
      </c>
      <c r="R105" s="34"/>
      <c r="S105" s="34"/>
      <c r="T105" s="34"/>
      <c r="U105" s="34"/>
      <c r="V105" s="34"/>
      <c r="W105" s="35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</row>
    <row r="106" spans="1:63" x14ac:dyDescent="0.25">
      <c r="A106" s="26"/>
      <c r="B106" s="46" t="s">
        <v>96</v>
      </c>
      <c r="C106" s="1"/>
      <c r="D106" s="47">
        <v>21857</v>
      </c>
      <c r="E106" s="47">
        <v>21857</v>
      </c>
      <c r="F106" s="47">
        <v>21857</v>
      </c>
      <c r="G106" s="47">
        <v>21857</v>
      </c>
      <c r="H106" s="47">
        <v>21857</v>
      </c>
      <c r="I106" s="47">
        <v>21857</v>
      </c>
      <c r="J106" s="47">
        <v>21857</v>
      </c>
      <c r="K106" s="47">
        <v>21857</v>
      </c>
      <c r="L106" s="47">
        <v>21857</v>
      </c>
      <c r="M106" s="47">
        <v>21857</v>
      </c>
      <c r="N106" s="47">
        <v>21857</v>
      </c>
      <c r="O106" s="47">
        <v>21857</v>
      </c>
      <c r="P106" s="18">
        <f t="shared" si="4"/>
        <v>262284</v>
      </c>
      <c r="Q106" s="89">
        <f>21857*12*103%</f>
        <v>270152.52</v>
      </c>
      <c r="R106" s="34"/>
      <c r="S106" s="34"/>
      <c r="T106" s="34"/>
      <c r="U106" s="34"/>
      <c r="V106" s="34"/>
      <c r="W106" s="35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</row>
    <row r="107" spans="1:63" x14ac:dyDescent="0.25">
      <c r="A107" s="60"/>
      <c r="B107" s="46" t="s">
        <v>76</v>
      </c>
      <c r="C107" s="1"/>
      <c r="D107" s="31">
        <v>1666.6666666666667</v>
      </c>
      <c r="E107" s="31">
        <v>1666.6666666666667</v>
      </c>
      <c r="F107" s="31">
        <v>1666.6666666666667</v>
      </c>
      <c r="G107" s="31">
        <v>1666.6666666666667</v>
      </c>
      <c r="H107" s="31">
        <v>1666.6666666666667</v>
      </c>
      <c r="I107" s="31">
        <v>1666.6666666666667</v>
      </c>
      <c r="J107" s="31">
        <v>1666.6666666666667</v>
      </c>
      <c r="K107" s="31">
        <v>1666.6666666666667</v>
      </c>
      <c r="L107" s="31">
        <v>1666.6666666666667</v>
      </c>
      <c r="M107" s="31">
        <v>1666.6666666666667</v>
      </c>
      <c r="N107" s="31">
        <v>1666.6666666666667</v>
      </c>
      <c r="O107" s="31">
        <v>1666.6666666666667</v>
      </c>
      <c r="P107" s="18">
        <f t="shared" si="4"/>
        <v>20000</v>
      </c>
      <c r="Q107" s="89">
        <v>20000</v>
      </c>
      <c r="R107" s="34"/>
      <c r="S107" s="34"/>
      <c r="T107" s="34"/>
      <c r="U107" s="34"/>
      <c r="V107" s="34"/>
      <c r="W107" s="35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</row>
    <row r="108" spans="1:63" x14ac:dyDescent="0.25">
      <c r="A108" s="26"/>
      <c r="B108" s="46" t="s">
        <v>39</v>
      </c>
      <c r="C108" s="1"/>
      <c r="D108" s="31">
        <v>10000</v>
      </c>
      <c r="E108" s="31">
        <v>10000</v>
      </c>
      <c r="F108" s="31">
        <v>10000</v>
      </c>
      <c r="G108" s="31">
        <v>10000</v>
      </c>
      <c r="H108" s="31">
        <v>10000</v>
      </c>
      <c r="I108" s="31">
        <v>10000</v>
      </c>
      <c r="J108" s="31">
        <v>10000</v>
      </c>
      <c r="K108" s="31">
        <v>10000</v>
      </c>
      <c r="L108" s="31">
        <v>10000</v>
      </c>
      <c r="M108" s="31">
        <v>10000</v>
      </c>
      <c r="N108" s="31">
        <v>10000</v>
      </c>
      <c r="O108" s="31">
        <v>10000</v>
      </c>
      <c r="P108" s="18">
        <f t="shared" si="4"/>
        <v>120000</v>
      </c>
      <c r="Q108" s="89">
        <v>120000</v>
      </c>
      <c r="R108" s="34"/>
      <c r="S108" s="34"/>
      <c r="T108" s="34"/>
      <c r="U108" s="34"/>
      <c r="V108" s="34"/>
      <c r="W108" s="35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</row>
    <row r="109" spans="1:63" x14ac:dyDescent="0.25">
      <c r="A109" s="27"/>
      <c r="B109" s="46" t="s">
        <v>40</v>
      </c>
      <c r="C109" s="1"/>
      <c r="D109" s="31">
        <v>2000</v>
      </c>
      <c r="E109" s="31">
        <v>2000</v>
      </c>
      <c r="F109" s="31">
        <v>2000</v>
      </c>
      <c r="G109" s="31">
        <v>2000</v>
      </c>
      <c r="H109" s="31">
        <v>2000</v>
      </c>
      <c r="I109" s="31">
        <v>2000</v>
      </c>
      <c r="J109" s="31">
        <v>2000</v>
      </c>
      <c r="K109" s="31">
        <v>2000</v>
      </c>
      <c r="L109" s="31">
        <v>2000</v>
      </c>
      <c r="M109" s="31">
        <v>2000</v>
      </c>
      <c r="N109" s="31">
        <v>2000</v>
      </c>
      <c r="O109" s="31">
        <v>2000</v>
      </c>
      <c r="P109" s="18">
        <f t="shared" si="4"/>
        <v>24000</v>
      </c>
      <c r="Q109" s="89">
        <v>24000</v>
      </c>
      <c r="R109" s="34"/>
      <c r="S109" s="34"/>
      <c r="T109" s="34"/>
      <c r="U109" s="34"/>
      <c r="V109" s="34"/>
      <c r="W109" s="35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</row>
    <row r="110" spans="1:63" x14ac:dyDescent="0.25">
      <c r="A110" s="27"/>
      <c r="B110" s="46" t="s">
        <v>41</v>
      </c>
      <c r="C110" s="1"/>
      <c r="D110" s="31">
        <v>8333</v>
      </c>
      <c r="E110" s="31">
        <v>8333</v>
      </c>
      <c r="F110" s="31">
        <v>8333</v>
      </c>
      <c r="G110" s="31">
        <v>8333</v>
      </c>
      <c r="H110" s="31">
        <v>8333</v>
      </c>
      <c r="I110" s="31">
        <v>8333</v>
      </c>
      <c r="J110" s="31">
        <v>8333</v>
      </c>
      <c r="K110" s="31">
        <v>8333</v>
      </c>
      <c r="L110" s="31">
        <v>8334</v>
      </c>
      <c r="M110" s="31">
        <v>8334</v>
      </c>
      <c r="N110" s="31">
        <v>8334</v>
      </c>
      <c r="O110" s="31">
        <v>8334</v>
      </c>
      <c r="P110" s="18">
        <f t="shared" si="4"/>
        <v>100000</v>
      </c>
      <c r="Q110" s="89">
        <v>100000</v>
      </c>
      <c r="R110" s="34"/>
      <c r="S110" s="34"/>
      <c r="T110" s="34"/>
      <c r="U110" s="34"/>
      <c r="V110" s="34"/>
      <c r="W110" s="35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</row>
    <row r="111" spans="1:63" x14ac:dyDescent="0.25">
      <c r="A111" s="27"/>
      <c r="B111" s="46" t="s">
        <v>42</v>
      </c>
      <c r="C111" s="1"/>
      <c r="D111" s="31">
        <v>1250</v>
      </c>
      <c r="E111" s="31">
        <v>1250</v>
      </c>
      <c r="F111" s="31">
        <v>1250</v>
      </c>
      <c r="G111" s="31">
        <v>1250</v>
      </c>
      <c r="H111" s="31">
        <v>1250</v>
      </c>
      <c r="I111" s="31">
        <v>1250</v>
      </c>
      <c r="J111" s="31">
        <v>1250</v>
      </c>
      <c r="K111" s="31">
        <v>1250</v>
      </c>
      <c r="L111" s="31">
        <v>1250</v>
      </c>
      <c r="M111" s="31">
        <v>1250</v>
      </c>
      <c r="N111" s="31">
        <v>1250</v>
      </c>
      <c r="O111" s="31">
        <v>1250</v>
      </c>
      <c r="P111" s="18">
        <f t="shared" si="4"/>
        <v>15000</v>
      </c>
      <c r="Q111" s="89">
        <v>15000</v>
      </c>
      <c r="R111" s="34"/>
      <c r="S111" s="34"/>
      <c r="T111" s="34"/>
      <c r="U111" s="34"/>
      <c r="V111" s="34"/>
      <c r="W111" s="35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</row>
    <row r="112" spans="1:63" x14ac:dyDescent="0.25">
      <c r="A112" s="27"/>
      <c r="B112" s="46" t="s">
        <v>43</v>
      </c>
      <c r="C112" s="1"/>
      <c r="D112" s="31">
        <v>8000</v>
      </c>
      <c r="E112" s="31">
        <v>8000</v>
      </c>
      <c r="F112" s="31">
        <v>8000</v>
      </c>
      <c r="G112" s="31">
        <v>8000</v>
      </c>
      <c r="H112" s="31">
        <v>8000</v>
      </c>
      <c r="I112" s="31">
        <v>8000</v>
      </c>
      <c r="J112" s="31">
        <v>8000</v>
      </c>
      <c r="K112" s="31">
        <v>8000</v>
      </c>
      <c r="L112" s="31">
        <v>8000</v>
      </c>
      <c r="M112" s="31">
        <v>8000</v>
      </c>
      <c r="N112" s="31">
        <v>8000</v>
      </c>
      <c r="O112" s="31">
        <v>8000</v>
      </c>
      <c r="P112" s="18">
        <f t="shared" si="4"/>
        <v>96000</v>
      </c>
      <c r="Q112" s="89">
        <v>96000</v>
      </c>
      <c r="R112" s="34"/>
      <c r="S112" s="34"/>
      <c r="T112" s="34"/>
      <c r="U112" s="34"/>
      <c r="V112" s="34"/>
      <c r="W112" s="35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</row>
    <row r="113" spans="1:63" x14ac:dyDescent="0.25">
      <c r="A113" s="27"/>
      <c r="B113" s="46" t="s">
        <v>44</v>
      </c>
      <c r="C113" s="1"/>
      <c r="D113" s="31">
        <v>833.33</v>
      </c>
      <c r="E113" s="31">
        <v>833.33</v>
      </c>
      <c r="F113" s="31">
        <v>833.33</v>
      </c>
      <c r="G113" s="31">
        <v>833.33</v>
      </c>
      <c r="H113" s="31">
        <v>833.33</v>
      </c>
      <c r="I113" s="31">
        <v>833.33</v>
      </c>
      <c r="J113" s="31">
        <v>833.33</v>
      </c>
      <c r="K113" s="31">
        <v>833.33</v>
      </c>
      <c r="L113" s="31">
        <v>833.33</v>
      </c>
      <c r="M113" s="31">
        <v>833.33</v>
      </c>
      <c r="N113" s="31">
        <v>833.33</v>
      </c>
      <c r="O113" s="31">
        <v>833.33</v>
      </c>
      <c r="P113" s="18">
        <f t="shared" si="4"/>
        <v>9999.9600000000009</v>
      </c>
      <c r="Q113" s="89">
        <v>10000</v>
      </c>
      <c r="R113" s="34"/>
      <c r="S113" s="34"/>
      <c r="T113" s="34"/>
      <c r="U113" s="34"/>
      <c r="V113" s="34"/>
      <c r="W113" s="35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</row>
    <row r="114" spans="1:63" x14ac:dyDescent="0.25">
      <c r="A114" s="59"/>
      <c r="B114" s="46"/>
      <c r="C114" s="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18"/>
      <c r="Q114" s="89"/>
      <c r="R114" s="34"/>
      <c r="S114" s="34"/>
      <c r="T114" s="34"/>
      <c r="U114" s="34"/>
      <c r="V114" s="34"/>
      <c r="W114" s="35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</row>
    <row r="115" spans="1:63" x14ac:dyDescent="0.25">
      <c r="A115" s="107" t="s">
        <v>45</v>
      </c>
      <c r="B115" s="107"/>
      <c r="C115" s="1"/>
      <c r="D115" s="31">
        <v>0</v>
      </c>
      <c r="E115" s="31">
        <v>0</v>
      </c>
      <c r="F115" s="31">
        <v>0</v>
      </c>
      <c r="G115" s="31">
        <v>0</v>
      </c>
      <c r="H115" s="31">
        <v>137500</v>
      </c>
      <c r="I115" s="31">
        <v>137500</v>
      </c>
      <c r="J115" s="31">
        <v>0</v>
      </c>
      <c r="K115" s="31">
        <v>0</v>
      </c>
      <c r="L115" s="31">
        <v>0</v>
      </c>
      <c r="M115" s="31">
        <v>137500</v>
      </c>
      <c r="N115" s="31">
        <v>137500</v>
      </c>
      <c r="O115" s="31">
        <v>0</v>
      </c>
      <c r="P115" s="18">
        <f t="shared" si="4"/>
        <v>550000</v>
      </c>
      <c r="Q115" s="89">
        <v>550000</v>
      </c>
      <c r="R115" s="34"/>
      <c r="S115" s="34"/>
      <c r="T115" s="34"/>
      <c r="U115" s="34"/>
      <c r="V115" s="34"/>
      <c r="W115" s="35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</row>
    <row r="116" spans="1:63" x14ac:dyDescent="0.25">
      <c r="A116" s="107"/>
      <c r="B116" s="107"/>
      <c r="C116" s="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18"/>
      <c r="Q116" s="89"/>
      <c r="R116" s="34"/>
      <c r="S116" s="34"/>
      <c r="T116" s="34"/>
      <c r="U116" s="34"/>
      <c r="V116" s="34"/>
      <c r="W116" s="35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</row>
    <row r="117" spans="1:63" x14ac:dyDescent="0.25">
      <c r="A117" s="107" t="s">
        <v>46</v>
      </c>
      <c r="B117" s="107"/>
      <c r="C117" s="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18"/>
      <c r="Q117" s="89"/>
      <c r="R117" s="34"/>
      <c r="S117" s="34"/>
      <c r="T117" s="34"/>
      <c r="U117" s="34"/>
      <c r="V117" s="34"/>
      <c r="W117" s="35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</row>
    <row r="118" spans="1:63" x14ac:dyDescent="0.25">
      <c r="A118" s="27"/>
      <c r="B118" s="46" t="s">
        <v>157</v>
      </c>
      <c r="C118" s="1"/>
      <c r="D118" s="31">
        <f>(32500+27000+5500)</f>
        <v>65000</v>
      </c>
      <c r="E118" s="31">
        <f t="shared" ref="E118:N118" si="6">(32500+27000+5500)</f>
        <v>65000</v>
      </c>
      <c r="F118" s="31">
        <f t="shared" si="6"/>
        <v>65000</v>
      </c>
      <c r="G118" s="31">
        <f t="shared" si="6"/>
        <v>65000</v>
      </c>
      <c r="H118" s="31">
        <f t="shared" si="6"/>
        <v>65000</v>
      </c>
      <c r="I118" s="31">
        <f t="shared" si="6"/>
        <v>65000</v>
      </c>
      <c r="J118" s="31">
        <f t="shared" si="6"/>
        <v>65000</v>
      </c>
      <c r="K118" s="31">
        <f t="shared" si="6"/>
        <v>65000</v>
      </c>
      <c r="L118" s="31">
        <f t="shared" si="6"/>
        <v>65000</v>
      </c>
      <c r="M118" s="31">
        <f t="shared" si="6"/>
        <v>65000</v>
      </c>
      <c r="N118" s="31">
        <f t="shared" si="6"/>
        <v>65000</v>
      </c>
      <c r="O118" s="31">
        <f>(32500+27000+5500)</f>
        <v>65000</v>
      </c>
      <c r="P118" s="18">
        <f>SUM(D118:O118)</f>
        <v>780000</v>
      </c>
      <c r="Q118" s="89">
        <f>((27000+32500)*12.5)*1.03</f>
        <v>766062.5</v>
      </c>
      <c r="R118" s="34"/>
      <c r="S118" s="34"/>
      <c r="T118" s="34"/>
      <c r="U118" s="34"/>
      <c r="V118" s="34"/>
      <c r="W118" s="35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</row>
    <row r="119" spans="1:63" x14ac:dyDescent="0.25">
      <c r="A119" s="27"/>
      <c r="B119" s="46" t="s">
        <v>48</v>
      </c>
      <c r="C119" s="1"/>
      <c r="D119" s="31">
        <f>D118*0.3142</f>
        <v>20423</v>
      </c>
      <c r="E119" s="31">
        <f t="shared" ref="E119:O119" si="7">E118*0.3142</f>
        <v>20423</v>
      </c>
      <c r="F119" s="31">
        <f t="shared" si="7"/>
        <v>20423</v>
      </c>
      <c r="G119" s="31">
        <f>G118*0.3142</f>
        <v>20423</v>
      </c>
      <c r="H119" s="31">
        <f t="shared" si="7"/>
        <v>20423</v>
      </c>
      <c r="I119" s="31">
        <f t="shared" si="7"/>
        <v>20423</v>
      </c>
      <c r="J119" s="31">
        <f>J118*0.3142</f>
        <v>20423</v>
      </c>
      <c r="K119" s="31">
        <f t="shared" si="7"/>
        <v>20423</v>
      </c>
      <c r="L119" s="31">
        <f t="shared" si="7"/>
        <v>20423</v>
      </c>
      <c r="M119" s="31">
        <f t="shared" si="7"/>
        <v>20423</v>
      </c>
      <c r="N119" s="31">
        <f t="shared" si="7"/>
        <v>20423</v>
      </c>
      <c r="O119" s="31">
        <f t="shared" si="7"/>
        <v>20423</v>
      </c>
      <c r="P119" s="18">
        <f t="shared" si="4"/>
        <v>245076</v>
      </c>
      <c r="Q119" s="89">
        <f>(Q118+Q122)*31.42%</f>
        <v>252008.03750000003</v>
      </c>
      <c r="R119" s="61" t="s">
        <v>150</v>
      </c>
      <c r="S119" s="34"/>
      <c r="T119" s="34"/>
      <c r="U119" s="34"/>
      <c r="V119" s="34"/>
      <c r="W119" s="35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</row>
    <row r="120" spans="1:63" x14ac:dyDescent="0.25">
      <c r="A120" s="27"/>
      <c r="B120" s="46" t="s">
        <v>49</v>
      </c>
      <c r="C120" s="1"/>
      <c r="D120" s="31">
        <v>1500</v>
      </c>
      <c r="E120" s="31">
        <v>1500</v>
      </c>
      <c r="F120" s="31">
        <v>1500</v>
      </c>
      <c r="G120" s="31">
        <v>1500</v>
      </c>
      <c r="H120" s="31">
        <v>1500</v>
      </c>
      <c r="I120" s="31">
        <v>1500</v>
      </c>
      <c r="J120" s="31">
        <v>1500</v>
      </c>
      <c r="K120" s="31">
        <v>1500</v>
      </c>
      <c r="L120" s="31">
        <v>1500</v>
      </c>
      <c r="M120" s="31">
        <v>1500</v>
      </c>
      <c r="N120" s="31">
        <v>1500</v>
      </c>
      <c r="O120" s="31">
        <v>1500</v>
      </c>
      <c r="P120" s="18">
        <f t="shared" si="4"/>
        <v>18000</v>
      </c>
      <c r="Q120" s="89">
        <f>3000*12</f>
        <v>36000</v>
      </c>
      <c r="R120" s="34" t="s">
        <v>148</v>
      </c>
      <c r="S120" s="34"/>
      <c r="T120" s="34"/>
      <c r="U120" s="34"/>
      <c r="V120" s="34"/>
      <c r="W120" s="35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</row>
    <row r="121" spans="1:63" x14ac:dyDescent="0.25">
      <c r="A121" s="27"/>
      <c r="B121" s="46" t="s">
        <v>50</v>
      </c>
      <c r="C121" s="1"/>
      <c r="D121" s="31">
        <v>3000</v>
      </c>
      <c r="E121" s="31">
        <v>3000</v>
      </c>
      <c r="F121" s="31">
        <v>3000</v>
      </c>
      <c r="G121" s="31">
        <v>3000</v>
      </c>
      <c r="H121" s="31">
        <v>3000</v>
      </c>
      <c r="I121" s="31">
        <v>3000</v>
      </c>
      <c r="J121" s="31">
        <v>3000</v>
      </c>
      <c r="K121" s="31">
        <v>3000</v>
      </c>
      <c r="L121" s="31">
        <v>3000</v>
      </c>
      <c r="M121" s="31">
        <v>3000</v>
      </c>
      <c r="N121" s="31">
        <v>3000</v>
      </c>
      <c r="O121" s="31">
        <v>3000</v>
      </c>
      <c r="P121" s="18">
        <f t="shared" si="4"/>
        <v>36000</v>
      </c>
      <c r="Q121" s="89">
        <v>36000</v>
      </c>
      <c r="R121" s="34"/>
      <c r="S121" s="34"/>
      <c r="T121" s="34"/>
      <c r="U121" s="34"/>
      <c r="V121" s="34"/>
      <c r="W121" s="35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</row>
    <row r="122" spans="1:63" x14ac:dyDescent="0.25">
      <c r="A122" s="86"/>
      <c r="B122" s="28" t="s">
        <v>129</v>
      </c>
      <c r="C122" s="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18"/>
      <c r="Q122" s="89">
        <f>3000*12</f>
        <v>36000</v>
      </c>
      <c r="R122" s="34"/>
      <c r="S122" s="34"/>
      <c r="T122" s="34"/>
      <c r="U122" s="34"/>
      <c r="V122" s="34"/>
      <c r="W122" s="35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</row>
    <row r="123" spans="1:63" x14ac:dyDescent="0.25">
      <c r="A123" s="107" t="s">
        <v>51</v>
      </c>
      <c r="B123" s="107"/>
      <c r="C123" s="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18"/>
      <c r="Q123" s="89"/>
      <c r="R123" s="34"/>
      <c r="S123" s="34"/>
      <c r="T123" s="34"/>
      <c r="U123" s="34"/>
      <c r="V123" s="87"/>
      <c r="W123" s="35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</row>
    <row r="124" spans="1:63" x14ac:dyDescent="0.25">
      <c r="A124" s="44"/>
      <c r="B124" s="46" t="s">
        <v>52</v>
      </c>
      <c r="C124" s="1"/>
      <c r="D124" s="31">
        <v>33334</v>
      </c>
      <c r="E124" s="31">
        <v>33334</v>
      </c>
      <c r="F124" s="31">
        <v>33334</v>
      </c>
      <c r="G124" s="31">
        <v>33334</v>
      </c>
      <c r="H124" s="31">
        <v>33333</v>
      </c>
      <c r="I124" s="31">
        <v>33333</v>
      </c>
      <c r="J124" s="31">
        <v>33333</v>
      </c>
      <c r="K124" s="31">
        <v>33333</v>
      </c>
      <c r="L124" s="31">
        <v>33333</v>
      </c>
      <c r="M124" s="31">
        <v>33333</v>
      </c>
      <c r="N124" s="31">
        <v>33333</v>
      </c>
      <c r="O124" s="31">
        <v>33333</v>
      </c>
      <c r="P124" s="18">
        <f t="shared" si="4"/>
        <v>400000</v>
      </c>
      <c r="Q124" s="89">
        <f>330000+90000</f>
        <v>420000</v>
      </c>
      <c r="R124" s="34" t="s">
        <v>158</v>
      </c>
      <c r="S124" s="34"/>
      <c r="T124" s="34"/>
      <c r="U124" s="34"/>
      <c r="V124" s="87"/>
      <c r="W124" s="3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</row>
    <row r="125" spans="1:63" x14ac:dyDescent="0.25">
      <c r="A125" s="44"/>
      <c r="B125" s="46" t="s">
        <v>18</v>
      </c>
      <c r="C125" s="1"/>
      <c r="D125" s="31">
        <v>0</v>
      </c>
      <c r="E125" s="31">
        <v>0</v>
      </c>
      <c r="F125" s="31">
        <v>0</v>
      </c>
      <c r="G125" s="31">
        <v>67500</v>
      </c>
      <c r="H125" s="31">
        <v>7500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75000</v>
      </c>
      <c r="P125" s="18">
        <f t="shared" si="4"/>
        <v>150000</v>
      </c>
      <c r="Q125" s="89">
        <f>195000+40000</f>
        <v>235000</v>
      </c>
      <c r="R125" s="34" t="s">
        <v>158</v>
      </c>
      <c r="S125" s="34"/>
      <c r="T125" s="34"/>
      <c r="U125" s="34"/>
      <c r="V125" s="87"/>
      <c r="W125" s="3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</row>
    <row r="126" spans="1:63" x14ac:dyDescent="0.25">
      <c r="A126" s="62"/>
      <c r="B126" s="46" t="s">
        <v>8</v>
      </c>
      <c r="C126" s="1"/>
      <c r="D126" s="31">
        <v>0</v>
      </c>
      <c r="E126" s="31">
        <v>0</v>
      </c>
      <c r="F126" s="31">
        <v>0</v>
      </c>
      <c r="G126" s="31">
        <v>14000</v>
      </c>
      <c r="H126" s="31">
        <v>0</v>
      </c>
      <c r="I126" s="31">
        <v>10000</v>
      </c>
      <c r="J126" s="31">
        <v>35000</v>
      </c>
      <c r="K126" s="31">
        <v>55000</v>
      </c>
      <c r="L126" s="31">
        <v>0</v>
      </c>
      <c r="M126" s="31">
        <v>14000</v>
      </c>
      <c r="N126" s="31">
        <v>0</v>
      </c>
      <c r="O126" s="31">
        <v>0</v>
      </c>
      <c r="P126" s="18">
        <f t="shared" si="4"/>
        <v>128000</v>
      </c>
      <c r="Q126" s="89">
        <v>120000</v>
      </c>
      <c r="R126" s="34"/>
      <c r="S126" s="34"/>
      <c r="T126" s="34"/>
      <c r="U126" s="34"/>
      <c r="V126" s="34"/>
      <c r="W126" s="3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</row>
    <row r="127" spans="1:63" x14ac:dyDescent="0.25">
      <c r="A127" s="44"/>
      <c r="B127" s="46" t="s">
        <v>24</v>
      </c>
      <c r="C127" s="1"/>
      <c r="D127" s="31">
        <v>29500</v>
      </c>
      <c r="E127" s="31">
        <v>29500</v>
      </c>
      <c r="F127" s="31">
        <v>29500</v>
      </c>
      <c r="G127" s="31">
        <v>29500</v>
      </c>
      <c r="H127" s="31">
        <v>29500</v>
      </c>
      <c r="I127" s="31">
        <v>29500</v>
      </c>
      <c r="J127" s="31">
        <v>29500</v>
      </c>
      <c r="K127" s="31">
        <v>29500</v>
      </c>
      <c r="L127" s="31">
        <v>29500</v>
      </c>
      <c r="M127" s="31">
        <v>29500</v>
      </c>
      <c r="N127" s="31">
        <v>29500</v>
      </c>
      <c r="O127" s="31">
        <v>29500</v>
      </c>
      <c r="P127" s="18">
        <f t="shared" si="4"/>
        <v>354000</v>
      </c>
      <c r="Q127" s="89">
        <f>((315000)+315000*31.42%)</f>
        <v>413973</v>
      </c>
      <c r="R127" s="34"/>
      <c r="S127" s="34"/>
      <c r="T127" s="34"/>
      <c r="U127" s="34"/>
      <c r="V127" s="34"/>
      <c r="W127" s="3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</row>
    <row r="128" spans="1:63" x14ac:dyDescent="0.25">
      <c r="A128" s="44"/>
      <c r="B128" s="46" t="s">
        <v>83</v>
      </c>
      <c r="C128" s="1"/>
      <c r="D128" s="31">
        <v>3000</v>
      </c>
      <c r="E128" s="31">
        <v>3000</v>
      </c>
      <c r="F128" s="31">
        <v>3000</v>
      </c>
      <c r="G128" s="31">
        <v>3000</v>
      </c>
      <c r="H128" s="31">
        <v>3000</v>
      </c>
      <c r="I128" s="31">
        <v>3000</v>
      </c>
      <c r="J128" s="31">
        <v>3000</v>
      </c>
      <c r="K128" s="31">
        <v>3000</v>
      </c>
      <c r="L128" s="31">
        <v>3000</v>
      </c>
      <c r="M128" s="31">
        <v>3000</v>
      </c>
      <c r="N128" s="31">
        <v>0</v>
      </c>
      <c r="O128" s="31">
        <v>0</v>
      </c>
      <c r="P128" s="18">
        <f t="shared" si="4"/>
        <v>30000</v>
      </c>
      <c r="Q128" s="89">
        <f>30000+40000+15000</f>
        <v>85000</v>
      </c>
      <c r="R128" s="34"/>
      <c r="S128" s="34" t="s">
        <v>160</v>
      </c>
      <c r="T128" s="34" t="s">
        <v>159</v>
      </c>
      <c r="U128" s="34"/>
      <c r="V128" s="34"/>
      <c r="W128" s="3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</row>
    <row r="129" spans="1:63" x14ac:dyDescent="0.25">
      <c r="A129" s="48"/>
      <c r="B129" s="28" t="s">
        <v>86</v>
      </c>
      <c r="C129" s="1"/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18">
        <f t="shared" si="4"/>
        <v>0</v>
      </c>
      <c r="Q129" s="89">
        <v>0</v>
      </c>
      <c r="R129" s="34"/>
      <c r="S129" s="34"/>
      <c r="T129" s="34"/>
      <c r="U129" s="34"/>
      <c r="V129" s="34"/>
      <c r="W129" s="3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</row>
    <row r="130" spans="1:63" x14ac:dyDescent="0.25">
      <c r="A130" s="48"/>
      <c r="B130" s="28" t="s">
        <v>54</v>
      </c>
      <c r="C130" s="1"/>
      <c r="D130" s="31">
        <v>8000</v>
      </c>
      <c r="E130" s="31">
        <v>8000</v>
      </c>
      <c r="F130" s="31">
        <v>8000</v>
      </c>
      <c r="G130" s="31">
        <v>8000</v>
      </c>
      <c r="H130" s="31">
        <v>8000</v>
      </c>
      <c r="I130" s="31">
        <v>8000</v>
      </c>
      <c r="J130" s="31">
        <v>0</v>
      </c>
      <c r="K130" s="31">
        <v>8000</v>
      </c>
      <c r="L130" s="31">
        <v>8000</v>
      </c>
      <c r="M130" s="31">
        <v>8000</v>
      </c>
      <c r="N130" s="31">
        <v>8000</v>
      </c>
      <c r="O130" s="31">
        <v>0</v>
      </c>
      <c r="P130" s="18">
        <f>SUM(D130:O130)</f>
        <v>80000</v>
      </c>
      <c r="Q130" s="89">
        <v>150000</v>
      </c>
      <c r="R130" s="34" t="s">
        <v>149</v>
      </c>
      <c r="S130" s="34"/>
      <c r="T130" s="34" t="s">
        <v>161</v>
      </c>
      <c r="U130" s="34" t="s">
        <v>162</v>
      </c>
      <c r="V130" s="34" t="s">
        <v>163</v>
      </c>
      <c r="W130" s="3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</row>
    <row r="131" spans="1:63" x14ac:dyDescent="0.25">
      <c r="A131" s="107" t="s">
        <v>53</v>
      </c>
      <c r="B131" s="107"/>
      <c r="C131" s="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18"/>
      <c r="Q131" s="89"/>
      <c r="R131" s="34"/>
      <c r="S131" s="34"/>
      <c r="T131" s="34" t="s">
        <v>164</v>
      </c>
      <c r="U131" s="34"/>
      <c r="V131" s="34"/>
      <c r="W131" s="3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</row>
    <row r="132" spans="1:63" x14ac:dyDescent="0.25">
      <c r="A132" s="59"/>
      <c r="B132" s="46" t="s">
        <v>17</v>
      </c>
      <c r="C132" s="1"/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18">
        <f t="shared" si="4"/>
        <v>0</v>
      </c>
      <c r="Q132" s="89">
        <v>24000</v>
      </c>
      <c r="R132" s="34" t="s">
        <v>165</v>
      </c>
      <c r="S132" s="34"/>
      <c r="T132" s="34"/>
      <c r="U132" s="34"/>
      <c r="V132" s="34"/>
      <c r="W132" s="3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</row>
    <row r="133" spans="1:63" x14ac:dyDescent="0.25">
      <c r="A133" s="59"/>
      <c r="B133" s="46" t="s">
        <v>18</v>
      </c>
      <c r="C133" s="1"/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18">
        <f t="shared" si="4"/>
        <v>0</v>
      </c>
      <c r="Q133" s="89">
        <v>0</v>
      </c>
      <c r="R133" s="61"/>
      <c r="S133" s="34"/>
      <c r="T133" s="34"/>
      <c r="U133" s="34"/>
      <c r="V133" s="34"/>
      <c r="W133" s="3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</row>
    <row r="134" spans="1:63" x14ac:dyDescent="0.25">
      <c r="A134" s="59"/>
      <c r="B134" s="46" t="s">
        <v>54</v>
      </c>
      <c r="C134" s="1"/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18">
        <f t="shared" si="4"/>
        <v>0</v>
      </c>
      <c r="Q134" s="89">
        <v>35000</v>
      </c>
      <c r="R134" s="34"/>
      <c r="S134" s="34"/>
      <c r="T134" s="34"/>
      <c r="U134" s="34"/>
      <c r="V134" s="34"/>
      <c r="W134" s="3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</row>
    <row r="135" spans="1:63" x14ac:dyDescent="0.25">
      <c r="A135" s="59"/>
      <c r="B135" s="46" t="s">
        <v>55</v>
      </c>
      <c r="C135" s="1"/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18">
        <f t="shared" si="4"/>
        <v>0</v>
      </c>
      <c r="Q135" s="89">
        <v>0</v>
      </c>
      <c r="R135" s="34"/>
      <c r="S135" s="34"/>
      <c r="T135" s="34"/>
      <c r="U135" s="34"/>
      <c r="V135" s="34"/>
      <c r="W135" s="3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</row>
    <row r="136" spans="1:63" x14ac:dyDescent="0.25">
      <c r="A136" s="107" t="s">
        <v>44</v>
      </c>
      <c r="B136" s="107"/>
      <c r="C136" s="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18">
        <f t="shared" si="4"/>
        <v>0</v>
      </c>
      <c r="Q136" s="89"/>
      <c r="R136" s="34"/>
      <c r="S136" s="34"/>
      <c r="T136" s="34"/>
      <c r="U136" s="34"/>
      <c r="V136" s="34"/>
      <c r="W136" s="35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</row>
    <row r="137" spans="1:63" x14ac:dyDescent="0.25">
      <c r="A137" s="85"/>
      <c r="B137" s="46" t="s">
        <v>130</v>
      </c>
      <c r="C137" s="1"/>
      <c r="D137" s="31">
        <v>0</v>
      </c>
      <c r="E137" s="31">
        <v>0</v>
      </c>
      <c r="F137" s="31"/>
      <c r="G137" s="31">
        <v>0</v>
      </c>
      <c r="H137" s="31">
        <v>10000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18">
        <f t="shared" ref="P137:P139" si="8">SUM(D137:O137)</f>
        <v>10000</v>
      </c>
      <c r="Q137" s="89">
        <v>10000</v>
      </c>
      <c r="R137" s="34"/>
      <c r="S137" s="34"/>
      <c r="T137" s="34"/>
      <c r="U137" s="34"/>
      <c r="V137" s="34"/>
      <c r="W137" s="35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</row>
    <row r="138" spans="1:63" x14ac:dyDescent="0.25">
      <c r="A138" s="85"/>
      <c r="B138" s="85"/>
      <c r="C138" s="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18">
        <f t="shared" si="8"/>
        <v>0</v>
      </c>
      <c r="Q138" s="89"/>
      <c r="R138" s="34"/>
      <c r="S138" s="34"/>
      <c r="T138" s="34"/>
      <c r="U138" s="34"/>
      <c r="V138" s="34"/>
      <c r="W138" s="35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</row>
    <row r="139" spans="1:63" x14ac:dyDescent="0.25">
      <c r="A139" s="51" t="s">
        <v>90</v>
      </c>
      <c r="B139" s="50"/>
      <c r="C139" s="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8">
        <f t="shared" si="8"/>
        <v>0</v>
      </c>
      <c r="Q139" s="89"/>
      <c r="R139" s="34"/>
      <c r="S139" s="34"/>
      <c r="T139" s="34"/>
      <c r="U139" s="34"/>
      <c r="V139" s="34"/>
      <c r="W139" s="35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</row>
    <row r="140" spans="1:63" x14ac:dyDescent="0.25">
      <c r="A140" s="51"/>
      <c r="B140" s="58"/>
      <c r="C140" s="1"/>
      <c r="D140" s="31">
        <v>10000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18">
        <f t="shared" ref="P140:P147" si="9">SUM(D140:O140)</f>
        <v>10000</v>
      </c>
      <c r="Q140" s="89">
        <v>0</v>
      </c>
      <c r="R140" s="34"/>
      <c r="S140" s="34"/>
      <c r="T140" s="34"/>
      <c r="U140" s="34"/>
      <c r="V140" s="34"/>
      <c r="W140" s="35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</row>
    <row r="141" spans="1:63" x14ac:dyDescent="0.25">
      <c r="A141" s="51"/>
      <c r="B141" s="50"/>
      <c r="C141" s="1"/>
      <c r="D141" s="31">
        <v>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18">
        <f t="shared" si="9"/>
        <v>0</v>
      </c>
      <c r="Q141" s="89"/>
      <c r="R141" s="34"/>
      <c r="S141" s="34"/>
      <c r="T141" s="34"/>
      <c r="U141" s="34"/>
      <c r="V141" s="34"/>
      <c r="W141" s="35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</row>
    <row r="142" spans="1:63" x14ac:dyDescent="0.25">
      <c r="A142" s="51"/>
      <c r="B142" s="50"/>
      <c r="C142" s="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18">
        <f t="shared" si="9"/>
        <v>0</v>
      </c>
      <c r="Q142" s="89"/>
      <c r="R142" s="34"/>
      <c r="S142" s="34"/>
      <c r="T142" s="34"/>
      <c r="U142" s="34"/>
      <c r="V142" s="34"/>
      <c r="W142" s="35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</row>
    <row r="143" spans="1:63" x14ac:dyDescent="0.25">
      <c r="A143" s="51"/>
      <c r="B143" s="50"/>
      <c r="C143" s="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18">
        <f t="shared" si="9"/>
        <v>0</v>
      </c>
      <c r="Q143" s="89"/>
      <c r="R143" s="34"/>
      <c r="S143" s="34"/>
      <c r="T143" s="34"/>
      <c r="U143" s="34"/>
      <c r="V143" s="34"/>
      <c r="W143" s="35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</row>
    <row r="144" spans="1:63" x14ac:dyDescent="0.25">
      <c r="A144" s="51"/>
      <c r="B144" s="50"/>
      <c r="C144" s="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18">
        <f t="shared" si="9"/>
        <v>0</v>
      </c>
      <c r="Q144" s="89"/>
      <c r="R144" s="34"/>
      <c r="S144" s="34"/>
      <c r="T144" s="34"/>
      <c r="U144" s="34"/>
      <c r="V144" s="34"/>
      <c r="W144" s="35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</row>
    <row r="145" spans="1:63" x14ac:dyDescent="0.25">
      <c r="A145" s="51"/>
      <c r="B145" s="50"/>
      <c r="C145" s="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18">
        <f t="shared" si="9"/>
        <v>0</v>
      </c>
      <c r="Q145" s="89"/>
      <c r="R145" s="34"/>
      <c r="S145" s="34"/>
      <c r="T145" s="34"/>
      <c r="U145" s="34"/>
      <c r="V145" s="34"/>
      <c r="W145" s="35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</row>
    <row r="146" spans="1:63" x14ac:dyDescent="0.25">
      <c r="A146" s="51"/>
      <c r="B146" s="50"/>
      <c r="C146" s="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18">
        <f t="shared" si="9"/>
        <v>0</v>
      </c>
      <c r="Q146" s="89"/>
      <c r="R146" s="34"/>
      <c r="S146" s="34"/>
      <c r="T146" s="34"/>
      <c r="U146" s="34"/>
      <c r="V146" s="34"/>
      <c r="W146" s="35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</row>
    <row r="147" spans="1:63" x14ac:dyDescent="0.25">
      <c r="A147" s="51"/>
      <c r="B147" s="50"/>
      <c r="C147" s="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18">
        <f t="shared" si="9"/>
        <v>0</v>
      </c>
      <c r="Q147" s="89"/>
      <c r="R147" s="34"/>
      <c r="S147" s="34"/>
      <c r="T147" s="34"/>
      <c r="U147" s="34"/>
      <c r="V147" s="34"/>
      <c r="W147" s="35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</row>
    <row r="148" spans="1:63" x14ac:dyDescent="0.25">
      <c r="A148" s="48"/>
      <c r="B148" s="48"/>
      <c r="C148" s="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18">
        <f>SUM(D148:O148)</f>
        <v>0</v>
      </c>
      <c r="Q148" s="94"/>
      <c r="R148" s="37"/>
      <c r="S148" s="37"/>
      <c r="T148" s="37"/>
      <c r="U148" s="37"/>
      <c r="V148" s="37"/>
      <c r="W148" s="38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</row>
    <row r="149" spans="1:63" x14ac:dyDescent="0.25">
      <c r="A149" s="10"/>
      <c r="B149" s="10"/>
      <c r="C149" s="3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91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</row>
    <row r="150" spans="1:63" ht="19.5" thickBot="1" x14ac:dyDescent="0.3">
      <c r="A150" s="11" t="s">
        <v>75</v>
      </c>
      <c r="B150" s="11"/>
      <c r="C150" s="1"/>
      <c r="D150" s="40">
        <f t="shared" ref="D150:O150" si="10">SUM(D52:D149)*-1</f>
        <v>-448113.66666666669</v>
      </c>
      <c r="E150" s="40">
        <f t="shared" si="10"/>
        <v>-579113.66666666674</v>
      </c>
      <c r="F150" s="40">
        <f t="shared" si="10"/>
        <v>-479613.66666666674</v>
      </c>
      <c r="G150" s="40">
        <f t="shared" si="10"/>
        <v>-510113.66666666669</v>
      </c>
      <c r="H150" s="40">
        <f t="shared" si="10"/>
        <v>-505612.66666666663</v>
      </c>
      <c r="I150" s="40">
        <f t="shared" si="10"/>
        <v>-503862.66666666663</v>
      </c>
      <c r="J150" s="40">
        <f t="shared" si="10"/>
        <v>-342362.66666666663</v>
      </c>
      <c r="K150" s="40">
        <f t="shared" si="10"/>
        <v>-456112.66666666663</v>
      </c>
      <c r="L150" s="40">
        <f t="shared" si="10"/>
        <v>-323113.66666666663</v>
      </c>
      <c r="M150" s="40">
        <f t="shared" si="10"/>
        <v>-504613.66666666663</v>
      </c>
      <c r="N150" s="40">
        <f t="shared" si="10"/>
        <v>-412613.66666666669</v>
      </c>
      <c r="O150" s="40">
        <f t="shared" si="10"/>
        <v>-416113.66666666663</v>
      </c>
      <c r="P150" s="41">
        <f>SUM(D150:O150)</f>
        <v>-5481360</v>
      </c>
      <c r="Q150" s="98">
        <f>SUM(Q52:Q148)</f>
        <v>5768896.0575000001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</row>
    <row r="151" spans="1:63" ht="16.5" thickTop="1" x14ac:dyDescent="0.25">
      <c r="A151" s="24" t="s">
        <v>73</v>
      </c>
      <c r="B151" s="5"/>
      <c r="C151" s="1"/>
      <c r="D151" s="53">
        <f>D150/$P$150</f>
        <v>8.1752278023458899E-2</v>
      </c>
      <c r="E151" s="53">
        <f t="shared" ref="E151:P151" si="11">E150/$P$150</f>
        <v>0.10565145632957272</v>
      </c>
      <c r="F151" s="53">
        <f t="shared" si="11"/>
        <v>8.7499027005463373E-2</v>
      </c>
      <c r="G151" s="53">
        <f t="shared" si="11"/>
        <v>9.3063339511848642E-2</v>
      </c>
      <c r="H151" s="53">
        <f t="shared" si="11"/>
        <v>9.2242192935086662E-2</v>
      </c>
      <c r="I151" s="53">
        <f t="shared" si="11"/>
        <v>9.1922929102753084E-2</v>
      </c>
      <c r="J151" s="53">
        <f t="shared" si="11"/>
        <v>6.2459438290253994E-2</v>
      </c>
      <c r="K151" s="53">
        <f t="shared" si="11"/>
        <v>8.3211587391936792E-2</v>
      </c>
      <c r="L151" s="53">
        <f t="shared" si="11"/>
        <v>5.8947718571060216E-2</v>
      </c>
      <c r="M151" s="53">
        <f t="shared" si="11"/>
        <v>9.2059938895943091E-2</v>
      </c>
      <c r="N151" s="53">
        <f t="shared" si="11"/>
        <v>7.5275783138977675E-2</v>
      </c>
      <c r="O151" s="53">
        <f t="shared" si="11"/>
        <v>7.591431080364483E-2</v>
      </c>
      <c r="P151" s="53">
        <f t="shared" si="11"/>
        <v>1</v>
      </c>
      <c r="Q151" s="91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</row>
    <row r="152" spans="1:63" ht="15.75" thickBot="1" x14ac:dyDescent="0.3">
      <c r="A152" s="5" t="s">
        <v>81</v>
      </c>
      <c r="B152" s="5"/>
      <c r="C152" s="1"/>
      <c r="D152" s="43">
        <f t="shared" ref="D152:O152" si="12">+D49+D150</f>
        <v>695286.33333333326</v>
      </c>
      <c r="E152" s="4">
        <f t="shared" si="12"/>
        <v>339286.33333333326</v>
      </c>
      <c r="F152" s="4">
        <f t="shared" si="12"/>
        <v>-135213.66666666674</v>
      </c>
      <c r="G152" s="4">
        <f t="shared" si="12"/>
        <v>-175713.66666666669</v>
      </c>
      <c r="H152" s="4">
        <f t="shared" si="12"/>
        <v>-51212.666666666628</v>
      </c>
      <c r="I152" s="4">
        <f t="shared" si="12"/>
        <v>-131962.66666666663</v>
      </c>
      <c r="J152" s="4">
        <f t="shared" si="12"/>
        <v>11537.333333333372</v>
      </c>
      <c r="K152" s="4">
        <f t="shared" si="12"/>
        <v>952287.33333333337</v>
      </c>
      <c r="L152" s="4">
        <f t="shared" si="12"/>
        <v>-141713.66666666663</v>
      </c>
      <c r="M152" s="4">
        <f t="shared" si="12"/>
        <v>-318213.66666666663</v>
      </c>
      <c r="N152" s="4">
        <f t="shared" si="12"/>
        <v>-388613.66666666669</v>
      </c>
      <c r="O152" s="4">
        <f t="shared" si="12"/>
        <v>76820.333333333372</v>
      </c>
      <c r="P152" s="42">
        <f>SUM(D152:O152)</f>
        <v>732574.00000000012</v>
      </c>
      <c r="Q152" s="91">
        <f>Q49-Q150</f>
        <v>495587.90476415027</v>
      </c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</row>
    <row r="153" spans="1:63" ht="15.75" thickTop="1" x14ac:dyDescent="0.25">
      <c r="A153" s="5"/>
      <c r="B153" s="5"/>
      <c r="C153" s="1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91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</row>
    <row r="154" spans="1:63" x14ac:dyDescent="0.25">
      <c r="A154" s="5"/>
      <c r="B154" s="5"/>
      <c r="C154" s="1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6"/>
      <c r="P154" s="6"/>
      <c r="Q154" s="91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</row>
    <row r="155" spans="1:63" x14ac:dyDescent="0.25">
      <c r="A155" s="5"/>
      <c r="B155" s="5"/>
      <c r="C155" s="1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6"/>
      <c r="P155" s="6"/>
      <c r="Q155" s="97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</row>
    <row r="156" spans="1:63" x14ac:dyDescent="0.25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1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</row>
    <row r="157" spans="1:63" x14ac:dyDescent="0.25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1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</row>
    <row r="158" spans="1:63" x14ac:dyDescent="0.25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1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</row>
    <row r="159" spans="1:63" x14ac:dyDescent="0.25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91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</row>
    <row r="160" spans="1:63" x14ac:dyDescent="0.25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91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</row>
    <row r="161" spans="4:63" x14ac:dyDescent="0.25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91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</row>
    <row r="162" spans="4:63" x14ac:dyDescent="0.25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91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</row>
    <row r="163" spans="4:63" x14ac:dyDescent="0.25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91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</row>
    <row r="164" spans="4:63" x14ac:dyDescent="0.25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91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</row>
    <row r="165" spans="4:63" x14ac:dyDescent="0.2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91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</row>
    <row r="166" spans="4:63" x14ac:dyDescent="0.25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91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</row>
    <row r="167" spans="4:63" x14ac:dyDescent="0.25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91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</row>
    <row r="168" spans="4:63" x14ac:dyDescent="0.25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91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</row>
    <row r="169" spans="4:63" x14ac:dyDescent="0.25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1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</row>
    <row r="170" spans="4:63" x14ac:dyDescent="0.25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91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</row>
    <row r="171" spans="4:63" x14ac:dyDescent="0.25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91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</row>
    <row r="172" spans="4:63" x14ac:dyDescent="0.2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91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</row>
    <row r="173" spans="4:63" x14ac:dyDescent="0.25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91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</row>
    <row r="174" spans="4:63" x14ac:dyDescent="0.25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91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</row>
    <row r="175" spans="4:63" x14ac:dyDescent="0.2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91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</row>
    <row r="176" spans="4:63" x14ac:dyDescent="0.25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91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</row>
    <row r="177" spans="4:63" x14ac:dyDescent="0.25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91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</row>
    <row r="178" spans="4:63" x14ac:dyDescent="0.25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91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</row>
    <row r="179" spans="4:63" x14ac:dyDescent="0.25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91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</row>
    <row r="180" spans="4:63" x14ac:dyDescent="0.25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91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</row>
    <row r="181" spans="4:63" x14ac:dyDescent="0.25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91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</row>
    <row r="182" spans="4:63" x14ac:dyDescent="0.25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91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</row>
    <row r="183" spans="4:63" x14ac:dyDescent="0.25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91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</row>
    <row r="184" spans="4:63" x14ac:dyDescent="0.2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91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</row>
    <row r="185" spans="4:63" x14ac:dyDescent="0.2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9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</row>
    <row r="186" spans="4:63" x14ac:dyDescent="0.25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91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</row>
    <row r="187" spans="4:63" x14ac:dyDescent="0.25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91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</row>
    <row r="188" spans="4:63" x14ac:dyDescent="0.25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91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</row>
    <row r="189" spans="4:63" x14ac:dyDescent="0.25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91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</row>
    <row r="190" spans="4:63" x14ac:dyDescent="0.25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91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</row>
    <row r="191" spans="4:63" x14ac:dyDescent="0.25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91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</row>
    <row r="192" spans="4:63" x14ac:dyDescent="0.25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91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</row>
    <row r="193" spans="4:63" x14ac:dyDescent="0.25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91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</row>
    <row r="194" spans="4:63" x14ac:dyDescent="0.25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91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</row>
    <row r="195" spans="4:63" x14ac:dyDescent="0.2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91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</row>
    <row r="196" spans="4:63" x14ac:dyDescent="0.25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91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</row>
    <row r="197" spans="4:63" x14ac:dyDescent="0.25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91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</row>
    <row r="198" spans="4:63" x14ac:dyDescent="0.25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1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</row>
    <row r="199" spans="4:63" x14ac:dyDescent="0.25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1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</row>
    <row r="200" spans="4:63" x14ac:dyDescent="0.25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1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</row>
    <row r="201" spans="4:63" x14ac:dyDescent="0.25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1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</row>
    <row r="202" spans="4:63" x14ac:dyDescent="0.25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1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</row>
    <row r="203" spans="4:63" x14ac:dyDescent="0.25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1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</row>
    <row r="204" spans="4:63" x14ac:dyDescent="0.25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</row>
    <row r="205" spans="4:63" x14ac:dyDescent="0.2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</row>
    <row r="206" spans="4:63" x14ac:dyDescent="0.25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</row>
    <row r="207" spans="4:63" x14ac:dyDescent="0.25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</row>
    <row r="208" spans="4:63" x14ac:dyDescent="0.25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</row>
    <row r="209" spans="4:63" x14ac:dyDescent="0.25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</row>
    <row r="210" spans="4:63" x14ac:dyDescent="0.25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</row>
    <row r="211" spans="4:63" x14ac:dyDescent="0.25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</row>
    <row r="212" spans="4:63" x14ac:dyDescent="0.25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</row>
    <row r="213" spans="4:63" x14ac:dyDescent="0.25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</row>
    <row r="214" spans="4:63" x14ac:dyDescent="0.25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</row>
    <row r="215" spans="4:63" x14ac:dyDescent="0.2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</row>
    <row r="216" spans="4:63" x14ac:dyDescent="0.25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</row>
    <row r="217" spans="4:63" x14ac:dyDescent="0.2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</row>
    <row r="218" spans="4:63" x14ac:dyDescent="0.25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</row>
    <row r="219" spans="4:63" x14ac:dyDescent="0.25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</row>
  </sheetData>
  <mergeCells count="40">
    <mergeCell ref="A131:B131"/>
    <mergeCell ref="A136:B136"/>
    <mergeCell ref="A104:B104"/>
    <mergeCell ref="A115:B115"/>
    <mergeCell ref="A116:B116"/>
    <mergeCell ref="A123:B123"/>
    <mergeCell ref="A117:B117"/>
    <mergeCell ref="A101:B101"/>
    <mergeCell ref="A34:B34"/>
    <mergeCell ref="A38:B38"/>
    <mergeCell ref="A39:B39"/>
    <mergeCell ref="A40:B40"/>
    <mergeCell ref="A96:B96"/>
    <mergeCell ref="A58:B58"/>
    <mergeCell ref="A67:B67"/>
    <mergeCell ref="A70:B70"/>
    <mergeCell ref="A74:B74"/>
    <mergeCell ref="A78:B78"/>
    <mergeCell ref="A79:B79"/>
    <mergeCell ref="A82:B82"/>
    <mergeCell ref="A60:B60"/>
    <mergeCell ref="A59:B59"/>
    <mergeCell ref="D4:P4"/>
    <mergeCell ref="D1:P2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54:B54"/>
    <mergeCell ref="A19:B19"/>
    <mergeCell ref="A20:B20"/>
    <mergeCell ref="A42:B42"/>
    <mergeCell ref="A48:B48"/>
    <mergeCell ref="A52:B52"/>
    <mergeCell ref="A53:B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FC01-0D4B-44A2-BA8C-26F1F5D1C150}">
  <sheetPr>
    <tabColor rgb="FFFFC000"/>
  </sheetPr>
  <dimension ref="A1:Q138"/>
  <sheetViews>
    <sheetView zoomScaleNormal="100" workbookViewId="0">
      <pane ySplit="1" topLeftCell="A110" activePane="bottomLeft" state="frozen"/>
      <selection pane="bottomLeft" activeCell="H131" sqref="H131"/>
    </sheetView>
  </sheetViews>
  <sheetFormatPr defaultRowHeight="15" x14ac:dyDescent="0.25"/>
  <cols>
    <col min="1" max="1" width="37.42578125" style="52" bestFit="1" customWidth="1"/>
    <col min="2" max="2" width="29" style="52" bestFit="1" customWidth="1"/>
    <col min="3" max="3" width="12.7109375" style="54" bestFit="1" customWidth="1"/>
    <col min="4" max="4" width="9.140625" style="52"/>
    <col min="5" max="5" width="9.140625" style="65"/>
    <col min="6" max="6" width="9.140625" style="52"/>
    <col min="7" max="7" width="8.140625" style="52" customWidth="1"/>
    <col min="8" max="8" width="32" style="52" customWidth="1"/>
    <col min="9" max="9" width="18.42578125" style="54" bestFit="1" customWidth="1"/>
    <col min="10" max="10" width="7.85546875" style="52" customWidth="1"/>
    <col min="11" max="11" width="9.140625" style="65"/>
    <col min="12" max="12" width="9.140625" style="52"/>
    <col min="13" max="13" width="37.42578125" style="55" bestFit="1" customWidth="1"/>
    <col min="14" max="14" width="9.85546875" style="52" bestFit="1" customWidth="1"/>
    <col min="15" max="16384" width="9.140625" style="52"/>
  </cols>
  <sheetData>
    <row r="1" spans="1:17" ht="18.75" x14ac:dyDescent="0.25">
      <c r="A1" s="75"/>
      <c r="B1" s="75"/>
      <c r="C1" s="76" t="s">
        <v>108</v>
      </c>
      <c r="D1" s="75"/>
      <c r="F1" s="75"/>
      <c r="G1" s="77"/>
      <c r="H1" s="77"/>
      <c r="I1" s="76" t="s">
        <v>104</v>
      </c>
      <c r="J1" s="75"/>
      <c r="L1" s="75"/>
      <c r="M1" s="78" t="s">
        <v>110</v>
      </c>
      <c r="N1" s="75"/>
      <c r="O1" s="75"/>
      <c r="P1" s="75"/>
      <c r="Q1" s="75"/>
    </row>
    <row r="2" spans="1:17" x14ac:dyDescent="0.25">
      <c r="G2" s="66"/>
      <c r="H2" s="66"/>
      <c r="I2" s="69"/>
    </row>
    <row r="3" spans="1:17" ht="18.75" x14ac:dyDescent="0.25">
      <c r="A3" s="52" t="s">
        <v>71</v>
      </c>
      <c r="G3" s="67" t="s">
        <v>71</v>
      </c>
      <c r="H3" s="67"/>
      <c r="I3" s="69"/>
    </row>
    <row r="4" spans="1:17" x14ac:dyDescent="0.25">
      <c r="A4" s="52" t="s">
        <v>91</v>
      </c>
      <c r="C4" s="54">
        <v>78400</v>
      </c>
      <c r="G4" s="113" t="s">
        <v>91</v>
      </c>
      <c r="H4" s="113"/>
      <c r="I4" s="69">
        <v>120000</v>
      </c>
      <c r="M4" s="55" t="str">
        <f>G4</f>
        <v>Medlemsavgifter (kto3410)</v>
      </c>
      <c r="N4" s="54">
        <f t="shared" ref="N4:N21" si="0">I4-C4</f>
        <v>41600</v>
      </c>
    </row>
    <row r="5" spans="1:17" x14ac:dyDescent="0.25">
      <c r="A5" s="52" t="s">
        <v>92</v>
      </c>
      <c r="C5" s="54">
        <v>2000000</v>
      </c>
      <c r="G5" s="113" t="s">
        <v>92</v>
      </c>
      <c r="H5" s="113"/>
      <c r="I5" s="69">
        <v>1900000</v>
      </c>
      <c r="M5" s="55" t="str">
        <f t="shared" ref="M5:M21" si="1">G5</f>
        <v>Aktivitetsavgfiter (kto 3420)</v>
      </c>
      <c r="N5" s="54">
        <f t="shared" si="0"/>
        <v>-100000</v>
      </c>
    </row>
    <row r="6" spans="1:17" x14ac:dyDescent="0.25">
      <c r="A6" s="52" t="s">
        <v>93</v>
      </c>
      <c r="C6" s="54">
        <v>354000</v>
      </c>
      <c r="G6" s="113" t="s">
        <v>93</v>
      </c>
      <c r="H6" s="113"/>
      <c r="I6" s="69">
        <v>450000</v>
      </c>
      <c r="M6" s="55" t="str">
        <f t="shared" si="1"/>
        <v>Akademiavgift (kto 3430)</v>
      </c>
      <c r="N6" s="54">
        <f t="shared" si="0"/>
        <v>96000</v>
      </c>
    </row>
    <row r="7" spans="1:17" x14ac:dyDescent="0.25">
      <c r="A7" s="52" t="s">
        <v>0</v>
      </c>
      <c r="C7" s="54">
        <v>378000</v>
      </c>
      <c r="G7" s="113" t="s">
        <v>0</v>
      </c>
      <c r="H7" s="113"/>
      <c r="I7" s="69">
        <v>378000</v>
      </c>
      <c r="M7" s="55" t="str">
        <f t="shared" si="1"/>
        <v>Kommunalt aktivitetsstöd</v>
      </c>
      <c r="N7" s="54">
        <f t="shared" si="0"/>
        <v>0</v>
      </c>
    </row>
    <row r="8" spans="1:17" x14ac:dyDescent="0.25">
      <c r="A8" s="52" t="s">
        <v>1</v>
      </c>
      <c r="C8" s="54">
        <v>500000</v>
      </c>
      <c r="G8" s="113" t="s">
        <v>1</v>
      </c>
      <c r="H8" s="113"/>
      <c r="I8" s="69">
        <v>500000</v>
      </c>
      <c r="M8" s="55" t="str">
        <f t="shared" si="1"/>
        <v>Statlig aktivitetsstöd</v>
      </c>
      <c r="N8" s="54">
        <f t="shared" si="0"/>
        <v>0</v>
      </c>
    </row>
    <row r="9" spans="1:17" x14ac:dyDescent="0.25">
      <c r="A9" s="52" t="s">
        <v>2</v>
      </c>
      <c r="C9" s="54">
        <v>50000</v>
      </c>
      <c r="G9" s="113" t="s">
        <v>2</v>
      </c>
      <c r="H9" s="113"/>
      <c r="I9" s="69">
        <v>50000</v>
      </c>
      <c r="M9" s="55" t="str">
        <f t="shared" si="1"/>
        <v>Hyresbidrag</v>
      </c>
      <c r="N9" s="54">
        <f t="shared" si="0"/>
        <v>0</v>
      </c>
    </row>
    <row r="10" spans="1:17" x14ac:dyDescent="0.25">
      <c r="A10" s="52" t="s">
        <v>3</v>
      </c>
      <c r="C10" s="54">
        <v>0</v>
      </c>
      <c r="G10" s="113" t="s">
        <v>3</v>
      </c>
      <c r="H10" s="113"/>
      <c r="I10" s="69"/>
      <c r="M10" s="55" t="str">
        <f t="shared" si="1"/>
        <v>Bidrag</v>
      </c>
      <c r="N10" s="54">
        <f t="shared" si="0"/>
        <v>0</v>
      </c>
    </row>
    <row r="11" spans="1:17" x14ac:dyDescent="0.25">
      <c r="A11" s="52" t="s">
        <v>4</v>
      </c>
      <c r="C11" s="54">
        <v>345000</v>
      </c>
      <c r="G11" s="113" t="s">
        <v>4</v>
      </c>
      <c r="H11" s="113"/>
      <c r="I11" s="69">
        <v>528000</v>
      </c>
      <c r="M11" s="55" t="str">
        <f t="shared" si="1"/>
        <v>Sponsring</v>
      </c>
      <c r="N11" s="82">
        <f t="shared" si="0"/>
        <v>183000</v>
      </c>
      <c r="P11" s="52" t="s">
        <v>126</v>
      </c>
    </row>
    <row r="12" spans="1:17" x14ac:dyDescent="0.25">
      <c r="A12" s="52" t="s">
        <v>5</v>
      </c>
      <c r="C12" s="54">
        <v>800000</v>
      </c>
      <c r="G12" s="113" t="s">
        <v>5</v>
      </c>
      <c r="H12" s="113"/>
      <c r="I12" s="69">
        <v>880000</v>
      </c>
      <c r="M12" s="55" t="str">
        <f t="shared" si="1"/>
        <v>Rabatthäften</v>
      </c>
      <c r="N12" s="64">
        <f t="shared" si="0"/>
        <v>80000</v>
      </c>
    </row>
    <row r="13" spans="1:17" x14ac:dyDescent="0.25">
      <c r="A13" s="52" t="s">
        <v>6</v>
      </c>
      <c r="C13" s="54">
        <v>230000</v>
      </c>
      <c r="M13" s="55">
        <f t="shared" si="1"/>
        <v>0</v>
      </c>
      <c r="N13" s="83">
        <f t="shared" si="0"/>
        <v>-230000</v>
      </c>
    </row>
    <row r="14" spans="1:17" x14ac:dyDescent="0.25">
      <c r="A14" s="52" t="s">
        <v>7</v>
      </c>
      <c r="C14" s="54">
        <v>0</v>
      </c>
      <c r="G14" s="113" t="s">
        <v>7</v>
      </c>
      <c r="H14" s="113"/>
      <c r="I14" s="69"/>
      <c r="M14" s="55" t="str">
        <f t="shared" si="1"/>
        <v>Spelarförsäljning</v>
      </c>
      <c r="N14" s="54">
        <f t="shared" si="0"/>
        <v>0</v>
      </c>
    </row>
    <row r="15" spans="1:17" x14ac:dyDescent="0.25">
      <c r="A15" s="52" t="s">
        <v>12</v>
      </c>
      <c r="C15" s="54">
        <v>20000</v>
      </c>
      <c r="G15" s="68" t="s">
        <v>12</v>
      </c>
      <c r="H15" s="68"/>
      <c r="I15" s="69">
        <v>0</v>
      </c>
      <c r="M15" s="55" t="str">
        <f t="shared" si="1"/>
        <v>Planhyra (lag)</v>
      </c>
      <c r="N15" s="54">
        <f t="shared" si="0"/>
        <v>-20000</v>
      </c>
    </row>
    <row r="16" spans="1:17" x14ac:dyDescent="0.25">
      <c r="A16" s="52" t="s">
        <v>8</v>
      </c>
      <c r="C16" s="54">
        <v>610000</v>
      </c>
      <c r="G16" s="68" t="s">
        <v>8</v>
      </c>
      <c r="H16" s="68"/>
      <c r="I16" s="69">
        <f>SUM('Årsbudget per månad'!P21:P33)</f>
        <v>746000</v>
      </c>
      <c r="M16" s="55" t="str">
        <f t="shared" si="1"/>
        <v>Camper</v>
      </c>
      <c r="N16" s="64">
        <f t="shared" si="0"/>
        <v>136000</v>
      </c>
    </row>
    <row r="17" spans="1:14" x14ac:dyDescent="0.25">
      <c r="A17" s="52" t="s">
        <v>9</v>
      </c>
      <c r="C17" s="54">
        <v>50000</v>
      </c>
      <c r="G17" s="68" t="s">
        <v>9</v>
      </c>
      <c r="H17" s="68"/>
      <c r="I17" s="69">
        <f>SUM('Årsbudget per månad'!P35:P36)</f>
        <v>120000</v>
      </c>
      <c r="M17" s="55" t="str">
        <f t="shared" si="1"/>
        <v>Cuper - anmälningsavgift</v>
      </c>
      <c r="N17" s="64">
        <f t="shared" si="0"/>
        <v>70000</v>
      </c>
    </row>
    <row r="18" spans="1:14" x14ac:dyDescent="0.25">
      <c r="A18" s="52" t="s">
        <v>10</v>
      </c>
      <c r="C18" s="54">
        <v>260000</v>
      </c>
      <c r="G18" s="68" t="s">
        <v>10</v>
      </c>
      <c r="H18" s="68"/>
      <c r="I18" s="69">
        <v>240000</v>
      </c>
      <c r="M18" s="55" t="str">
        <f t="shared" si="1"/>
        <v>Kioskförsäljning</v>
      </c>
      <c r="N18" s="54">
        <f t="shared" si="0"/>
        <v>-20000</v>
      </c>
    </row>
    <row r="19" spans="1:14" x14ac:dyDescent="0.25">
      <c r="A19" s="52" t="s">
        <v>11</v>
      </c>
      <c r="C19" s="54">
        <v>120000</v>
      </c>
      <c r="G19" s="68" t="s">
        <v>11</v>
      </c>
      <c r="H19" s="68"/>
      <c r="I19" s="69">
        <v>100000</v>
      </c>
      <c r="M19" s="55" t="str">
        <f t="shared" si="1"/>
        <v>Bingo alliansen</v>
      </c>
      <c r="N19" s="54">
        <f t="shared" si="0"/>
        <v>-20000</v>
      </c>
    </row>
    <row r="20" spans="1:14" x14ac:dyDescent="0.25">
      <c r="A20" s="52" t="s">
        <v>13</v>
      </c>
      <c r="C20" s="54">
        <v>0</v>
      </c>
      <c r="G20" s="68" t="s">
        <v>13</v>
      </c>
      <c r="H20" s="68"/>
      <c r="I20" s="69"/>
      <c r="M20" s="55" t="str">
        <f t="shared" si="1"/>
        <v>Lagförsäljning</v>
      </c>
      <c r="N20" s="54">
        <f t="shared" si="0"/>
        <v>0</v>
      </c>
    </row>
    <row r="21" spans="1:14" x14ac:dyDescent="0.25">
      <c r="A21" s="52" t="s">
        <v>84</v>
      </c>
      <c r="C21" s="54">
        <v>30000</v>
      </c>
      <c r="G21" s="68" t="s">
        <v>84</v>
      </c>
      <c r="H21" s="68"/>
      <c r="I21" s="69">
        <v>30000</v>
      </c>
      <c r="M21" s="55" t="str">
        <f t="shared" si="1"/>
        <v>Övrigt (Svenska spel)</v>
      </c>
      <c r="N21" s="54">
        <f t="shared" si="0"/>
        <v>0</v>
      </c>
    </row>
    <row r="22" spans="1:14" x14ac:dyDescent="0.25">
      <c r="C22" s="57"/>
      <c r="G22" s="68"/>
      <c r="H22" s="68"/>
      <c r="I22" s="69"/>
    </row>
    <row r="23" spans="1:14" x14ac:dyDescent="0.25">
      <c r="B23" s="55" t="s">
        <v>109</v>
      </c>
      <c r="C23" s="56">
        <f>SUM(C4:C21)</f>
        <v>5825400</v>
      </c>
      <c r="G23" s="68"/>
      <c r="H23" s="68" t="s">
        <v>109</v>
      </c>
      <c r="I23" s="70">
        <f>SUM(I4:I21)</f>
        <v>6042000</v>
      </c>
      <c r="M23" s="55" t="s">
        <v>109</v>
      </c>
      <c r="N23" s="54">
        <f>I23-C23</f>
        <v>216600</v>
      </c>
    </row>
    <row r="24" spans="1:14" x14ac:dyDescent="0.25">
      <c r="G24" s="68"/>
    </row>
    <row r="25" spans="1:14" x14ac:dyDescent="0.25">
      <c r="G25" s="68"/>
      <c r="H25" s="68"/>
      <c r="I25" s="69"/>
    </row>
    <row r="26" spans="1:14" s="65" customFormat="1" x14ac:dyDescent="0.25">
      <c r="C26" s="71"/>
      <c r="G26" s="72"/>
      <c r="H26" s="72"/>
      <c r="I26" s="73"/>
      <c r="M26" s="74"/>
    </row>
    <row r="27" spans="1:14" x14ac:dyDescent="0.25">
      <c r="G27" s="68"/>
      <c r="H27" s="68"/>
      <c r="I27" s="69"/>
    </row>
    <row r="28" spans="1:14" x14ac:dyDescent="0.25">
      <c r="G28" s="113"/>
      <c r="H28" s="113"/>
      <c r="I28" s="69"/>
    </row>
    <row r="30" spans="1:14" x14ac:dyDescent="0.25">
      <c r="A30" s="55" t="s">
        <v>74</v>
      </c>
      <c r="G30" s="55" t="s">
        <v>74</v>
      </c>
    </row>
    <row r="31" spans="1:14" x14ac:dyDescent="0.25">
      <c r="A31" s="52" t="s">
        <v>95</v>
      </c>
      <c r="C31" s="54">
        <v>250000</v>
      </c>
      <c r="G31" s="52" t="s">
        <v>95</v>
      </c>
      <c r="I31" s="54">
        <v>250000</v>
      </c>
      <c r="M31" s="55" t="str">
        <f>G31</f>
        <v>Serie- o  cupavgifter (4020)</v>
      </c>
      <c r="N31" s="54">
        <f>I31-C31</f>
        <v>0</v>
      </c>
    </row>
    <row r="32" spans="1:14" x14ac:dyDescent="0.25">
      <c r="A32" s="52" t="s">
        <v>94</v>
      </c>
      <c r="C32" s="54">
        <v>300000</v>
      </c>
      <c r="G32" s="52" t="s">
        <v>94</v>
      </c>
      <c r="I32" s="54">
        <v>250000</v>
      </c>
      <c r="M32" s="55" t="str">
        <f t="shared" ref="M32:M103" si="2">G32</f>
        <v>Domarkostnader (kto 4010,4011,4012)</v>
      </c>
      <c r="N32" s="54">
        <f t="shared" ref="N32:N103" si="3">I32-C32</f>
        <v>-50000</v>
      </c>
    </row>
    <row r="33" spans="1:14" x14ac:dyDescent="0.25">
      <c r="A33" s="52" t="s">
        <v>14</v>
      </c>
      <c r="G33" s="52" t="s">
        <v>14</v>
      </c>
      <c r="M33" s="55" t="str">
        <f t="shared" si="2"/>
        <v xml:space="preserve">Rese/kost/logikostnader </v>
      </c>
      <c r="N33" s="54">
        <f t="shared" si="3"/>
        <v>0</v>
      </c>
    </row>
    <row r="34" spans="1:14" x14ac:dyDescent="0.25">
      <c r="B34" s="52" t="s">
        <v>17</v>
      </c>
      <c r="C34" s="54">
        <v>32000</v>
      </c>
      <c r="H34" s="52" t="s">
        <v>17</v>
      </c>
      <c r="I34" s="54">
        <v>100000</v>
      </c>
      <c r="M34" s="55">
        <f t="shared" si="2"/>
        <v>0</v>
      </c>
      <c r="N34" s="54">
        <f t="shared" si="3"/>
        <v>68000</v>
      </c>
    </row>
    <row r="35" spans="1:14" x14ac:dyDescent="0.25">
      <c r="B35" s="52" t="s">
        <v>18</v>
      </c>
      <c r="C35" s="54">
        <v>0</v>
      </c>
      <c r="H35" s="52" t="s">
        <v>18</v>
      </c>
      <c r="I35" s="54">
        <v>22000</v>
      </c>
      <c r="M35" s="55">
        <f t="shared" si="2"/>
        <v>0</v>
      </c>
      <c r="N35" s="54">
        <f t="shared" si="3"/>
        <v>22000</v>
      </c>
    </row>
    <row r="36" spans="1:14" x14ac:dyDescent="0.25">
      <c r="B36" s="52" t="s">
        <v>24</v>
      </c>
      <c r="C36" s="54">
        <v>32000</v>
      </c>
      <c r="H36" s="52" t="s">
        <v>24</v>
      </c>
      <c r="I36" s="54">
        <v>190000</v>
      </c>
      <c r="M36" s="55">
        <f t="shared" si="2"/>
        <v>0</v>
      </c>
      <c r="N36" s="54">
        <f t="shared" si="3"/>
        <v>158000</v>
      </c>
    </row>
    <row r="37" spans="1:14" x14ac:dyDescent="0.25">
      <c r="A37" s="52" t="s">
        <v>97</v>
      </c>
      <c r="C37" s="54">
        <v>362600</v>
      </c>
      <c r="G37" s="52" t="s">
        <v>97</v>
      </c>
      <c r="I37" s="54">
        <v>400000</v>
      </c>
      <c r="M37" s="55" t="str">
        <f t="shared" si="2"/>
        <v>Plankostnader (kto 4080)</v>
      </c>
      <c r="N37" s="54">
        <f t="shared" si="3"/>
        <v>37400</v>
      </c>
    </row>
    <row r="38" spans="1:14" x14ac:dyDescent="0.25">
      <c r="A38" s="52" t="s">
        <v>15</v>
      </c>
      <c r="M38" s="55">
        <f t="shared" si="2"/>
        <v>0</v>
      </c>
      <c r="N38" s="54">
        <f t="shared" si="3"/>
        <v>0</v>
      </c>
    </row>
    <row r="39" spans="1:14" x14ac:dyDescent="0.25">
      <c r="B39" s="52" t="s">
        <v>16</v>
      </c>
      <c r="C39" s="54">
        <v>0</v>
      </c>
      <c r="M39" s="55">
        <f t="shared" si="2"/>
        <v>0</v>
      </c>
      <c r="N39" s="54">
        <f t="shared" si="3"/>
        <v>0</v>
      </c>
    </row>
    <row r="40" spans="1:14" x14ac:dyDescent="0.25">
      <c r="B40" s="52" t="s">
        <v>17</v>
      </c>
      <c r="C40" s="54">
        <v>60000</v>
      </c>
      <c r="M40" s="55">
        <f t="shared" si="2"/>
        <v>0</v>
      </c>
      <c r="N40" s="54">
        <f t="shared" si="3"/>
        <v>-60000</v>
      </c>
    </row>
    <row r="41" spans="1:14" x14ac:dyDescent="0.25">
      <c r="B41" s="52" t="s">
        <v>18</v>
      </c>
      <c r="C41" s="54">
        <v>40000</v>
      </c>
      <c r="M41" s="55">
        <f t="shared" si="2"/>
        <v>0</v>
      </c>
      <c r="N41" s="54">
        <f t="shared" si="3"/>
        <v>-40000</v>
      </c>
    </row>
    <row r="42" spans="1:14" x14ac:dyDescent="0.25">
      <c r="A42" s="52" t="s">
        <v>77</v>
      </c>
      <c r="G42" s="52" t="s">
        <v>77</v>
      </c>
      <c r="M42" s="55" t="str">
        <f t="shared" si="2"/>
        <v>Materialkostnader</v>
      </c>
      <c r="N42" s="54">
        <f t="shared" si="3"/>
        <v>0</v>
      </c>
    </row>
    <row r="43" spans="1:14" x14ac:dyDescent="0.25">
      <c r="B43" s="52" t="s">
        <v>79</v>
      </c>
      <c r="C43" s="54">
        <v>215000</v>
      </c>
      <c r="H43" s="52" t="s">
        <v>79</v>
      </c>
      <c r="I43" s="54">
        <v>166000</v>
      </c>
      <c r="M43" s="55">
        <f t="shared" si="2"/>
        <v>0</v>
      </c>
      <c r="N43" s="54">
        <f t="shared" si="3"/>
        <v>-49000</v>
      </c>
    </row>
    <row r="44" spans="1:14" x14ac:dyDescent="0.25">
      <c r="B44" s="52" t="s">
        <v>17</v>
      </c>
      <c r="C44" s="54">
        <v>150000</v>
      </c>
      <c r="H44" s="52" t="s">
        <v>17</v>
      </c>
      <c r="I44" s="54">
        <v>40000</v>
      </c>
      <c r="M44" s="55">
        <f t="shared" si="2"/>
        <v>0</v>
      </c>
      <c r="N44" s="54">
        <f t="shared" si="3"/>
        <v>-110000</v>
      </c>
    </row>
    <row r="45" spans="1:14" x14ac:dyDescent="0.25">
      <c r="B45" s="52" t="s">
        <v>18</v>
      </c>
      <c r="C45" s="54">
        <v>80000</v>
      </c>
      <c r="H45" s="52" t="s">
        <v>99</v>
      </c>
      <c r="I45" s="54">
        <v>40000</v>
      </c>
      <c r="M45" s="55">
        <f t="shared" si="2"/>
        <v>0</v>
      </c>
      <c r="N45" s="54">
        <f t="shared" si="3"/>
        <v>-40000</v>
      </c>
    </row>
    <row r="46" spans="1:14" x14ac:dyDescent="0.25">
      <c r="B46" s="52" t="s">
        <v>27</v>
      </c>
      <c r="C46" s="54">
        <v>60000</v>
      </c>
      <c r="H46" s="52" t="s">
        <v>18</v>
      </c>
      <c r="I46" s="54">
        <v>30000</v>
      </c>
      <c r="M46" s="55">
        <f t="shared" si="2"/>
        <v>0</v>
      </c>
      <c r="N46" s="54">
        <f t="shared" si="3"/>
        <v>-30000</v>
      </c>
    </row>
    <row r="47" spans="1:14" x14ac:dyDescent="0.25">
      <c r="H47" s="52" t="s">
        <v>103</v>
      </c>
      <c r="I47" s="54">
        <v>32000</v>
      </c>
      <c r="M47" s="55">
        <f t="shared" si="2"/>
        <v>0</v>
      </c>
      <c r="N47" s="54">
        <f t="shared" si="3"/>
        <v>32000</v>
      </c>
    </row>
    <row r="48" spans="1:14" x14ac:dyDescent="0.25">
      <c r="H48" s="52" t="s">
        <v>27</v>
      </c>
      <c r="I48" s="54">
        <v>28000</v>
      </c>
      <c r="M48" s="55">
        <f t="shared" si="2"/>
        <v>0</v>
      </c>
      <c r="N48" s="54">
        <f t="shared" si="3"/>
        <v>28000</v>
      </c>
    </row>
    <row r="49" spans="1:16" x14ac:dyDescent="0.25">
      <c r="A49" s="52" t="s">
        <v>19</v>
      </c>
      <c r="G49" s="52" t="s">
        <v>19</v>
      </c>
      <c r="M49" s="55" t="str">
        <f t="shared" si="2"/>
        <v>Träningsläger</v>
      </c>
      <c r="N49" s="54">
        <f t="shared" si="3"/>
        <v>0</v>
      </c>
    </row>
    <row r="50" spans="1:16" x14ac:dyDescent="0.25">
      <c r="B50" s="52" t="s">
        <v>17</v>
      </c>
      <c r="C50" s="54">
        <v>25000</v>
      </c>
      <c r="H50" s="52" t="s">
        <v>17</v>
      </c>
      <c r="I50" s="54">
        <v>40000</v>
      </c>
      <c r="M50" s="55">
        <f t="shared" si="2"/>
        <v>0</v>
      </c>
      <c r="N50" s="54">
        <f t="shared" si="3"/>
        <v>15000</v>
      </c>
    </row>
    <row r="51" spans="1:16" x14ac:dyDescent="0.25">
      <c r="B51" s="52" t="s">
        <v>98</v>
      </c>
      <c r="C51" s="54">
        <v>30000</v>
      </c>
      <c r="H51" s="52" t="s">
        <v>98</v>
      </c>
      <c r="I51" s="54">
        <v>30000</v>
      </c>
      <c r="M51" s="55">
        <f t="shared" si="2"/>
        <v>0</v>
      </c>
      <c r="N51" s="54">
        <f t="shared" si="3"/>
        <v>0</v>
      </c>
    </row>
    <row r="52" spans="1:16" x14ac:dyDescent="0.25">
      <c r="A52" s="52" t="s">
        <v>20</v>
      </c>
      <c r="G52" s="52" t="s">
        <v>20</v>
      </c>
      <c r="M52" s="55" t="str">
        <f t="shared" si="2"/>
        <v xml:space="preserve">Sjukvård </v>
      </c>
      <c r="N52" s="54">
        <f t="shared" si="3"/>
        <v>0</v>
      </c>
    </row>
    <row r="53" spans="1:16" x14ac:dyDescent="0.25">
      <c r="H53" s="52" t="s">
        <v>79</v>
      </c>
      <c r="I53" s="54">
        <v>5000</v>
      </c>
      <c r="M53" s="55">
        <f t="shared" si="2"/>
        <v>0</v>
      </c>
      <c r="N53" s="54">
        <f t="shared" si="3"/>
        <v>5000</v>
      </c>
    </row>
    <row r="54" spans="1:16" x14ac:dyDescent="0.25">
      <c r="B54" s="52" t="s">
        <v>17</v>
      </c>
      <c r="C54" s="54">
        <v>0</v>
      </c>
      <c r="H54" s="52" t="s">
        <v>17</v>
      </c>
      <c r="I54" s="54">
        <v>0</v>
      </c>
      <c r="M54" s="55">
        <f t="shared" si="2"/>
        <v>0</v>
      </c>
      <c r="N54" s="54">
        <f t="shared" si="3"/>
        <v>0</v>
      </c>
    </row>
    <row r="55" spans="1:16" x14ac:dyDescent="0.25">
      <c r="B55" s="52" t="s">
        <v>18</v>
      </c>
      <c r="C55" s="54">
        <v>0</v>
      </c>
      <c r="H55" s="52" t="s">
        <v>18</v>
      </c>
      <c r="I55" s="54">
        <v>0</v>
      </c>
      <c r="M55" s="55">
        <f t="shared" si="2"/>
        <v>0</v>
      </c>
      <c r="N55" s="54">
        <f t="shared" si="3"/>
        <v>0</v>
      </c>
    </row>
    <row r="56" spans="1:16" x14ac:dyDescent="0.25">
      <c r="A56" s="52" t="s">
        <v>21</v>
      </c>
      <c r="G56" s="52" t="s">
        <v>21</v>
      </c>
      <c r="M56" s="55" t="str">
        <f t="shared" si="2"/>
        <v xml:space="preserve">Övriga träningskostnader </v>
      </c>
      <c r="N56" s="54">
        <f t="shared" si="3"/>
        <v>0</v>
      </c>
    </row>
    <row r="57" spans="1:16" x14ac:dyDescent="0.25">
      <c r="B57" s="52" t="s">
        <v>17</v>
      </c>
      <c r="C57" s="54">
        <v>8000</v>
      </c>
      <c r="H57" s="52" t="s">
        <v>17</v>
      </c>
      <c r="I57" s="54">
        <v>8000</v>
      </c>
      <c r="M57" s="55">
        <f t="shared" si="2"/>
        <v>0</v>
      </c>
      <c r="N57" s="54">
        <f t="shared" si="3"/>
        <v>0</v>
      </c>
    </row>
    <row r="58" spans="1:16" x14ac:dyDescent="0.25">
      <c r="B58" s="52" t="s">
        <v>18</v>
      </c>
      <c r="C58" s="54">
        <v>8000</v>
      </c>
      <c r="H58" s="52" t="s">
        <v>18</v>
      </c>
      <c r="I58" s="54">
        <v>8000</v>
      </c>
      <c r="M58" s="55">
        <f t="shared" si="2"/>
        <v>0</v>
      </c>
      <c r="N58" s="54">
        <f t="shared" si="3"/>
        <v>0</v>
      </c>
    </row>
    <row r="59" spans="1:16" x14ac:dyDescent="0.25">
      <c r="B59" s="52" t="s">
        <v>22</v>
      </c>
      <c r="C59" s="54">
        <v>24000</v>
      </c>
      <c r="H59" s="52" t="s">
        <v>22</v>
      </c>
      <c r="I59" s="54">
        <v>36000</v>
      </c>
      <c r="M59" s="55">
        <f t="shared" si="2"/>
        <v>0</v>
      </c>
      <c r="N59" s="54">
        <f>I59-C59</f>
        <v>12000</v>
      </c>
    </row>
    <row r="60" spans="1:16" x14ac:dyDescent="0.25">
      <c r="A60" s="52" t="s">
        <v>80</v>
      </c>
      <c r="G60" s="52" t="s">
        <v>80</v>
      </c>
      <c r="I60" s="54">
        <v>0</v>
      </c>
      <c r="M60" s="55" t="str">
        <f t="shared" si="2"/>
        <v xml:space="preserve">Övriga verkamhetsrelaterade kostnader </v>
      </c>
      <c r="N60" s="54">
        <f t="shared" si="3"/>
        <v>0</v>
      </c>
    </row>
    <row r="61" spans="1:16" x14ac:dyDescent="0.25">
      <c r="A61" s="52" t="s">
        <v>23</v>
      </c>
      <c r="G61" s="52" t="s">
        <v>105</v>
      </c>
      <c r="M61" s="55" t="str">
        <f t="shared" si="2"/>
        <v xml:space="preserve">Arrangemang - Cuper </v>
      </c>
      <c r="N61" s="54">
        <f t="shared" si="3"/>
        <v>0</v>
      </c>
    </row>
    <row r="62" spans="1:16" x14ac:dyDescent="0.25">
      <c r="B62" s="52" t="s">
        <v>25</v>
      </c>
      <c r="C62" s="54">
        <v>0</v>
      </c>
      <c r="H62" s="52" t="s">
        <v>25</v>
      </c>
      <c r="I62" s="54">
        <v>10000</v>
      </c>
      <c r="M62" s="55">
        <f t="shared" si="2"/>
        <v>0</v>
      </c>
      <c r="N62" s="54">
        <f t="shared" si="3"/>
        <v>10000</v>
      </c>
    </row>
    <row r="63" spans="1:16" x14ac:dyDescent="0.25">
      <c r="B63" s="52" t="s">
        <v>26</v>
      </c>
      <c r="C63" s="54">
        <v>10000</v>
      </c>
      <c r="H63" s="52" t="s">
        <v>26</v>
      </c>
      <c r="I63" s="54">
        <v>10000</v>
      </c>
      <c r="M63" s="55">
        <f t="shared" si="2"/>
        <v>0</v>
      </c>
      <c r="N63" s="54">
        <f t="shared" si="3"/>
        <v>0</v>
      </c>
    </row>
    <row r="64" spans="1:16" x14ac:dyDescent="0.25">
      <c r="A64" s="52" t="s">
        <v>27</v>
      </c>
      <c r="G64" s="52" t="s">
        <v>125</v>
      </c>
      <c r="M64" s="55" t="str">
        <f t="shared" si="2"/>
        <v>Camp mat</v>
      </c>
      <c r="N64" s="82">
        <f>SUM(I65:I77)-SUM(C65:C70)</f>
        <v>-80400</v>
      </c>
      <c r="P64" s="52" t="s">
        <v>127</v>
      </c>
    </row>
    <row r="65" spans="1:14" x14ac:dyDescent="0.25">
      <c r="B65" s="52" t="s">
        <v>28</v>
      </c>
      <c r="C65" s="54">
        <v>0</v>
      </c>
      <c r="H65" s="80" t="s">
        <v>28</v>
      </c>
      <c r="I65" s="81">
        <v>7500</v>
      </c>
      <c r="N65" s="54"/>
    </row>
    <row r="66" spans="1:14" x14ac:dyDescent="0.25">
      <c r="B66" s="52" t="s">
        <v>29</v>
      </c>
      <c r="C66" s="54">
        <v>59750</v>
      </c>
      <c r="H66" s="80" t="s">
        <v>111</v>
      </c>
      <c r="I66" s="81">
        <v>7500</v>
      </c>
      <c r="N66" s="54"/>
    </row>
    <row r="67" spans="1:14" x14ac:dyDescent="0.25">
      <c r="B67" s="52" t="s">
        <v>30</v>
      </c>
      <c r="C67" s="54">
        <v>59750</v>
      </c>
      <c r="H67" s="80" t="s">
        <v>112</v>
      </c>
      <c r="I67" s="81">
        <v>25000</v>
      </c>
      <c r="N67" s="54"/>
    </row>
    <row r="68" spans="1:14" x14ac:dyDescent="0.25">
      <c r="B68" s="52" t="s">
        <v>31</v>
      </c>
      <c r="C68" s="54">
        <v>30500</v>
      </c>
      <c r="H68" s="80" t="s">
        <v>113</v>
      </c>
      <c r="I68" s="81">
        <v>15000</v>
      </c>
      <c r="N68" s="54"/>
    </row>
    <row r="69" spans="1:14" x14ac:dyDescent="0.25">
      <c r="B69" s="52" t="s">
        <v>32</v>
      </c>
      <c r="C69" s="54">
        <v>28650</v>
      </c>
      <c r="H69" s="80" t="s">
        <v>114</v>
      </c>
      <c r="I69" s="81">
        <v>23000</v>
      </c>
      <c r="N69" s="54"/>
    </row>
    <row r="70" spans="1:14" x14ac:dyDescent="0.25">
      <c r="B70" s="52" t="s">
        <v>85</v>
      </c>
      <c r="C70" s="54">
        <v>59750</v>
      </c>
      <c r="H70" s="80" t="s">
        <v>115</v>
      </c>
      <c r="I70" s="81">
        <v>13000</v>
      </c>
      <c r="N70" s="54"/>
    </row>
    <row r="71" spans="1:14" x14ac:dyDescent="0.25">
      <c r="H71" s="80" t="s">
        <v>116</v>
      </c>
      <c r="I71" s="81">
        <v>8000</v>
      </c>
      <c r="N71" s="54"/>
    </row>
    <row r="72" spans="1:14" x14ac:dyDescent="0.25">
      <c r="H72" s="80" t="s">
        <v>117</v>
      </c>
      <c r="I72" s="81">
        <v>8000</v>
      </c>
      <c r="N72" s="54"/>
    </row>
    <row r="73" spans="1:14" x14ac:dyDescent="0.25">
      <c r="H73" s="80" t="s">
        <v>118</v>
      </c>
      <c r="I73" s="81">
        <v>23000</v>
      </c>
      <c r="N73" s="54"/>
    </row>
    <row r="74" spans="1:14" x14ac:dyDescent="0.25">
      <c r="H74" s="80" t="s">
        <v>119</v>
      </c>
      <c r="I74" s="81">
        <v>13000</v>
      </c>
      <c r="N74" s="54"/>
    </row>
    <row r="75" spans="1:14" x14ac:dyDescent="0.25">
      <c r="H75" s="80" t="s">
        <v>120</v>
      </c>
      <c r="I75" s="81">
        <v>0</v>
      </c>
    </row>
    <row r="76" spans="1:14" x14ac:dyDescent="0.25">
      <c r="H76" s="80" t="s">
        <v>32</v>
      </c>
      <c r="I76" s="81">
        <v>7500</v>
      </c>
    </row>
    <row r="77" spans="1:14" x14ac:dyDescent="0.25">
      <c r="H77" s="52" t="s">
        <v>121</v>
      </c>
      <c r="I77" s="81">
        <v>7500</v>
      </c>
    </row>
    <row r="78" spans="1:14" x14ac:dyDescent="0.25">
      <c r="N78" s="54"/>
    </row>
    <row r="79" spans="1:14" x14ac:dyDescent="0.25">
      <c r="A79" s="52" t="s">
        <v>33</v>
      </c>
      <c r="G79" s="52" t="s">
        <v>33</v>
      </c>
      <c r="M79" s="55" t="str">
        <f t="shared" si="2"/>
        <v xml:space="preserve">Övriga arragemang </v>
      </c>
      <c r="N79" s="54">
        <f t="shared" si="3"/>
        <v>0</v>
      </c>
    </row>
    <row r="80" spans="1:14" x14ac:dyDescent="0.25">
      <c r="B80" s="52" t="s">
        <v>34</v>
      </c>
      <c r="C80" s="54">
        <v>10000</v>
      </c>
      <c r="H80" s="52" t="s">
        <v>34</v>
      </c>
      <c r="I80" s="54">
        <v>10000</v>
      </c>
      <c r="M80" s="55">
        <f t="shared" si="2"/>
        <v>0</v>
      </c>
      <c r="N80" s="54">
        <f t="shared" si="3"/>
        <v>0</v>
      </c>
    </row>
    <row r="81" spans="1:14" x14ac:dyDescent="0.25">
      <c r="B81" s="52" t="s">
        <v>35</v>
      </c>
      <c r="C81" s="54">
        <v>10000</v>
      </c>
      <c r="H81" s="52" t="s">
        <v>35</v>
      </c>
      <c r="I81" s="54">
        <v>10000</v>
      </c>
      <c r="M81" s="55">
        <f t="shared" si="2"/>
        <v>0</v>
      </c>
      <c r="N81" s="54">
        <f t="shared" si="3"/>
        <v>0</v>
      </c>
    </row>
    <row r="82" spans="1:14" x14ac:dyDescent="0.25">
      <c r="H82" s="52" t="s">
        <v>101</v>
      </c>
      <c r="I82" s="54">
        <v>10000</v>
      </c>
      <c r="M82" s="55">
        <f t="shared" si="2"/>
        <v>0</v>
      </c>
      <c r="N82" s="54">
        <f t="shared" si="3"/>
        <v>10000</v>
      </c>
    </row>
    <row r="83" spans="1:14" x14ac:dyDescent="0.25">
      <c r="H83" s="52" t="s">
        <v>102</v>
      </c>
      <c r="I83" s="54">
        <v>10000</v>
      </c>
      <c r="M83" s="55">
        <f t="shared" si="2"/>
        <v>0</v>
      </c>
      <c r="N83" s="54">
        <f t="shared" si="3"/>
        <v>10000</v>
      </c>
    </row>
    <row r="84" spans="1:14" x14ac:dyDescent="0.25">
      <c r="A84" s="52" t="s">
        <v>87</v>
      </c>
      <c r="G84" s="52" t="s">
        <v>87</v>
      </c>
      <c r="M84" s="55" t="str">
        <f t="shared" si="2"/>
        <v>Kiosk</v>
      </c>
      <c r="N84" s="54">
        <f t="shared" si="3"/>
        <v>0</v>
      </c>
    </row>
    <row r="85" spans="1:14" x14ac:dyDescent="0.25">
      <c r="B85" s="52" t="s">
        <v>88</v>
      </c>
      <c r="C85" s="54">
        <v>100000</v>
      </c>
      <c r="H85" s="52" t="s">
        <v>88</v>
      </c>
      <c r="I85" s="54">
        <v>170000</v>
      </c>
      <c r="M85" s="55">
        <f t="shared" si="2"/>
        <v>0</v>
      </c>
      <c r="N85" s="54">
        <f t="shared" si="3"/>
        <v>70000</v>
      </c>
    </row>
    <row r="86" spans="1:14" x14ac:dyDescent="0.25">
      <c r="B86" s="52" t="s">
        <v>89</v>
      </c>
      <c r="C86" s="54">
        <v>10000</v>
      </c>
      <c r="H86" s="52" t="s">
        <v>89</v>
      </c>
      <c r="I86" s="54">
        <v>10000</v>
      </c>
      <c r="M86" s="55">
        <f t="shared" si="2"/>
        <v>0</v>
      </c>
      <c r="N86" s="54">
        <f t="shared" si="3"/>
        <v>0</v>
      </c>
    </row>
    <row r="87" spans="1:14" x14ac:dyDescent="0.25">
      <c r="A87" s="52" t="s">
        <v>36</v>
      </c>
      <c r="G87" s="52" t="s">
        <v>36</v>
      </c>
      <c r="M87" s="55" t="str">
        <f t="shared" si="2"/>
        <v>Administation</v>
      </c>
      <c r="N87" s="54">
        <f t="shared" si="3"/>
        <v>0</v>
      </c>
    </row>
    <row r="88" spans="1:14" x14ac:dyDescent="0.25">
      <c r="B88" s="52" t="s">
        <v>37</v>
      </c>
      <c r="C88" s="54">
        <v>5000.04</v>
      </c>
      <c r="H88" s="52" t="s">
        <v>37</v>
      </c>
      <c r="I88" s="54">
        <v>5000</v>
      </c>
      <c r="M88" s="55">
        <f t="shared" si="2"/>
        <v>0</v>
      </c>
      <c r="N88" s="54">
        <f t="shared" si="3"/>
        <v>-3.999999999996362E-2</v>
      </c>
    </row>
    <row r="89" spans="1:14" x14ac:dyDescent="0.25">
      <c r="B89" s="52" t="s">
        <v>96</v>
      </c>
      <c r="C89" s="54">
        <v>261999.96000000008</v>
      </c>
      <c r="H89" s="52" t="s">
        <v>96</v>
      </c>
      <c r="I89" s="54">
        <v>240000</v>
      </c>
      <c r="M89" s="55">
        <f t="shared" si="2"/>
        <v>0</v>
      </c>
      <c r="N89" s="54">
        <f t="shared" si="3"/>
        <v>-21999.960000000079</v>
      </c>
    </row>
    <row r="90" spans="1:14" x14ac:dyDescent="0.25">
      <c r="B90" s="52" t="s">
        <v>38</v>
      </c>
      <c r="C90" s="54">
        <v>5000.04</v>
      </c>
      <c r="H90" s="52" t="s">
        <v>38</v>
      </c>
      <c r="I90" s="54">
        <v>5000</v>
      </c>
      <c r="M90" s="55">
        <f t="shared" si="2"/>
        <v>0</v>
      </c>
      <c r="N90" s="54">
        <f t="shared" si="3"/>
        <v>-3.999999999996362E-2</v>
      </c>
    </row>
    <row r="91" spans="1:14" x14ac:dyDescent="0.25">
      <c r="H91" s="52" t="s">
        <v>76</v>
      </c>
      <c r="I91" s="54">
        <v>20000</v>
      </c>
      <c r="M91" s="55">
        <f t="shared" si="2"/>
        <v>0</v>
      </c>
      <c r="N91" s="54">
        <f t="shared" si="3"/>
        <v>20000</v>
      </c>
    </row>
    <row r="92" spans="1:14" x14ac:dyDescent="0.25">
      <c r="B92" s="52" t="s">
        <v>39</v>
      </c>
      <c r="C92" s="54">
        <v>9999.9600000000009</v>
      </c>
      <c r="H92" s="52" t="s">
        <v>39</v>
      </c>
      <c r="I92" s="54">
        <v>120000</v>
      </c>
      <c r="M92" s="55">
        <f t="shared" si="2"/>
        <v>0</v>
      </c>
      <c r="N92" s="54">
        <f t="shared" si="3"/>
        <v>110000.04</v>
      </c>
    </row>
    <row r="93" spans="1:14" x14ac:dyDescent="0.25">
      <c r="B93" s="52" t="s">
        <v>40</v>
      </c>
      <c r="C93" s="54">
        <v>24000</v>
      </c>
      <c r="H93" s="52" t="s">
        <v>40</v>
      </c>
      <c r="I93" s="54">
        <v>24000</v>
      </c>
      <c r="M93" s="55">
        <f t="shared" si="2"/>
        <v>0</v>
      </c>
      <c r="N93" s="54">
        <f t="shared" si="3"/>
        <v>0</v>
      </c>
    </row>
    <row r="94" spans="1:14" x14ac:dyDescent="0.25">
      <c r="B94" s="52" t="s">
        <v>41</v>
      </c>
      <c r="C94" s="54">
        <v>35000.039999999994</v>
      </c>
      <c r="H94" s="52" t="s">
        <v>41</v>
      </c>
      <c r="I94" s="54">
        <v>67000</v>
      </c>
      <c r="M94" s="55">
        <f t="shared" si="2"/>
        <v>0</v>
      </c>
      <c r="N94" s="54">
        <f t="shared" si="3"/>
        <v>31999.960000000006</v>
      </c>
    </row>
    <row r="95" spans="1:14" x14ac:dyDescent="0.25">
      <c r="B95" s="52" t="s">
        <v>42</v>
      </c>
      <c r="C95" s="54">
        <v>15000</v>
      </c>
      <c r="H95" s="52" t="s">
        <v>42</v>
      </c>
      <c r="I95" s="54">
        <v>15000</v>
      </c>
      <c r="M95" s="55">
        <f t="shared" si="2"/>
        <v>0</v>
      </c>
      <c r="N95" s="54">
        <f t="shared" si="3"/>
        <v>0</v>
      </c>
    </row>
    <row r="96" spans="1:14" x14ac:dyDescent="0.25">
      <c r="B96" s="52" t="s">
        <v>43</v>
      </c>
      <c r="C96" s="54">
        <v>50000.039999999986</v>
      </c>
      <c r="H96" s="52" t="s">
        <v>43</v>
      </c>
      <c r="I96" s="54">
        <v>96000</v>
      </c>
      <c r="M96" s="55">
        <f t="shared" si="2"/>
        <v>0</v>
      </c>
      <c r="N96" s="54">
        <f t="shared" si="3"/>
        <v>45999.960000000014</v>
      </c>
    </row>
    <row r="97" spans="1:16" x14ac:dyDescent="0.25">
      <c r="B97" s="52" t="s">
        <v>44</v>
      </c>
      <c r="C97" s="54">
        <v>9999.9600000000009</v>
      </c>
      <c r="H97" s="52" t="s">
        <v>44</v>
      </c>
      <c r="I97" s="54">
        <v>10000</v>
      </c>
      <c r="M97" s="55">
        <f t="shared" si="2"/>
        <v>0</v>
      </c>
      <c r="N97" s="54">
        <f t="shared" si="3"/>
        <v>3.9999999999054126E-2</v>
      </c>
    </row>
    <row r="98" spans="1:16" x14ac:dyDescent="0.25">
      <c r="B98" s="52" t="s">
        <v>106</v>
      </c>
      <c r="C98" s="54">
        <v>96000</v>
      </c>
      <c r="M98" s="55">
        <f t="shared" si="2"/>
        <v>0</v>
      </c>
      <c r="N98" s="54">
        <f t="shared" si="3"/>
        <v>-96000</v>
      </c>
    </row>
    <row r="99" spans="1:16" x14ac:dyDescent="0.25">
      <c r="A99" s="52" t="s">
        <v>45</v>
      </c>
      <c r="C99" s="54">
        <v>600000</v>
      </c>
      <c r="G99" s="52" t="s">
        <v>45</v>
      </c>
      <c r="I99" s="54">
        <v>550000</v>
      </c>
      <c r="M99" s="55" t="str">
        <f t="shared" si="2"/>
        <v>Marknad (Dreamstar)</v>
      </c>
      <c r="N99" s="54">
        <f t="shared" si="3"/>
        <v>-50000</v>
      </c>
    </row>
    <row r="100" spans="1:16" x14ac:dyDescent="0.25">
      <c r="M100" s="55">
        <f t="shared" si="2"/>
        <v>0</v>
      </c>
      <c r="N100" s="54">
        <f t="shared" si="3"/>
        <v>0</v>
      </c>
    </row>
    <row r="101" spans="1:16" x14ac:dyDescent="0.25">
      <c r="A101" s="52" t="s">
        <v>46</v>
      </c>
      <c r="G101" s="52" t="s">
        <v>46</v>
      </c>
      <c r="M101" s="55" t="str">
        <f t="shared" si="2"/>
        <v xml:space="preserve">Personalkostnader </v>
      </c>
      <c r="N101" s="54">
        <f t="shared" si="3"/>
        <v>0</v>
      </c>
    </row>
    <row r="102" spans="1:16" x14ac:dyDescent="0.25">
      <c r="B102" s="52" t="s">
        <v>47</v>
      </c>
      <c r="C102" s="54">
        <v>662496</v>
      </c>
      <c r="H102" s="52" t="s">
        <v>47</v>
      </c>
      <c r="I102" s="54">
        <v>780000</v>
      </c>
      <c r="M102" s="55">
        <f t="shared" si="2"/>
        <v>0</v>
      </c>
      <c r="N102" s="54">
        <f t="shared" si="3"/>
        <v>117504</v>
      </c>
    </row>
    <row r="103" spans="1:16" x14ac:dyDescent="0.25">
      <c r="B103" s="52" t="s">
        <v>48</v>
      </c>
      <c r="C103" s="54">
        <v>208156.2432</v>
      </c>
      <c r="H103" s="52" t="s">
        <v>48</v>
      </c>
      <c r="I103" s="54">
        <v>245075.99999999997</v>
      </c>
      <c r="M103" s="55">
        <f t="shared" si="2"/>
        <v>0</v>
      </c>
      <c r="N103" s="54">
        <f t="shared" si="3"/>
        <v>36919.756799999974</v>
      </c>
    </row>
    <row r="104" spans="1:16" x14ac:dyDescent="0.25">
      <c r="B104" s="52" t="s">
        <v>49</v>
      </c>
      <c r="C104" s="54">
        <v>18000</v>
      </c>
      <c r="H104" s="52" t="s">
        <v>49</v>
      </c>
      <c r="I104" s="54">
        <v>18000</v>
      </c>
      <c r="M104" s="55">
        <f t="shared" ref="M104:M132" si="4">G104</f>
        <v>0</v>
      </c>
      <c r="N104" s="54">
        <f t="shared" ref="N104:N132" si="5">I104-C104</f>
        <v>0</v>
      </c>
    </row>
    <row r="105" spans="1:16" x14ac:dyDescent="0.25">
      <c r="B105" s="52" t="s">
        <v>50</v>
      </c>
      <c r="C105" s="54">
        <v>30000</v>
      </c>
      <c r="H105" s="52" t="s">
        <v>50</v>
      </c>
      <c r="I105" s="54">
        <v>36000</v>
      </c>
      <c r="M105" s="55">
        <f t="shared" si="4"/>
        <v>0</v>
      </c>
      <c r="N105" s="54">
        <f t="shared" si="5"/>
        <v>6000</v>
      </c>
    </row>
    <row r="106" spans="1:16" x14ac:dyDescent="0.25">
      <c r="A106" s="52" t="s">
        <v>51</v>
      </c>
      <c r="G106" s="52" t="s">
        <v>51</v>
      </c>
      <c r="M106" s="55" t="str">
        <f t="shared" si="4"/>
        <v>Arvoden</v>
      </c>
      <c r="N106" s="54">
        <f t="shared" si="5"/>
        <v>0</v>
      </c>
    </row>
    <row r="107" spans="1:16" x14ac:dyDescent="0.25">
      <c r="B107" s="52" t="s">
        <v>52</v>
      </c>
      <c r="C107" s="54">
        <v>276996</v>
      </c>
      <c r="H107" s="52" t="s">
        <v>52</v>
      </c>
      <c r="I107" s="54">
        <v>400000</v>
      </c>
      <c r="M107" s="55">
        <f t="shared" si="4"/>
        <v>0</v>
      </c>
      <c r="N107" s="54">
        <f t="shared" si="5"/>
        <v>123004</v>
      </c>
    </row>
    <row r="108" spans="1:16" x14ac:dyDescent="0.25">
      <c r="B108" s="52" t="s">
        <v>18</v>
      </c>
      <c r="C108" s="54">
        <v>74500</v>
      </c>
      <c r="H108" s="52" t="s">
        <v>18</v>
      </c>
      <c r="I108" s="54">
        <v>150000</v>
      </c>
      <c r="M108" s="55">
        <f t="shared" si="4"/>
        <v>0</v>
      </c>
      <c r="N108" s="54">
        <f t="shared" si="5"/>
        <v>75500</v>
      </c>
    </row>
    <row r="109" spans="1:16" x14ac:dyDescent="0.25">
      <c r="B109" s="52" t="s">
        <v>8</v>
      </c>
      <c r="C109" s="54">
        <v>0</v>
      </c>
      <c r="H109" s="52" t="s">
        <v>8</v>
      </c>
      <c r="I109" s="54">
        <v>128000</v>
      </c>
      <c r="N109" s="54">
        <f t="shared" si="5"/>
        <v>128000</v>
      </c>
      <c r="P109" s="55" t="s">
        <v>109</v>
      </c>
    </row>
    <row r="110" spans="1:16" x14ac:dyDescent="0.25">
      <c r="B110" s="52" t="s">
        <v>24</v>
      </c>
      <c r="C110" s="54">
        <v>232866</v>
      </c>
      <c r="H110" s="52" t="s">
        <v>24</v>
      </c>
      <c r="I110" s="54">
        <v>354000</v>
      </c>
      <c r="M110" s="55">
        <f t="shared" si="4"/>
        <v>0</v>
      </c>
      <c r="N110" s="54">
        <f t="shared" si="5"/>
        <v>121134</v>
      </c>
      <c r="P110" s="56">
        <f>SUM(N107:N114)</f>
        <v>403554</v>
      </c>
    </row>
    <row r="111" spans="1:16" x14ac:dyDescent="0.25">
      <c r="B111" s="52" t="s">
        <v>82</v>
      </c>
      <c r="C111" s="54">
        <v>63084</v>
      </c>
      <c r="M111" s="55">
        <f t="shared" si="4"/>
        <v>0</v>
      </c>
      <c r="N111" s="54">
        <f>I111-C111</f>
        <v>-63084</v>
      </c>
    </row>
    <row r="112" spans="1:16" x14ac:dyDescent="0.25">
      <c r="B112" s="52" t="s">
        <v>83</v>
      </c>
      <c r="C112" s="54">
        <v>31000</v>
      </c>
      <c r="H112" s="52" t="s">
        <v>83</v>
      </c>
      <c r="I112" s="54">
        <v>30000</v>
      </c>
      <c r="M112" s="55">
        <f t="shared" si="4"/>
        <v>0</v>
      </c>
      <c r="N112" s="54">
        <f t="shared" si="5"/>
        <v>-1000</v>
      </c>
    </row>
    <row r="113" spans="1:14" x14ac:dyDescent="0.25">
      <c r="B113" s="52" t="s">
        <v>86</v>
      </c>
      <c r="C113" s="54">
        <v>60000</v>
      </c>
      <c r="H113" s="52" t="s">
        <v>86</v>
      </c>
      <c r="I113" s="54">
        <v>0</v>
      </c>
      <c r="M113" s="55">
        <f t="shared" si="4"/>
        <v>0</v>
      </c>
      <c r="N113" s="54">
        <f t="shared" si="5"/>
        <v>-60000</v>
      </c>
    </row>
    <row r="114" spans="1:14" x14ac:dyDescent="0.25">
      <c r="H114" s="52" t="s">
        <v>54</v>
      </c>
      <c r="I114" s="54">
        <v>80000</v>
      </c>
      <c r="M114" s="55">
        <f t="shared" si="4"/>
        <v>0</v>
      </c>
      <c r="N114" s="54">
        <f t="shared" si="5"/>
        <v>80000</v>
      </c>
    </row>
    <row r="115" spans="1:14" x14ac:dyDescent="0.25">
      <c r="A115" s="52" t="s">
        <v>53</v>
      </c>
      <c r="G115" s="52" t="s">
        <v>53</v>
      </c>
      <c r="M115" s="55" t="str">
        <f t="shared" si="4"/>
        <v>Utbildning</v>
      </c>
      <c r="N115" s="54">
        <f t="shared" si="5"/>
        <v>0</v>
      </c>
    </row>
    <row r="116" spans="1:14" x14ac:dyDescent="0.25">
      <c r="B116" s="52" t="s">
        <v>17</v>
      </c>
      <c r="C116" s="54">
        <v>42000</v>
      </c>
      <c r="H116" s="52" t="s">
        <v>17</v>
      </c>
      <c r="I116" s="54">
        <v>0</v>
      </c>
      <c r="M116" s="55">
        <f t="shared" si="4"/>
        <v>0</v>
      </c>
      <c r="N116" s="54">
        <f>I116-C116</f>
        <v>-42000</v>
      </c>
    </row>
    <row r="117" spans="1:14" x14ac:dyDescent="0.25">
      <c r="B117" s="52" t="s">
        <v>18</v>
      </c>
      <c r="C117" s="54">
        <v>0</v>
      </c>
      <c r="H117" s="52" t="s">
        <v>18</v>
      </c>
      <c r="I117" s="54">
        <v>0</v>
      </c>
      <c r="M117" s="55">
        <f t="shared" si="4"/>
        <v>0</v>
      </c>
      <c r="N117" s="54">
        <f t="shared" si="5"/>
        <v>0</v>
      </c>
    </row>
    <row r="118" spans="1:14" x14ac:dyDescent="0.25">
      <c r="B118" s="52" t="s">
        <v>54</v>
      </c>
      <c r="C118" s="54">
        <v>0</v>
      </c>
      <c r="H118" s="52" t="s">
        <v>54</v>
      </c>
      <c r="I118" s="54">
        <v>0</v>
      </c>
      <c r="M118" s="55">
        <f t="shared" si="4"/>
        <v>0</v>
      </c>
      <c r="N118" s="54">
        <f t="shared" si="5"/>
        <v>0</v>
      </c>
    </row>
    <row r="119" spans="1:14" x14ac:dyDescent="0.25">
      <c r="B119" s="52" t="s">
        <v>55</v>
      </c>
      <c r="C119" s="54">
        <v>0</v>
      </c>
      <c r="H119" s="52" t="s">
        <v>55</v>
      </c>
      <c r="I119" s="54">
        <v>0</v>
      </c>
      <c r="M119" s="55">
        <f t="shared" si="4"/>
        <v>0</v>
      </c>
      <c r="N119" s="54">
        <f t="shared" si="5"/>
        <v>0</v>
      </c>
    </row>
    <row r="120" spans="1:14" x14ac:dyDescent="0.25">
      <c r="M120" s="55">
        <f t="shared" si="4"/>
        <v>0</v>
      </c>
      <c r="N120" s="54">
        <f t="shared" si="5"/>
        <v>0</v>
      </c>
    </row>
    <row r="121" spans="1:14" x14ac:dyDescent="0.25">
      <c r="A121" s="52" t="s">
        <v>56</v>
      </c>
      <c r="M121" s="55">
        <f t="shared" si="4"/>
        <v>0</v>
      </c>
      <c r="N121" s="54">
        <f t="shared" si="5"/>
        <v>0</v>
      </c>
    </row>
    <row r="122" spans="1:14" x14ac:dyDescent="0.25">
      <c r="B122" s="52" t="s">
        <v>78</v>
      </c>
      <c r="C122" s="54">
        <v>197130</v>
      </c>
      <c r="M122" s="55">
        <f t="shared" si="4"/>
        <v>0</v>
      </c>
      <c r="N122" s="54">
        <f t="shared" si="5"/>
        <v>-197130</v>
      </c>
    </row>
    <row r="123" spans="1:14" ht="14.25" customHeight="1" x14ac:dyDescent="0.25">
      <c r="A123" s="52" t="s">
        <v>90</v>
      </c>
      <c r="G123" s="52" t="s">
        <v>90</v>
      </c>
      <c r="M123" s="55" t="str">
        <f t="shared" si="4"/>
        <v xml:space="preserve">Tillkommande poster under året </v>
      </c>
      <c r="N123" s="54">
        <f t="shared" si="5"/>
        <v>0</v>
      </c>
    </row>
    <row r="124" spans="1:14" x14ac:dyDescent="0.25">
      <c r="B124" s="52" t="s">
        <v>107</v>
      </c>
      <c r="C124" s="54">
        <v>20000</v>
      </c>
      <c r="H124" s="52" t="s">
        <v>100</v>
      </c>
      <c r="I124" s="54">
        <v>10000</v>
      </c>
      <c r="M124" s="55">
        <f t="shared" si="4"/>
        <v>0</v>
      </c>
      <c r="N124" s="54">
        <f t="shared" si="5"/>
        <v>-10000</v>
      </c>
    </row>
    <row r="125" spans="1:14" x14ac:dyDescent="0.25">
      <c r="C125" s="54">
        <v>0</v>
      </c>
      <c r="M125" s="55">
        <f t="shared" si="4"/>
        <v>0</v>
      </c>
      <c r="N125" s="54">
        <f t="shared" si="5"/>
        <v>0</v>
      </c>
    </row>
    <row r="126" spans="1:14" x14ac:dyDescent="0.25">
      <c r="C126" s="54">
        <v>0</v>
      </c>
      <c r="M126" s="55">
        <f t="shared" si="4"/>
        <v>0</v>
      </c>
      <c r="N126" s="54">
        <f t="shared" si="5"/>
        <v>0</v>
      </c>
    </row>
    <row r="127" spans="1:14" x14ac:dyDescent="0.25">
      <c r="C127" s="54">
        <v>0</v>
      </c>
      <c r="M127" s="55">
        <f t="shared" si="4"/>
        <v>0</v>
      </c>
      <c r="N127" s="54">
        <f t="shared" si="5"/>
        <v>0</v>
      </c>
    </row>
    <row r="128" spans="1:14" x14ac:dyDescent="0.25">
      <c r="C128" s="54">
        <v>0</v>
      </c>
      <c r="M128" s="55">
        <f t="shared" si="4"/>
        <v>0</v>
      </c>
      <c r="N128" s="54">
        <f t="shared" si="5"/>
        <v>0</v>
      </c>
    </row>
    <row r="129" spans="1:14" x14ac:dyDescent="0.25">
      <c r="C129" s="54">
        <v>0</v>
      </c>
      <c r="M129" s="55">
        <f t="shared" si="4"/>
        <v>0</v>
      </c>
      <c r="N129" s="54">
        <f t="shared" si="5"/>
        <v>0</v>
      </c>
    </row>
    <row r="130" spans="1:14" x14ac:dyDescent="0.25">
      <c r="C130" s="54">
        <v>0</v>
      </c>
      <c r="M130" s="55">
        <f t="shared" si="4"/>
        <v>0</v>
      </c>
      <c r="N130" s="54">
        <f t="shared" si="5"/>
        <v>0</v>
      </c>
    </row>
    <row r="131" spans="1:14" x14ac:dyDescent="0.25">
      <c r="C131" s="54">
        <v>0</v>
      </c>
      <c r="M131" s="55">
        <f t="shared" si="4"/>
        <v>0</v>
      </c>
      <c r="N131" s="54">
        <f t="shared" si="5"/>
        <v>0</v>
      </c>
    </row>
    <row r="132" spans="1:14" x14ac:dyDescent="0.25">
      <c r="C132" s="54">
        <v>0</v>
      </c>
      <c r="M132" s="55">
        <f t="shared" si="4"/>
        <v>0</v>
      </c>
      <c r="N132" s="54">
        <f t="shared" si="5"/>
        <v>0</v>
      </c>
    </row>
    <row r="134" spans="1:14" x14ac:dyDescent="0.25">
      <c r="A134" s="55" t="s">
        <v>75</v>
      </c>
      <c r="B134" s="55"/>
      <c r="C134" s="56">
        <v>5083228.2832000004</v>
      </c>
      <c r="D134" s="55"/>
      <c r="E134" s="74"/>
      <c r="F134" s="55"/>
      <c r="G134" s="55" t="s">
        <v>75</v>
      </c>
      <c r="H134" s="55"/>
      <c r="I134" s="56">
        <f>SUM(I31:I124)</f>
        <v>5456076</v>
      </c>
      <c r="J134" s="55"/>
      <c r="K134" s="74"/>
      <c r="L134" s="55"/>
      <c r="M134" s="55" t="str">
        <f>G134</f>
        <v>TOTALA KOSTNADER:</v>
      </c>
      <c r="N134" s="56">
        <f>I134-C134</f>
        <v>372847.71679999959</v>
      </c>
    </row>
    <row r="138" spans="1:14" x14ac:dyDescent="0.25">
      <c r="C138" s="54">
        <f>C23-C134</f>
        <v>742171.71679999959</v>
      </c>
      <c r="G138" s="52" t="s">
        <v>81</v>
      </c>
      <c r="I138" s="54">
        <f>I23-I134</f>
        <v>585924</v>
      </c>
    </row>
  </sheetData>
  <mergeCells count="11">
    <mergeCell ref="G9:H9"/>
    <mergeCell ref="G4:H4"/>
    <mergeCell ref="G5:H5"/>
    <mergeCell ref="G6:H6"/>
    <mergeCell ref="G7:H7"/>
    <mergeCell ref="G8:H8"/>
    <mergeCell ref="G28:H28"/>
    <mergeCell ref="G10:H10"/>
    <mergeCell ref="G11:H11"/>
    <mergeCell ref="G12:H12"/>
    <mergeCell ref="G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Årsbudget per månad</vt:lpstr>
      <vt:lpstr>Skillnader mellan åren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 Hillenfjärd</dc:creator>
  <cp:lastModifiedBy>Kristian Ellerstad</cp:lastModifiedBy>
  <cp:lastPrinted>2020-11-10T19:47:06Z</cp:lastPrinted>
  <dcterms:created xsi:type="dcterms:W3CDTF">2019-11-11T18:27:19Z</dcterms:created>
  <dcterms:modified xsi:type="dcterms:W3CDTF">2022-03-15T09:28:15Z</dcterms:modified>
</cp:coreProperties>
</file>