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kogsmaklarnahb-my.sharepoint.com/personal/dag_skogsmaklarna_com/Documents/Data/2Jakt/Femtåns VVO/"/>
    </mc:Choice>
  </mc:AlternateContent>
  <xr:revisionPtr revIDLastSave="55" documentId="8_{74CD2FE7-8A4F-40F4-96B4-7BDFD7682BF3}" xr6:coauthVersionLast="47" xr6:coauthVersionMax="47" xr10:uidLastSave="{5798ED70-5258-4912-A117-F1ED4B4E2D76}"/>
  <bookViews>
    <workbookView xWindow="-96" yWindow="0" windowWidth="30912" windowHeight="12336" xr2:uid="{00000000-000D-0000-FFFF-FFFF00000000}"/>
  </bookViews>
  <sheets>
    <sheet name="FEMTL" sheetId="1" r:id="rId1"/>
    <sheet name="Röstlängd" sheetId="5" r:id="rId2"/>
    <sheet name="SJB" sheetId="2" r:id="rId3"/>
    <sheet name="slask" sheetId="3" r:id="rId4"/>
  </sheets>
  <definedNames>
    <definedName name="_xlnm.Print_Area" localSheetId="0">FEMTL!$A$1:$W$235</definedName>
    <definedName name="_xlnm.Print_Area" localSheetId="1">Röstlängd!$A$1:$P$321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35" i="1" l="1"/>
  <c r="O135" i="1" s="1"/>
  <c r="K135" i="1"/>
  <c r="K213" i="1"/>
  <c r="L213" i="1" s="1"/>
  <c r="M213" i="1" s="1"/>
  <c r="K12" i="1"/>
  <c r="L189" i="1"/>
  <c r="M189" i="1" s="1"/>
  <c r="L219" i="1"/>
  <c r="M219" i="1" s="1"/>
  <c r="K217" i="1"/>
  <c r="L217" i="1" s="1"/>
  <c r="M217" i="1" s="1"/>
  <c r="K215" i="1"/>
  <c r="L215" i="1" s="1"/>
  <c r="M215" i="1" s="1"/>
  <c r="K211" i="1"/>
  <c r="L211" i="1" s="1"/>
  <c r="M211" i="1" s="1"/>
  <c r="K209" i="1"/>
  <c r="L209" i="1" s="1"/>
  <c r="M209" i="1" s="1"/>
  <c r="K207" i="1"/>
  <c r="L207" i="1" s="1"/>
  <c r="M207" i="1" s="1"/>
  <c r="K204" i="1"/>
  <c r="L204" i="1" s="1"/>
  <c r="M204" i="1" s="1"/>
  <c r="K201" i="1"/>
  <c r="K200" i="1"/>
  <c r="K193" i="1"/>
  <c r="L193" i="1" s="1"/>
  <c r="M193" i="1" s="1"/>
  <c r="K191" i="1"/>
  <c r="L191" i="1" s="1"/>
  <c r="M191" i="1" s="1"/>
  <c r="K187" i="1"/>
  <c r="L187" i="1" s="1"/>
  <c r="M187" i="1" s="1"/>
  <c r="K185" i="1"/>
  <c r="L185" i="1" s="1"/>
  <c r="M185" i="1" s="1"/>
  <c r="L20" i="1"/>
  <c r="M20" i="1" s="1"/>
  <c r="L180" i="1"/>
  <c r="M180" i="1" s="1"/>
  <c r="K171" i="1"/>
  <c r="K183" i="1"/>
  <c r="K182" i="1"/>
  <c r="K30" i="1"/>
  <c r="K178" i="1"/>
  <c r="L178" i="1" s="1"/>
  <c r="M178" i="1" s="1"/>
  <c r="K175" i="1"/>
  <c r="K174" i="1"/>
  <c r="K173" i="1"/>
  <c r="K170" i="1"/>
  <c r="L167" i="1"/>
  <c r="M167" i="1" s="1"/>
  <c r="K164" i="1"/>
  <c r="L164" i="1" s="1"/>
  <c r="M164" i="1" s="1"/>
  <c r="K160" i="1"/>
  <c r="L160" i="1" s="1"/>
  <c r="M160" i="1" s="1"/>
  <c r="K158" i="1"/>
  <c r="L158" i="1" s="1"/>
  <c r="M158" i="1" s="1"/>
  <c r="K156" i="1"/>
  <c r="K141" i="1"/>
  <c r="K140" i="1"/>
  <c r="K139" i="1"/>
  <c r="K137" i="1"/>
  <c r="L137" i="1" s="1"/>
  <c r="M137" i="1" s="1"/>
  <c r="L116" i="1"/>
  <c r="M116" i="1" s="1"/>
  <c r="K134" i="1"/>
  <c r="L132" i="1" s="1"/>
  <c r="K133" i="1"/>
  <c r="K132" i="1"/>
  <c r="K130" i="1"/>
  <c r="L130" i="1" s="1"/>
  <c r="M130" i="1" s="1"/>
  <c r="K127" i="1"/>
  <c r="L127" i="1" s="1"/>
  <c r="M127" i="1" s="1"/>
  <c r="K125" i="1"/>
  <c r="L125" i="1" s="1"/>
  <c r="M125" i="1" s="1"/>
  <c r="K118" i="1"/>
  <c r="L118" i="1" s="1"/>
  <c r="M118" i="1" s="1"/>
  <c r="K114" i="1"/>
  <c r="L114" i="1" s="1"/>
  <c r="M114" i="1" s="1"/>
  <c r="K111" i="1"/>
  <c r="L111" i="1" s="1"/>
  <c r="M111" i="1" s="1"/>
  <c r="K109" i="1"/>
  <c r="L109" i="1" s="1"/>
  <c r="M109" i="1" s="1"/>
  <c r="K107" i="1"/>
  <c r="K106" i="1"/>
  <c r="K105" i="1"/>
  <c r="K103" i="1"/>
  <c r="L103" i="1" s="1"/>
  <c r="M103" i="1" s="1"/>
  <c r="K101" i="1"/>
  <c r="L101" i="1" s="1"/>
  <c r="M101" i="1" s="1"/>
  <c r="K99" i="1"/>
  <c r="L99" i="1" s="1"/>
  <c r="M99" i="1" s="1"/>
  <c r="K96" i="1"/>
  <c r="L96" i="1" s="1"/>
  <c r="M96" i="1" s="1"/>
  <c r="K8" i="1"/>
  <c r="M8" i="1" s="1"/>
  <c r="K94" i="1"/>
  <c r="K93" i="1"/>
  <c r="K92" i="1"/>
  <c r="K91" i="1"/>
  <c r="K90" i="1"/>
  <c r="K88" i="1"/>
  <c r="L87" i="1" s="1"/>
  <c r="M87" i="1" s="1"/>
  <c r="L84" i="1"/>
  <c r="M84" i="1" s="1"/>
  <c r="L82" i="1"/>
  <c r="M82" i="1" s="1"/>
  <c r="K78" i="1"/>
  <c r="L78" i="1" s="1"/>
  <c r="M78" i="1" s="1"/>
  <c r="L73" i="1"/>
  <c r="M73" i="1" s="1"/>
  <c r="K71" i="1"/>
  <c r="L71" i="1" s="1"/>
  <c r="M71" i="1" s="1"/>
  <c r="K66" i="1"/>
  <c r="K69" i="1"/>
  <c r="L69" i="1" s="1"/>
  <c r="M69" i="1" s="1"/>
  <c r="L64" i="1"/>
  <c r="M64" i="1" s="1"/>
  <c r="K13" i="1"/>
  <c r="K11" i="1"/>
  <c r="K10" i="1"/>
  <c r="K9" i="1"/>
  <c r="K67" i="1"/>
  <c r="K143" i="1"/>
  <c r="K7" i="1"/>
  <c r="K62" i="1"/>
  <c r="L62" i="1" s="1"/>
  <c r="M62" i="1" s="1"/>
  <c r="K60" i="1"/>
  <c r="L60" i="1" s="1"/>
  <c r="M60" i="1" s="1"/>
  <c r="K5" i="1"/>
  <c r="K58" i="1"/>
  <c r="L58" i="1" s="1"/>
  <c r="M58" i="1" s="1"/>
  <c r="I60" i="1"/>
  <c r="N60" i="1" s="1"/>
  <c r="O60" i="1" s="1"/>
  <c r="K55" i="1"/>
  <c r="L55" i="1" s="1"/>
  <c r="M55" i="1" s="1"/>
  <c r="L53" i="1"/>
  <c r="M53" i="1" s="1"/>
  <c r="L51" i="1"/>
  <c r="M51" i="1" s="1"/>
  <c r="L49" i="1"/>
  <c r="M49" i="1" s="1"/>
  <c r="L46" i="1"/>
  <c r="M46" i="1" s="1"/>
  <c r="L42" i="1"/>
  <c r="M42" i="1" s="1"/>
  <c r="L40" i="1"/>
  <c r="M40" i="1" s="1"/>
  <c r="L22" i="1"/>
  <c r="M22" i="1" s="1"/>
  <c r="L38" i="1"/>
  <c r="M38" i="1" s="1"/>
  <c r="K34" i="1"/>
  <c r="L34" i="1" s="1"/>
  <c r="M34" i="1" s="1"/>
  <c r="K32" i="1"/>
  <c r="L32" i="1" s="1"/>
  <c r="M32" i="1" s="1"/>
  <c r="K29" i="1"/>
  <c r="K24" i="1"/>
  <c r="L24" i="1" s="1"/>
  <c r="M24" i="1" s="1"/>
  <c r="K17" i="1"/>
  <c r="L17" i="1" s="1"/>
  <c r="M17" i="1" s="1"/>
  <c r="K15" i="1"/>
  <c r="L15" i="1" s="1"/>
  <c r="M15" i="1" s="1"/>
  <c r="K197" i="1"/>
  <c r="L197" i="1" s="1"/>
  <c r="M197" i="1" s="1"/>
  <c r="K3" i="1"/>
  <c r="L3" i="1" s="1"/>
  <c r="N17" i="1"/>
  <c r="I9" i="1"/>
  <c r="I133" i="1"/>
  <c r="M132" i="1" l="1"/>
  <c r="L5" i="1"/>
  <c r="M5" i="1" s="1"/>
  <c r="L182" i="1"/>
  <c r="M182" i="1" s="1"/>
  <c r="L173" i="1"/>
  <c r="M173" i="1" s="1"/>
  <c r="L66" i="1"/>
  <c r="M66" i="1" s="1"/>
  <c r="L170" i="1"/>
  <c r="M170" i="1" s="1"/>
  <c r="L29" i="1"/>
  <c r="M29" i="1" s="1"/>
  <c r="L105" i="1"/>
  <c r="M105" i="1" s="1"/>
  <c r="L139" i="1"/>
  <c r="M139" i="1" s="1"/>
  <c r="L200" i="1"/>
  <c r="M200" i="1" s="1"/>
  <c r="L143" i="1"/>
  <c r="L90" i="1"/>
  <c r="M90" i="1" s="1"/>
  <c r="M3" i="1"/>
  <c r="I144" i="1"/>
  <c r="N105" i="1" l="1"/>
  <c r="I175" i="1"/>
  <c r="I148" i="1"/>
  <c r="I7" i="1" l="1"/>
  <c r="N5" i="1" s="1"/>
  <c r="N160" i="1"/>
  <c r="N158" i="1"/>
  <c r="N3" i="1"/>
  <c r="O5" i="1" l="1"/>
  <c r="I132" i="1"/>
  <c r="N24" i="1" l="1"/>
  <c r="O24" i="1" s="1"/>
  <c r="K10" i="5" s="1"/>
  <c r="O10" i="5" s="1"/>
  <c r="N246" i="1"/>
  <c r="O246" i="1" s="1"/>
  <c r="K151" i="5" s="1"/>
  <c r="M151" i="5" s="1"/>
  <c r="N139" i="1"/>
  <c r="O139" i="1" s="1"/>
  <c r="K139" i="5" s="1"/>
  <c r="I62" i="1"/>
  <c r="N62" i="1" s="1"/>
  <c r="I53" i="1"/>
  <c r="N53" i="1" s="1"/>
  <c r="N38" i="1"/>
  <c r="O38" i="1" s="1"/>
  <c r="I32" i="1"/>
  <c r="H18" i="5" s="1"/>
  <c r="U32" i="1"/>
  <c r="A1" i="5"/>
  <c r="B1" i="5"/>
  <c r="C1" i="5"/>
  <c r="D1" i="5"/>
  <c r="E1" i="5"/>
  <c r="F1" i="5"/>
  <c r="G1" i="5"/>
  <c r="H1" i="5"/>
  <c r="I1" i="5"/>
  <c r="J1" i="5"/>
  <c r="K1" i="5"/>
  <c r="A2" i="5"/>
  <c r="B2" i="5"/>
  <c r="C2" i="5"/>
  <c r="D2" i="5"/>
  <c r="E2" i="5"/>
  <c r="F2" i="5"/>
  <c r="G2" i="5"/>
  <c r="H2" i="5"/>
  <c r="I2" i="5"/>
  <c r="K2" i="5"/>
  <c r="A3" i="5"/>
  <c r="B3" i="5"/>
  <c r="C3" i="5"/>
  <c r="D3" i="5"/>
  <c r="E3" i="5"/>
  <c r="F3" i="5"/>
  <c r="G3" i="5"/>
  <c r="H3" i="5"/>
  <c r="I3" i="5"/>
  <c r="A4" i="5"/>
  <c r="B4" i="5"/>
  <c r="C4" i="5"/>
  <c r="D4" i="5"/>
  <c r="E4" i="5"/>
  <c r="F4" i="5"/>
  <c r="G4" i="5"/>
  <c r="H4" i="5"/>
  <c r="I4" i="5"/>
  <c r="K4" i="5"/>
  <c r="L4" i="5" s="1"/>
  <c r="A5" i="5"/>
  <c r="B5" i="5"/>
  <c r="C5" i="5"/>
  <c r="D5" i="5"/>
  <c r="E5" i="5"/>
  <c r="F5" i="5"/>
  <c r="G5" i="5"/>
  <c r="H5" i="5"/>
  <c r="I5" i="5"/>
  <c r="A6" i="5"/>
  <c r="B6" i="5"/>
  <c r="C6" i="5"/>
  <c r="D6" i="5"/>
  <c r="E6" i="5"/>
  <c r="F6" i="5"/>
  <c r="G6" i="5"/>
  <c r="H6" i="5"/>
  <c r="I6" i="5"/>
  <c r="K6" i="5"/>
  <c r="M6" i="5" s="1"/>
  <c r="A7" i="5"/>
  <c r="B7" i="5"/>
  <c r="C7" i="5"/>
  <c r="D7" i="5"/>
  <c r="E7" i="5"/>
  <c r="F7" i="5"/>
  <c r="G7" i="5"/>
  <c r="H7" i="5"/>
  <c r="I7" i="5"/>
  <c r="A8" i="5"/>
  <c r="B8" i="5"/>
  <c r="C8" i="5"/>
  <c r="D8" i="5"/>
  <c r="E8" i="5"/>
  <c r="F8" i="5"/>
  <c r="G8" i="5"/>
  <c r="H8" i="5"/>
  <c r="I8" i="5"/>
  <c r="J8" i="5"/>
  <c r="A9" i="5"/>
  <c r="B9" i="5"/>
  <c r="C9" i="5"/>
  <c r="D9" i="5"/>
  <c r="E9" i="5"/>
  <c r="F9" i="5"/>
  <c r="G9" i="5"/>
  <c r="H9" i="5"/>
  <c r="I9" i="5"/>
  <c r="K9" i="5"/>
  <c r="M9" i="5" s="1"/>
  <c r="A10" i="5"/>
  <c r="B10" i="5"/>
  <c r="C10" i="5"/>
  <c r="D10" i="5"/>
  <c r="E10" i="5"/>
  <c r="F10" i="5"/>
  <c r="G10" i="5"/>
  <c r="H10" i="5"/>
  <c r="I10" i="5"/>
  <c r="A11" i="5"/>
  <c r="B11" i="5"/>
  <c r="C11" i="5"/>
  <c r="D11" i="5"/>
  <c r="E11" i="5"/>
  <c r="F11" i="5"/>
  <c r="G11" i="5"/>
  <c r="H11" i="5"/>
  <c r="I11" i="5"/>
  <c r="K11" i="5"/>
  <c r="N11" i="5" s="1"/>
  <c r="A12" i="5"/>
  <c r="B12" i="5"/>
  <c r="C12" i="5"/>
  <c r="D12" i="5"/>
  <c r="E12" i="5"/>
  <c r="F12" i="5"/>
  <c r="G12" i="5"/>
  <c r="H12" i="5"/>
  <c r="I12" i="5"/>
  <c r="K12" i="5"/>
  <c r="L12" i="5" s="1"/>
  <c r="A13" i="5"/>
  <c r="B13" i="5"/>
  <c r="C13" i="5"/>
  <c r="D13" i="5"/>
  <c r="E13" i="5"/>
  <c r="F13" i="5"/>
  <c r="G13" i="5"/>
  <c r="H13" i="5"/>
  <c r="I13" i="5"/>
  <c r="K13" i="5"/>
  <c r="O13" i="5" s="1"/>
  <c r="A14" i="5"/>
  <c r="B14" i="5"/>
  <c r="C14" i="5"/>
  <c r="D14" i="5"/>
  <c r="E14" i="5"/>
  <c r="F14" i="5"/>
  <c r="G14" i="5"/>
  <c r="H14" i="5"/>
  <c r="I14" i="5"/>
  <c r="K14" i="5"/>
  <c r="P14" i="5" s="1"/>
  <c r="A15" i="5"/>
  <c r="B15" i="5"/>
  <c r="C15" i="5"/>
  <c r="D15" i="5"/>
  <c r="E15" i="5"/>
  <c r="F15" i="5"/>
  <c r="G15" i="5"/>
  <c r="H15" i="5"/>
  <c r="I15" i="5"/>
  <c r="A16" i="5"/>
  <c r="B16" i="5"/>
  <c r="C16" i="5"/>
  <c r="D16" i="5"/>
  <c r="E16" i="5"/>
  <c r="F16" i="5"/>
  <c r="G16" i="5"/>
  <c r="H16" i="5"/>
  <c r="I16" i="5"/>
  <c r="J16" i="5"/>
  <c r="A17" i="5"/>
  <c r="B17" i="5"/>
  <c r="C17" i="5"/>
  <c r="D17" i="5"/>
  <c r="E17" i="5"/>
  <c r="F17" i="5"/>
  <c r="G17" i="5"/>
  <c r="H17" i="5"/>
  <c r="I17" i="5"/>
  <c r="K17" i="5"/>
  <c r="P17" i="5" s="1"/>
  <c r="A18" i="5"/>
  <c r="B18" i="5"/>
  <c r="C18" i="5"/>
  <c r="D18" i="5"/>
  <c r="E18" i="5"/>
  <c r="F18" i="5"/>
  <c r="G18" i="5"/>
  <c r="I18" i="5"/>
  <c r="A19" i="5"/>
  <c r="B19" i="5"/>
  <c r="C19" i="5"/>
  <c r="D19" i="5"/>
  <c r="E19" i="5"/>
  <c r="F19" i="5"/>
  <c r="G19" i="5"/>
  <c r="H19" i="5"/>
  <c r="I19" i="5"/>
  <c r="J19" i="5"/>
  <c r="K19" i="5"/>
  <c r="P19" i="5" s="1"/>
  <c r="A20" i="5"/>
  <c r="B20" i="5"/>
  <c r="C20" i="5"/>
  <c r="D20" i="5"/>
  <c r="E20" i="5"/>
  <c r="F20" i="5"/>
  <c r="G20" i="5"/>
  <c r="H20" i="5"/>
  <c r="I20" i="5"/>
  <c r="J20" i="5"/>
  <c r="K20" i="5"/>
  <c r="N20" i="5" s="1"/>
  <c r="A21" i="5"/>
  <c r="B21" i="5"/>
  <c r="C21" i="5"/>
  <c r="D21" i="5"/>
  <c r="E21" i="5"/>
  <c r="F21" i="5"/>
  <c r="G21" i="5"/>
  <c r="H21" i="5"/>
  <c r="I21" i="5"/>
  <c r="J21" i="5"/>
  <c r="K21" i="5"/>
  <c r="P21" i="5" s="1"/>
  <c r="A22" i="5"/>
  <c r="B22" i="5"/>
  <c r="C22" i="5"/>
  <c r="D22" i="5"/>
  <c r="E22" i="5"/>
  <c r="F22" i="5"/>
  <c r="G22" i="5"/>
  <c r="H22" i="5"/>
  <c r="I22" i="5"/>
  <c r="A23" i="5"/>
  <c r="B23" i="5"/>
  <c r="C23" i="5"/>
  <c r="D23" i="5"/>
  <c r="E23" i="5"/>
  <c r="F23" i="5"/>
  <c r="G23" i="5"/>
  <c r="H23" i="5"/>
  <c r="I23" i="5"/>
  <c r="K23" i="5"/>
  <c r="P23" i="5" s="1"/>
  <c r="A24" i="5"/>
  <c r="B24" i="5"/>
  <c r="C24" i="5"/>
  <c r="D24" i="5"/>
  <c r="E24" i="5"/>
  <c r="F24" i="5"/>
  <c r="G24" i="5"/>
  <c r="H24" i="5"/>
  <c r="I24" i="5"/>
  <c r="K24" i="5"/>
  <c r="P24" i="5" s="1"/>
  <c r="A25" i="5"/>
  <c r="B25" i="5"/>
  <c r="C25" i="5"/>
  <c r="D25" i="5"/>
  <c r="E25" i="5"/>
  <c r="F25" i="5"/>
  <c r="G25" i="5"/>
  <c r="H25" i="5"/>
  <c r="I25" i="5"/>
  <c r="J25" i="5"/>
  <c r="K25" i="5"/>
  <c r="A26" i="5"/>
  <c r="B26" i="5"/>
  <c r="C26" i="5"/>
  <c r="D26" i="5"/>
  <c r="E26" i="5"/>
  <c r="F26" i="5"/>
  <c r="G26" i="5"/>
  <c r="H26" i="5"/>
  <c r="I26" i="5"/>
  <c r="A27" i="5"/>
  <c r="B27" i="5"/>
  <c r="C27" i="5"/>
  <c r="D27" i="5"/>
  <c r="E27" i="5"/>
  <c r="F27" i="5"/>
  <c r="G27" i="5"/>
  <c r="H27" i="5"/>
  <c r="I27" i="5"/>
  <c r="J27" i="5"/>
  <c r="K27" i="5"/>
  <c r="O27" i="5" s="1"/>
  <c r="A28" i="5"/>
  <c r="B28" i="5"/>
  <c r="C28" i="5"/>
  <c r="D28" i="5"/>
  <c r="E28" i="5"/>
  <c r="F28" i="5"/>
  <c r="G28" i="5"/>
  <c r="H28" i="5"/>
  <c r="I28" i="5"/>
  <c r="A29" i="5"/>
  <c r="B29" i="5"/>
  <c r="C29" i="5"/>
  <c r="D29" i="5"/>
  <c r="E29" i="5"/>
  <c r="F29" i="5"/>
  <c r="G29" i="5"/>
  <c r="H29" i="5"/>
  <c r="I29" i="5"/>
  <c r="J29" i="5"/>
  <c r="K29" i="5"/>
  <c r="N29" i="5" s="1"/>
  <c r="A30" i="5"/>
  <c r="B30" i="5"/>
  <c r="C30" i="5"/>
  <c r="D30" i="5"/>
  <c r="E30" i="5"/>
  <c r="F30" i="5"/>
  <c r="G30" i="5"/>
  <c r="H30" i="5"/>
  <c r="I30" i="5"/>
  <c r="A31" i="5"/>
  <c r="B31" i="5"/>
  <c r="C31" i="5"/>
  <c r="D31" i="5"/>
  <c r="E31" i="5"/>
  <c r="F31" i="5"/>
  <c r="G31" i="5"/>
  <c r="H31" i="5"/>
  <c r="I31" i="5"/>
  <c r="K31" i="5"/>
  <c r="L31" i="5" s="1"/>
  <c r="A32" i="5"/>
  <c r="B32" i="5"/>
  <c r="C32" i="5"/>
  <c r="D32" i="5"/>
  <c r="E32" i="5"/>
  <c r="F32" i="5"/>
  <c r="G32" i="5"/>
  <c r="H32" i="5"/>
  <c r="I32" i="5"/>
  <c r="A33" i="5"/>
  <c r="B33" i="5"/>
  <c r="C33" i="5"/>
  <c r="D33" i="5"/>
  <c r="E33" i="5"/>
  <c r="F33" i="5"/>
  <c r="G33" i="5"/>
  <c r="H33" i="5"/>
  <c r="I33" i="5"/>
  <c r="J33" i="5"/>
  <c r="A34" i="5"/>
  <c r="B34" i="5"/>
  <c r="C34" i="5"/>
  <c r="D34" i="5"/>
  <c r="E34" i="5"/>
  <c r="F34" i="5"/>
  <c r="G34" i="5"/>
  <c r="H34" i="5"/>
  <c r="I34" i="5"/>
  <c r="J34" i="5"/>
  <c r="K34" i="5"/>
  <c r="P34" i="5" s="1"/>
  <c r="A35" i="5"/>
  <c r="B35" i="5"/>
  <c r="C35" i="5"/>
  <c r="D35" i="5"/>
  <c r="E35" i="5"/>
  <c r="F35" i="5"/>
  <c r="G35" i="5"/>
  <c r="H35" i="5"/>
  <c r="I35" i="5"/>
  <c r="A36" i="5"/>
  <c r="B36" i="5"/>
  <c r="C36" i="5"/>
  <c r="D36" i="5"/>
  <c r="E36" i="5"/>
  <c r="F36" i="5"/>
  <c r="G36" i="5"/>
  <c r="H36" i="5"/>
  <c r="I36" i="5"/>
  <c r="J36" i="5"/>
  <c r="K36" i="5"/>
  <c r="P36" i="5" s="1"/>
  <c r="A37" i="5"/>
  <c r="B37" i="5"/>
  <c r="C37" i="5"/>
  <c r="D37" i="5"/>
  <c r="E37" i="5"/>
  <c r="F37" i="5"/>
  <c r="G37" i="5"/>
  <c r="H37" i="5"/>
  <c r="I37" i="5"/>
  <c r="J37" i="5"/>
  <c r="K37" i="5"/>
  <c r="N37" i="5" s="1"/>
  <c r="A38" i="5"/>
  <c r="B38" i="5"/>
  <c r="C38" i="5"/>
  <c r="D38" i="5"/>
  <c r="E38" i="5"/>
  <c r="F38" i="5"/>
  <c r="G38" i="5"/>
  <c r="H38" i="5"/>
  <c r="I38" i="5"/>
  <c r="K38" i="5"/>
  <c r="L38" i="5" s="1"/>
  <c r="A39" i="5"/>
  <c r="B39" i="5"/>
  <c r="C39" i="5"/>
  <c r="D39" i="5"/>
  <c r="E39" i="5"/>
  <c r="F39" i="5"/>
  <c r="G39" i="5"/>
  <c r="H39" i="5"/>
  <c r="I39" i="5"/>
  <c r="A40" i="5"/>
  <c r="B40" i="5"/>
  <c r="C40" i="5"/>
  <c r="D40" i="5"/>
  <c r="E40" i="5"/>
  <c r="F40" i="5"/>
  <c r="G40" i="5"/>
  <c r="H40" i="5"/>
  <c r="I40" i="5"/>
  <c r="K40" i="5"/>
  <c r="P40" i="5" s="1"/>
  <c r="A41" i="5"/>
  <c r="B41" i="5"/>
  <c r="C41" i="5"/>
  <c r="D41" i="5"/>
  <c r="E41" i="5"/>
  <c r="F41" i="5"/>
  <c r="G41" i="5"/>
  <c r="H41" i="5"/>
  <c r="I41" i="5"/>
  <c r="K41" i="5"/>
  <c r="L41" i="5" s="1"/>
  <c r="A42" i="5"/>
  <c r="B42" i="5"/>
  <c r="C42" i="5"/>
  <c r="D42" i="5"/>
  <c r="E42" i="5"/>
  <c r="F42" i="5"/>
  <c r="G42" i="5"/>
  <c r="H42" i="5"/>
  <c r="I42" i="5"/>
  <c r="A43" i="5"/>
  <c r="B43" i="5"/>
  <c r="C43" i="5"/>
  <c r="D43" i="5"/>
  <c r="E43" i="5"/>
  <c r="F43" i="5"/>
  <c r="G43" i="5"/>
  <c r="H43" i="5"/>
  <c r="I43" i="5"/>
  <c r="K43" i="5"/>
  <c r="N43" i="5" s="1"/>
  <c r="A44" i="5"/>
  <c r="B44" i="5"/>
  <c r="C44" i="5"/>
  <c r="D44" i="5"/>
  <c r="E44" i="5"/>
  <c r="F44" i="5"/>
  <c r="G44" i="5"/>
  <c r="H44" i="5"/>
  <c r="I44" i="5"/>
  <c r="A45" i="5"/>
  <c r="B45" i="5"/>
  <c r="C45" i="5"/>
  <c r="D45" i="5"/>
  <c r="E45" i="5"/>
  <c r="F45" i="5"/>
  <c r="G45" i="5"/>
  <c r="H45" i="5"/>
  <c r="I45" i="5"/>
  <c r="K45" i="5"/>
  <c r="P45" i="5" s="1"/>
  <c r="A46" i="5"/>
  <c r="B46" i="5"/>
  <c r="C46" i="5"/>
  <c r="D46" i="5"/>
  <c r="E46" i="5"/>
  <c r="F46" i="5"/>
  <c r="G46" i="5"/>
  <c r="I46" i="5"/>
  <c r="A47" i="5"/>
  <c r="B47" i="5"/>
  <c r="C47" i="5"/>
  <c r="D47" i="5"/>
  <c r="E47" i="5"/>
  <c r="F47" i="5"/>
  <c r="G47" i="5"/>
  <c r="H47" i="5"/>
  <c r="I47" i="5"/>
  <c r="A48" i="5"/>
  <c r="B48" i="5"/>
  <c r="C48" i="5"/>
  <c r="D48" i="5"/>
  <c r="E48" i="5"/>
  <c r="F48" i="5"/>
  <c r="G48" i="5"/>
  <c r="I48" i="5"/>
  <c r="A49" i="5"/>
  <c r="B49" i="5"/>
  <c r="C49" i="5"/>
  <c r="D49" i="5"/>
  <c r="E49" i="5"/>
  <c r="F49" i="5"/>
  <c r="G49" i="5"/>
  <c r="H49" i="5"/>
  <c r="I49" i="5"/>
  <c r="K49" i="5"/>
  <c r="P49" i="5" s="1"/>
  <c r="A50" i="5"/>
  <c r="B50" i="5"/>
  <c r="C50" i="5"/>
  <c r="D50" i="5"/>
  <c r="E50" i="5"/>
  <c r="F50" i="5"/>
  <c r="G50" i="5"/>
  <c r="H50" i="5"/>
  <c r="I50" i="5"/>
  <c r="A51" i="5"/>
  <c r="B51" i="5"/>
  <c r="C51" i="5"/>
  <c r="D51" i="5"/>
  <c r="E51" i="5"/>
  <c r="F51" i="5"/>
  <c r="G51" i="5"/>
  <c r="H51" i="5"/>
  <c r="I51" i="5"/>
  <c r="K51" i="5"/>
  <c r="N51" i="5" s="1"/>
  <c r="A52" i="5"/>
  <c r="B52" i="5"/>
  <c r="C52" i="5"/>
  <c r="D52" i="5"/>
  <c r="E52" i="5"/>
  <c r="F52" i="5"/>
  <c r="G52" i="5"/>
  <c r="H52" i="5"/>
  <c r="I52" i="5"/>
  <c r="A53" i="5"/>
  <c r="B53" i="5"/>
  <c r="C53" i="5"/>
  <c r="D53" i="5"/>
  <c r="E53" i="5"/>
  <c r="F53" i="5"/>
  <c r="G53" i="5"/>
  <c r="H53" i="5"/>
  <c r="I53" i="5"/>
  <c r="K53" i="5"/>
  <c r="A54" i="5"/>
  <c r="B54" i="5"/>
  <c r="C54" i="5"/>
  <c r="D54" i="5"/>
  <c r="E54" i="5"/>
  <c r="F54" i="5"/>
  <c r="G54" i="5"/>
  <c r="H54" i="5"/>
  <c r="I54" i="5"/>
  <c r="A55" i="5"/>
  <c r="B55" i="5"/>
  <c r="C55" i="5"/>
  <c r="D55" i="5"/>
  <c r="E55" i="5"/>
  <c r="F55" i="5"/>
  <c r="G55" i="5"/>
  <c r="H55" i="5"/>
  <c r="I55" i="5"/>
  <c r="J55" i="5"/>
  <c r="A56" i="5"/>
  <c r="B56" i="5"/>
  <c r="C56" i="5"/>
  <c r="D56" i="5"/>
  <c r="E56" i="5"/>
  <c r="F56" i="5"/>
  <c r="G56" i="5"/>
  <c r="H56" i="5"/>
  <c r="I56" i="5"/>
  <c r="J56" i="5"/>
  <c r="K56" i="5"/>
  <c r="P56" i="5" s="1"/>
  <c r="A57" i="5"/>
  <c r="B57" i="5"/>
  <c r="C57" i="5"/>
  <c r="D57" i="5"/>
  <c r="E57" i="5"/>
  <c r="F57" i="5"/>
  <c r="G57" i="5"/>
  <c r="H57" i="5"/>
  <c r="I57" i="5"/>
  <c r="J57" i="5"/>
  <c r="K57" i="5"/>
  <c r="M57" i="5" s="1"/>
  <c r="A58" i="5"/>
  <c r="B58" i="5"/>
  <c r="C58" i="5"/>
  <c r="D58" i="5"/>
  <c r="E58" i="5"/>
  <c r="F58" i="5"/>
  <c r="G58" i="5"/>
  <c r="H58" i="5"/>
  <c r="I58" i="5"/>
  <c r="J58" i="5"/>
  <c r="K58" i="5"/>
  <c r="M58" i="5" s="1"/>
  <c r="A59" i="5"/>
  <c r="B59" i="5"/>
  <c r="C59" i="5"/>
  <c r="D59" i="5"/>
  <c r="E59" i="5"/>
  <c r="F59" i="5"/>
  <c r="G59" i="5"/>
  <c r="H59" i="5"/>
  <c r="I59" i="5"/>
  <c r="K59" i="5"/>
  <c r="P59" i="5" s="1"/>
  <c r="A60" i="5"/>
  <c r="B60" i="5"/>
  <c r="C60" i="5"/>
  <c r="D60" i="5"/>
  <c r="E60" i="5"/>
  <c r="F60" i="5"/>
  <c r="G60" i="5"/>
  <c r="H60" i="5"/>
  <c r="I60" i="5"/>
  <c r="A61" i="5"/>
  <c r="B61" i="5"/>
  <c r="C61" i="5"/>
  <c r="D61" i="5"/>
  <c r="E61" i="5"/>
  <c r="F61" i="5"/>
  <c r="G61" i="5"/>
  <c r="H61" i="5"/>
  <c r="I61" i="5"/>
  <c r="J61" i="5"/>
  <c r="K61" i="5"/>
  <c r="A62" i="5"/>
  <c r="B62" i="5"/>
  <c r="C62" i="5"/>
  <c r="D62" i="5"/>
  <c r="E62" i="5"/>
  <c r="F62" i="5"/>
  <c r="G62" i="5"/>
  <c r="H62" i="5"/>
  <c r="I62" i="5"/>
  <c r="A63" i="5"/>
  <c r="B63" i="5"/>
  <c r="C63" i="5"/>
  <c r="D63" i="5"/>
  <c r="E63" i="5"/>
  <c r="F63" i="5"/>
  <c r="G63" i="5"/>
  <c r="H63" i="5"/>
  <c r="I63" i="5"/>
  <c r="J63" i="5"/>
  <c r="K63" i="5"/>
  <c r="P63" i="5" s="1"/>
  <c r="A64" i="5"/>
  <c r="B64" i="5"/>
  <c r="C64" i="5"/>
  <c r="D64" i="5"/>
  <c r="E64" i="5"/>
  <c r="F64" i="5"/>
  <c r="G64" i="5"/>
  <c r="H64" i="5"/>
  <c r="I64" i="5"/>
  <c r="K64" i="5"/>
  <c r="O64" i="5" s="1"/>
  <c r="A65" i="5"/>
  <c r="B65" i="5"/>
  <c r="C65" i="5"/>
  <c r="D65" i="5"/>
  <c r="E65" i="5"/>
  <c r="F65" i="5"/>
  <c r="G65" i="5"/>
  <c r="H65" i="5"/>
  <c r="I65" i="5"/>
  <c r="A66" i="5"/>
  <c r="B66" i="5"/>
  <c r="C66" i="5"/>
  <c r="D66" i="5"/>
  <c r="E66" i="5"/>
  <c r="F66" i="5"/>
  <c r="G66" i="5"/>
  <c r="H66" i="5"/>
  <c r="I66" i="5"/>
  <c r="K66" i="5"/>
  <c r="P66" i="5" s="1"/>
  <c r="A67" i="5"/>
  <c r="B67" i="5"/>
  <c r="C67" i="5"/>
  <c r="D67" i="5"/>
  <c r="E67" i="5"/>
  <c r="F67" i="5"/>
  <c r="G67" i="5"/>
  <c r="H67" i="5"/>
  <c r="I67" i="5"/>
  <c r="A68" i="5"/>
  <c r="B68" i="5"/>
  <c r="C68" i="5"/>
  <c r="D68" i="5"/>
  <c r="E68" i="5"/>
  <c r="F68" i="5"/>
  <c r="G68" i="5"/>
  <c r="H68" i="5"/>
  <c r="I68" i="5"/>
  <c r="J68" i="5"/>
  <c r="K68" i="5"/>
  <c r="N68" i="5" s="1"/>
  <c r="A69" i="5"/>
  <c r="B69" i="5"/>
  <c r="C69" i="5"/>
  <c r="D69" i="5"/>
  <c r="E69" i="5"/>
  <c r="F69" i="5"/>
  <c r="G69" i="5"/>
  <c r="H69" i="5"/>
  <c r="I69" i="5"/>
  <c r="A70" i="5"/>
  <c r="B70" i="5"/>
  <c r="C70" i="5"/>
  <c r="D70" i="5"/>
  <c r="E70" i="5"/>
  <c r="F70" i="5"/>
  <c r="G70" i="5"/>
  <c r="H70" i="5"/>
  <c r="I70" i="5"/>
  <c r="K70" i="5"/>
  <c r="M70" i="5" s="1"/>
  <c r="A71" i="5"/>
  <c r="B71" i="5"/>
  <c r="C71" i="5"/>
  <c r="D71" i="5"/>
  <c r="E71" i="5"/>
  <c r="F71" i="5"/>
  <c r="G71" i="5"/>
  <c r="H71" i="5"/>
  <c r="I71" i="5"/>
  <c r="K71" i="5"/>
  <c r="O71" i="5" s="1"/>
  <c r="A72" i="5"/>
  <c r="B72" i="5"/>
  <c r="C72" i="5"/>
  <c r="D72" i="5"/>
  <c r="E72" i="5"/>
  <c r="F72" i="5"/>
  <c r="G72" i="5"/>
  <c r="H72" i="5"/>
  <c r="I72" i="5"/>
  <c r="A73" i="5"/>
  <c r="B73" i="5"/>
  <c r="C73" i="5"/>
  <c r="D73" i="5"/>
  <c r="E73" i="5"/>
  <c r="F73" i="5"/>
  <c r="G73" i="5"/>
  <c r="H73" i="5"/>
  <c r="I73" i="5"/>
  <c r="K73" i="5"/>
  <c r="N73" i="5" s="1"/>
  <c r="A74" i="5"/>
  <c r="B74" i="5"/>
  <c r="C74" i="5"/>
  <c r="D74" i="5"/>
  <c r="E74" i="5"/>
  <c r="F74" i="5"/>
  <c r="G74" i="5"/>
  <c r="H74" i="5"/>
  <c r="I74" i="5"/>
  <c r="A75" i="5"/>
  <c r="B75" i="5"/>
  <c r="C75" i="5"/>
  <c r="D75" i="5"/>
  <c r="E75" i="5"/>
  <c r="F75" i="5"/>
  <c r="G75" i="5"/>
  <c r="H75" i="5"/>
  <c r="I75" i="5"/>
  <c r="K75" i="5"/>
  <c r="P75" i="5" s="1"/>
  <c r="A76" i="5"/>
  <c r="B76" i="5"/>
  <c r="C76" i="5"/>
  <c r="D76" i="5"/>
  <c r="E76" i="5"/>
  <c r="F76" i="5"/>
  <c r="G76" i="5"/>
  <c r="H76" i="5"/>
  <c r="I76" i="5"/>
  <c r="K76" i="5"/>
  <c r="O76" i="5" s="1"/>
  <c r="A77" i="5"/>
  <c r="B77" i="5"/>
  <c r="C77" i="5"/>
  <c r="D77" i="5"/>
  <c r="E77" i="5"/>
  <c r="F77" i="5"/>
  <c r="G77" i="5"/>
  <c r="H77" i="5"/>
  <c r="I77" i="5"/>
  <c r="J77" i="5"/>
  <c r="K77" i="5"/>
  <c r="P77" i="5" s="1"/>
  <c r="A78" i="5"/>
  <c r="B78" i="5"/>
  <c r="C78" i="5"/>
  <c r="D78" i="5"/>
  <c r="E78" i="5"/>
  <c r="F78" i="5"/>
  <c r="G78" i="5"/>
  <c r="H78" i="5"/>
  <c r="I78" i="5"/>
  <c r="A79" i="5"/>
  <c r="B79" i="5"/>
  <c r="C79" i="5"/>
  <c r="D79" i="5"/>
  <c r="E79" i="5"/>
  <c r="F79" i="5"/>
  <c r="G79" i="5"/>
  <c r="H79" i="5"/>
  <c r="I79" i="5"/>
  <c r="J79" i="5"/>
  <c r="K79" i="5"/>
  <c r="A80" i="5"/>
  <c r="B80" i="5"/>
  <c r="C80" i="5"/>
  <c r="D80" i="5"/>
  <c r="E80" i="5"/>
  <c r="F80" i="5"/>
  <c r="G80" i="5"/>
  <c r="H80" i="5"/>
  <c r="I80" i="5"/>
  <c r="A81" i="5"/>
  <c r="B81" i="5"/>
  <c r="C81" i="5"/>
  <c r="D81" i="5"/>
  <c r="E81" i="5"/>
  <c r="F81" i="5"/>
  <c r="G81" i="5"/>
  <c r="H81" i="5"/>
  <c r="I81" i="5"/>
  <c r="K81" i="5"/>
  <c r="M81" i="5" s="1"/>
  <c r="A82" i="5"/>
  <c r="B82" i="5"/>
  <c r="C82" i="5"/>
  <c r="D82" i="5"/>
  <c r="E82" i="5"/>
  <c r="F82" i="5"/>
  <c r="G82" i="5"/>
  <c r="H82" i="5"/>
  <c r="I82" i="5"/>
  <c r="K82" i="5"/>
  <c r="O82" i="5" s="1"/>
  <c r="A83" i="5"/>
  <c r="B83" i="5"/>
  <c r="C83" i="5"/>
  <c r="D83" i="5"/>
  <c r="E83" i="5"/>
  <c r="F83" i="5"/>
  <c r="G83" i="5"/>
  <c r="I83" i="5"/>
  <c r="A84" i="5"/>
  <c r="B84" i="5"/>
  <c r="C84" i="5"/>
  <c r="D84" i="5"/>
  <c r="E84" i="5"/>
  <c r="F84" i="5"/>
  <c r="G84" i="5"/>
  <c r="H84" i="5"/>
  <c r="I84" i="5"/>
  <c r="K84" i="5"/>
  <c r="P84" i="5" s="1"/>
  <c r="A85" i="5"/>
  <c r="B85" i="5"/>
  <c r="C85" i="5"/>
  <c r="D85" i="5"/>
  <c r="E85" i="5"/>
  <c r="F85" i="5"/>
  <c r="G85" i="5"/>
  <c r="H85" i="5"/>
  <c r="I85" i="5"/>
  <c r="J85" i="5"/>
  <c r="K85" i="5"/>
  <c r="O85" i="5" s="1"/>
  <c r="A86" i="5"/>
  <c r="B86" i="5"/>
  <c r="C86" i="5"/>
  <c r="D86" i="5"/>
  <c r="E86" i="5"/>
  <c r="F86" i="5"/>
  <c r="G86" i="5"/>
  <c r="I86" i="5"/>
  <c r="A87" i="5"/>
  <c r="B87" i="5"/>
  <c r="C87" i="5"/>
  <c r="D87" i="5"/>
  <c r="E87" i="5"/>
  <c r="F87" i="5"/>
  <c r="G87" i="5"/>
  <c r="H87" i="5"/>
  <c r="I87" i="5"/>
  <c r="K87" i="5"/>
  <c r="M87" i="5" s="1"/>
  <c r="A88" i="5"/>
  <c r="B88" i="5"/>
  <c r="C88" i="5"/>
  <c r="D88" i="5"/>
  <c r="E88" i="5"/>
  <c r="F88" i="5"/>
  <c r="G88" i="5"/>
  <c r="H88" i="5"/>
  <c r="I88" i="5"/>
  <c r="J88" i="5"/>
  <c r="K88" i="5"/>
  <c r="N88" i="5" s="1"/>
  <c r="A89" i="5"/>
  <c r="B89" i="5"/>
  <c r="C89" i="5"/>
  <c r="D89" i="5"/>
  <c r="E89" i="5"/>
  <c r="F89" i="5"/>
  <c r="G89" i="5"/>
  <c r="H89" i="5"/>
  <c r="I89" i="5"/>
  <c r="J89" i="5"/>
  <c r="K89" i="5"/>
  <c r="N89" i="5" s="1"/>
  <c r="A90" i="5"/>
  <c r="B90" i="5"/>
  <c r="C90" i="5"/>
  <c r="D90" i="5"/>
  <c r="E90" i="5"/>
  <c r="F90" i="5"/>
  <c r="G90" i="5"/>
  <c r="H90" i="5"/>
  <c r="I90" i="5"/>
  <c r="J90" i="5"/>
  <c r="K90" i="5"/>
  <c r="N90" i="5" s="1"/>
  <c r="A91" i="5"/>
  <c r="B91" i="5"/>
  <c r="C91" i="5"/>
  <c r="D91" i="5"/>
  <c r="E91" i="5"/>
  <c r="F91" i="5"/>
  <c r="G91" i="5"/>
  <c r="H91" i="5"/>
  <c r="I91" i="5"/>
  <c r="K91" i="5"/>
  <c r="A92" i="5"/>
  <c r="B92" i="5"/>
  <c r="C92" i="5"/>
  <c r="D92" i="5"/>
  <c r="E92" i="5"/>
  <c r="F92" i="5"/>
  <c r="G92" i="5"/>
  <c r="H92" i="5"/>
  <c r="I92" i="5"/>
  <c r="A93" i="5"/>
  <c r="B93" i="5"/>
  <c r="C93" i="5"/>
  <c r="D93" i="5"/>
  <c r="E93" i="5"/>
  <c r="F93" i="5"/>
  <c r="G93" i="5"/>
  <c r="H93" i="5"/>
  <c r="I93" i="5"/>
  <c r="K93" i="5"/>
  <c r="A94" i="5"/>
  <c r="B94" i="5"/>
  <c r="C94" i="5"/>
  <c r="D94" i="5"/>
  <c r="E94" i="5"/>
  <c r="F94" i="5"/>
  <c r="G94" i="5"/>
  <c r="H94" i="5"/>
  <c r="I94" i="5"/>
  <c r="A95" i="5"/>
  <c r="B95" i="5"/>
  <c r="C95" i="5"/>
  <c r="D95" i="5"/>
  <c r="E95" i="5"/>
  <c r="F95" i="5"/>
  <c r="G95" i="5"/>
  <c r="H95" i="5"/>
  <c r="I95" i="5"/>
  <c r="J95" i="5"/>
  <c r="K95" i="5"/>
  <c r="N95" i="5" s="1"/>
  <c r="A96" i="5"/>
  <c r="B96" i="5"/>
  <c r="C96" i="5"/>
  <c r="D96" i="5"/>
  <c r="E96" i="5"/>
  <c r="F96" i="5"/>
  <c r="G96" i="5"/>
  <c r="H96" i="5"/>
  <c r="I96" i="5"/>
  <c r="J96" i="5"/>
  <c r="K96" i="5"/>
  <c r="M96" i="5" s="1"/>
  <c r="A97" i="5"/>
  <c r="B97" i="5"/>
  <c r="C97" i="5"/>
  <c r="D97" i="5"/>
  <c r="E97" i="5"/>
  <c r="F97" i="5"/>
  <c r="G97" i="5"/>
  <c r="H97" i="5"/>
  <c r="I97" i="5"/>
  <c r="A98" i="5"/>
  <c r="B98" i="5"/>
  <c r="C98" i="5"/>
  <c r="D98" i="5"/>
  <c r="E98" i="5"/>
  <c r="F98" i="5"/>
  <c r="G98" i="5"/>
  <c r="H98" i="5"/>
  <c r="I98" i="5"/>
  <c r="J98" i="5"/>
  <c r="K98" i="5"/>
  <c r="O98" i="5" s="1"/>
  <c r="A99" i="5"/>
  <c r="B99" i="5"/>
  <c r="C99" i="5"/>
  <c r="D99" i="5"/>
  <c r="E99" i="5"/>
  <c r="F99" i="5"/>
  <c r="G99" i="5"/>
  <c r="H99" i="5"/>
  <c r="I99" i="5"/>
  <c r="A100" i="5"/>
  <c r="B100" i="5"/>
  <c r="C100" i="5"/>
  <c r="D100" i="5"/>
  <c r="E100" i="5"/>
  <c r="F100" i="5"/>
  <c r="G100" i="5"/>
  <c r="H100" i="5"/>
  <c r="I100" i="5"/>
  <c r="K100" i="5"/>
  <c r="P100" i="5" s="1"/>
  <c r="A101" i="5"/>
  <c r="B101" i="5"/>
  <c r="C101" i="5"/>
  <c r="D101" i="5"/>
  <c r="E101" i="5"/>
  <c r="F101" i="5"/>
  <c r="G101" i="5"/>
  <c r="H101" i="5"/>
  <c r="I101" i="5"/>
  <c r="A102" i="5"/>
  <c r="B102" i="5"/>
  <c r="C102" i="5"/>
  <c r="D102" i="5"/>
  <c r="E102" i="5"/>
  <c r="F102" i="5"/>
  <c r="G102" i="5"/>
  <c r="H102" i="5"/>
  <c r="I102" i="5"/>
  <c r="K102" i="5"/>
  <c r="P102" i="5" s="1"/>
  <c r="A103" i="5"/>
  <c r="B103" i="5"/>
  <c r="C103" i="5"/>
  <c r="D103" i="5"/>
  <c r="E103" i="5"/>
  <c r="F103" i="5"/>
  <c r="G103" i="5"/>
  <c r="H103" i="5"/>
  <c r="I103" i="5"/>
  <c r="A104" i="5"/>
  <c r="B104" i="5"/>
  <c r="C104" i="5"/>
  <c r="D104" i="5"/>
  <c r="E104" i="5"/>
  <c r="F104" i="5"/>
  <c r="G104" i="5"/>
  <c r="H104" i="5"/>
  <c r="I104" i="5"/>
  <c r="J104" i="5"/>
  <c r="K104" i="5"/>
  <c r="O104" i="5" s="1"/>
  <c r="A105" i="5"/>
  <c r="B105" i="5"/>
  <c r="C105" i="5"/>
  <c r="D105" i="5"/>
  <c r="E105" i="5"/>
  <c r="F105" i="5"/>
  <c r="G105" i="5"/>
  <c r="H105" i="5"/>
  <c r="I105" i="5"/>
  <c r="A106" i="5"/>
  <c r="B106" i="5"/>
  <c r="C106" i="5"/>
  <c r="D106" i="5"/>
  <c r="E106" i="5"/>
  <c r="F106" i="5"/>
  <c r="G106" i="5"/>
  <c r="H106" i="5"/>
  <c r="I106" i="5"/>
  <c r="J106" i="5"/>
  <c r="K106" i="5"/>
  <c r="N106" i="5" s="1"/>
  <c r="A107" i="5"/>
  <c r="B107" i="5"/>
  <c r="C107" i="5"/>
  <c r="D107" i="5"/>
  <c r="E107" i="5"/>
  <c r="F107" i="5"/>
  <c r="G107" i="5"/>
  <c r="H107" i="5"/>
  <c r="I107" i="5"/>
  <c r="K107" i="5"/>
  <c r="M107" i="5" s="1"/>
  <c r="A108" i="5"/>
  <c r="B108" i="5"/>
  <c r="C108" i="5"/>
  <c r="D108" i="5"/>
  <c r="E108" i="5"/>
  <c r="F108" i="5"/>
  <c r="G108" i="5"/>
  <c r="H108" i="5"/>
  <c r="I108" i="5"/>
  <c r="A109" i="5"/>
  <c r="B109" i="5"/>
  <c r="C109" i="5"/>
  <c r="D109" i="5"/>
  <c r="E109" i="5"/>
  <c r="F109" i="5"/>
  <c r="G109" i="5"/>
  <c r="H109" i="5"/>
  <c r="I109" i="5"/>
  <c r="K109" i="5"/>
  <c r="O109" i="5" s="1"/>
  <c r="A110" i="5"/>
  <c r="B110" i="5"/>
  <c r="C110" i="5"/>
  <c r="D110" i="5"/>
  <c r="E110" i="5"/>
  <c r="F110" i="5"/>
  <c r="G110" i="5"/>
  <c r="H110" i="5"/>
  <c r="I110" i="5"/>
  <c r="A111" i="5"/>
  <c r="B111" i="5"/>
  <c r="C111" i="5"/>
  <c r="D111" i="5"/>
  <c r="E111" i="5"/>
  <c r="F111" i="5"/>
  <c r="G111" i="5"/>
  <c r="H111" i="5"/>
  <c r="I111" i="5"/>
  <c r="K111" i="5"/>
  <c r="M111" i="5" s="1"/>
  <c r="A112" i="5"/>
  <c r="B112" i="5"/>
  <c r="C112" i="5"/>
  <c r="D112" i="5"/>
  <c r="E112" i="5"/>
  <c r="F112" i="5"/>
  <c r="G112" i="5"/>
  <c r="H112" i="5"/>
  <c r="I112" i="5"/>
  <c r="K112" i="5"/>
  <c r="N112" i="5" s="1"/>
  <c r="A113" i="5"/>
  <c r="B113" i="5"/>
  <c r="C113" i="5"/>
  <c r="D113" i="5"/>
  <c r="E113" i="5"/>
  <c r="F113" i="5"/>
  <c r="G113" i="5"/>
  <c r="H113" i="5"/>
  <c r="I113" i="5"/>
  <c r="A114" i="5"/>
  <c r="B114" i="5"/>
  <c r="C114" i="5"/>
  <c r="D114" i="5"/>
  <c r="E114" i="5"/>
  <c r="F114" i="5"/>
  <c r="G114" i="5"/>
  <c r="H114" i="5"/>
  <c r="I114" i="5"/>
  <c r="K114" i="5"/>
  <c r="N114" i="5" s="1"/>
  <c r="A115" i="5"/>
  <c r="B115" i="5"/>
  <c r="C115" i="5"/>
  <c r="D115" i="5"/>
  <c r="E115" i="5"/>
  <c r="F115" i="5"/>
  <c r="G115" i="5"/>
  <c r="H115" i="5"/>
  <c r="I115" i="5"/>
  <c r="N116" i="1"/>
  <c r="J115" i="5" s="1"/>
  <c r="A116" i="5"/>
  <c r="B116" i="5"/>
  <c r="C116" i="5"/>
  <c r="D116" i="5"/>
  <c r="E116" i="5"/>
  <c r="F116" i="5"/>
  <c r="G116" i="5"/>
  <c r="H116" i="5"/>
  <c r="I116" i="5"/>
  <c r="J116" i="5"/>
  <c r="K116" i="5"/>
  <c r="L116" i="5" s="1"/>
  <c r="A117" i="5"/>
  <c r="B117" i="5"/>
  <c r="C117" i="5"/>
  <c r="D117" i="5"/>
  <c r="E117" i="5"/>
  <c r="F117" i="5"/>
  <c r="G117" i="5"/>
  <c r="H117" i="5"/>
  <c r="I117" i="5"/>
  <c r="A118" i="5"/>
  <c r="B118" i="5"/>
  <c r="C118" i="5"/>
  <c r="D118" i="5"/>
  <c r="E118" i="5"/>
  <c r="F118" i="5"/>
  <c r="G118" i="5"/>
  <c r="H118" i="5"/>
  <c r="I118" i="5"/>
  <c r="K118" i="5"/>
  <c r="L118" i="5" s="1"/>
  <c r="A119" i="5"/>
  <c r="B119" i="5"/>
  <c r="C119" i="5"/>
  <c r="D119" i="5"/>
  <c r="E119" i="5"/>
  <c r="F119" i="5"/>
  <c r="G119" i="5"/>
  <c r="H119" i="5"/>
  <c r="I119" i="5"/>
  <c r="K119" i="5"/>
  <c r="L119" i="5" s="1"/>
  <c r="A120" i="5"/>
  <c r="B120" i="5"/>
  <c r="C120" i="5"/>
  <c r="D120" i="5"/>
  <c r="E120" i="5"/>
  <c r="F120" i="5"/>
  <c r="G120" i="5"/>
  <c r="H120" i="5"/>
  <c r="I120" i="5"/>
  <c r="K120" i="5"/>
  <c r="P120" i="5" s="1"/>
  <c r="A121" i="5"/>
  <c r="B121" i="5"/>
  <c r="C121" i="5"/>
  <c r="D121" i="5"/>
  <c r="E121" i="5"/>
  <c r="F121" i="5"/>
  <c r="G121" i="5"/>
  <c r="H121" i="5"/>
  <c r="I121" i="5"/>
  <c r="K121" i="5"/>
  <c r="N121" i="5" s="1"/>
  <c r="A122" i="5"/>
  <c r="B122" i="5"/>
  <c r="C122" i="5"/>
  <c r="D122" i="5"/>
  <c r="E122" i="5"/>
  <c r="F122" i="5"/>
  <c r="G122" i="5"/>
  <c r="H122" i="5"/>
  <c r="I122" i="5"/>
  <c r="K122" i="5"/>
  <c r="L122" i="5" s="1"/>
  <c r="A123" i="5"/>
  <c r="B123" i="5"/>
  <c r="C123" i="5"/>
  <c r="D123" i="5"/>
  <c r="E123" i="5"/>
  <c r="F123" i="5"/>
  <c r="G123" i="5"/>
  <c r="H123" i="5"/>
  <c r="I123" i="5"/>
  <c r="N124" i="1"/>
  <c r="J123" i="5" s="1"/>
  <c r="K123" i="5"/>
  <c r="P123" i="5" s="1"/>
  <c r="A124" i="5"/>
  <c r="B124" i="5"/>
  <c r="C124" i="5"/>
  <c r="D124" i="5"/>
  <c r="E124" i="5"/>
  <c r="F124" i="5"/>
  <c r="G124" i="5"/>
  <c r="H124" i="5"/>
  <c r="I124" i="5"/>
  <c r="A125" i="5"/>
  <c r="B125" i="5"/>
  <c r="C125" i="5"/>
  <c r="D125" i="5"/>
  <c r="E125" i="5"/>
  <c r="F125" i="5"/>
  <c r="G125" i="5"/>
  <c r="H125" i="5"/>
  <c r="I125" i="5"/>
  <c r="K125" i="5"/>
  <c r="P125" i="5" s="1"/>
  <c r="A126" i="5"/>
  <c r="B126" i="5"/>
  <c r="C126" i="5"/>
  <c r="D126" i="5"/>
  <c r="E126" i="5"/>
  <c r="F126" i="5"/>
  <c r="G126" i="5"/>
  <c r="H126" i="5"/>
  <c r="I126" i="5"/>
  <c r="A127" i="5"/>
  <c r="B127" i="5"/>
  <c r="C127" i="5"/>
  <c r="D127" i="5"/>
  <c r="E127" i="5"/>
  <c r="F127" i="5"/>
  <c r="G127" i="5"/>
  <c r="H127" i="5"/>
  <c r="I127" i="5"/>
  <c r="K127" i="5"/>
  <c r="L127" i="5" s="1"/>
  <c r="A128" i="5"/>
  <c r="B128" i="5"/>
  <c r="C128" i="5"/>
  <c r="D128" i="5"/>
  <c r="E128" i="5"/>
  <c r="F128" i="5"/>
  <c r="G128" i="5"/>
  <c r="H128" i="5"/>
  <c r="I128" i="5"/>
  <c r="J128" i="5"/>
  <c r="K128" i="5"/>
  <c r="L128" i="5" s="1"/>
  <c r="A129" i="5"/>
  <c r="B129" i="5"/>
  <c r="C129" i="5"/>
  <c r="D129" i="5"/>
  <c r="E129" i="5"/>
  <c r="F129" i="5"/>
  <c r="G129" i="5"/>
  <c r="H129" i="5"/>
  <c r="I129" i="5"/>
  <c r="A130" i="5"/>
  <c r="B130" i="5"/>
  <c r="C130" i="5"/>
  <c r="D130" i="5"/>
  <c r="E130" i="5"/>
  <c r="F130" i="5"/>
  <c r="G130" i="5"/>
  <c r="H130" i="5"/>
  <c r="I130" i="5"/>
  <c r="K130" i="5"/>
  <c r="M130" i="5" s="1"/>
  <c r="A131" i="5"/>
  <c r="B131" i="5"/>
  <c r="C131" i="5"/>
  <c r="D131" i="5"/>
  <c r="E131" i="5"/>
  <c r="F131" i="5"/>
  <c r="G131" i="5"/>
  <c r="H131" i="5"/>
  <c r="I131" i="5"/>
  <c r="A132" i="5"/>
  <c r="B132" i="5"/>
  <c r="C132" i="5"/>
  <c r="D132" i="5"/>
  <c r="E132" i="5"/>
  <c r="F132" i="5"/>
  <c r="G132" i="5"/>
  <c r="H132" i="5"/>
  <c r="I132" i="5"/>
  <c r="J132" i="5"/>
  <c r="K132" i="5"/>
  <c r="N132" i="5" s="1"/>
  <c r="A133" i="5"/>
  <c r="B133" i="5"/>
  <c r="C133" i="5"/>
  <c r="D133" i="5"/>
  <c r="E133" i="5"/>
  <c r="F133" i="5"/>
  <c r="G133" i="5"/>
  <c r="H133" i="5"/>
  <c r="I133" i="5"/>
  <c r="A134" i="5"/>
  <c r="B134" i="5"/>
  <c r="C134" i="5"/>
  <c r="D134" i="5"/>
  <c r="E134" i="5"/>
  <c r="F134" i="5"/>
  <c r="G134" i="5"/>
  <c r="H134" i="5"/>
  <c r="I134" i="5"/>
  <c r="K134" i="5"/>
  <c r="L134" i="5" s="1"/>
  <c r="A135" i="5"/>
  <c r="B135" i="5"/>
  <c r="C135" i="5"/>
  <c r="D135" i="5"/>
  <c r="E135" i="5"/>
  <c r="F135" i="5"/>
  <c r="G135" i="5"/>
  <c r="H135" i="5"/>
  <c r="I135" i="5"/>
  <c r="A136" i="5"/>
  <c r="B136" i="5"/>
  <c r="C136" i="5"/>
  <c r="D136" i="5"/>
  <c r="E136" i="5"/>
  <c r="F136" i="5"/>
  <c r="G136" i="5"/>
  <c r="H136" i="5"/>
  <c r="I136" i="5"/>
  <c r="K136" i="5"/>
  <c r="O136" i="5" s="1"/>
  <c r="A137" i="5"/>
  <c r="B137" i="5"/>
  <c r="D137" i="5"/>
  <c r="E137" i="5"/>
  <c r="F137" i="5"/>
  <c r="G137" i="5"/>
  <c r="H137" i="5"/>
  <c r="I137" i="5"/>
  <c r="A138" i="5"/>
  <c r="B138" i="5"/>
  <c r="C138" i="5"/>
  <c r="D138" i="5"/>
  <c r="E138" i="5"/>
  <c r="F138" i="5"/>
  <c r="G138" i="5"/>
  <c r="H138" i="5"/>
  <c r="I138" i="5"/>
  <c r="J138" i="5"/>
  <c r="K138" i="5"/>
  <c r="N138" i="5" s="1"/>
  <c r="A139" i="5"/>
  <c r="B139" i="5"/>
  <c r="C139" i="5"/>
  <c r="D139" i="5"/>
  <c r="E139" i="5"/>
  <c r="F139" i="5"/>
  <c r="G139" i="5"/>
  <c r="H139" i="5"/>
  <c r="I139" i="5"/>
  <c r="A140" i="5"/>
  <c r="B140" i="5"/>
  <c r="C140" i="5"/>
  <c r="D140" i="5"/>
  <c r="E140" i="5"/>
  <c r="F140" i="5"/>
  <c r="G140" i="5"/>
  <c r="H140" i="5"/>
  <c r="I140" i="5"/>
  <c r="J140" i="5"/>
  <c r="K140" i="5"/>
  <c r="A141" i="5"/>
  <c r="B141" i="5"/>
  <c r="C141" i="5"/>
  <c r="D141" i="5"/>
  <c r="E141" i="5"/>
  <c r="F141" i="5"/>
  <c r="G141" i="5"/>
  <c r="H141" i="5"/>
  <c r="I141" i="5"/>
  <c r="J141" i="5"/>
  <c r="K141" i="5"/>
  <c r="N141" i="5" s="1"/>
  <c r="A142" i="5"/>
  <c r="B142" i="5"/>
  <c r="C142" i="5"/>
  <c r="D142" i="5"/>
  <c r="E142" i="5"/>
  <c r="F142" i="5"/>
  <c r="G142" i="5"/>
  <c r="H142" i="5"/>
  <c r="I142" i="5"/>
  <c r="J142" i="5"/>
  <c r="K142" i="5"/>
  <c r="A143" i="5"/>
  <c r="B143" i="5"/>
  <c r="C143" i="5"/>
  <c r="D143" i="5"/>
  <c r="E143" i="5"/>
  <c r="F143" i="5"/>
  <c r="G143" i="5"/>
  <c r="H143" i="5"/>
  <c r="I143" i="5"/>
  <c r="A144" i="5"/>
  <c r="B144" i="5"/>
  <c r="C144" i="5"/>
  <c r="D144" i="5"/>
  <c r="E144" i="5"/>
  <c r="F144" i="5"/>
  <c r="G144" i="5"/>
  <c r="I144" i="5"/>
  <c r="J144" i="5"/>
  <c r="K144" i="5"/>
  <c r="M144" i="5" s="1"/>
  <c r="A145" i="5"/>
  <c r="B145" i="5"/>
  <c r="C145" i="5"/>
  <c r="D145" i="5"/>
  <c r="E145" i="5"/>
  <c r="F145" i="5"/>
  <c r="G145" i="5"/>
  <c r="H145" i="5"/>
  <c r="I145" i="5"/>
  <c r="J145" i="5"/>
  <c r="K145" i="5"/>
  <c r="P145" i="5" s="1"/>
  <c r="A146" i="5"/>
  <c r="B146" i="5"/>
  <c r="C146" i="5"/>
  <c r="D146" i="5"/>
  <c r="E146" i="5"/>
  <c r="F146" i="5"/>
  <c r="G146" i="5"/>
  <c r="H146" i="5"/>
  <c r="I146" i="5"/>
  <c r="J146" i="5"/>
  <c r="A147" i="5"/>
  <c r="B147" i="5"/>
  <c r="C147" i="5"/>
  <c r="D147" i="5"/>
  <c r="E147" i="5"/>
  <c r="F147" i="5"/>
  <c r="G147" i="5"/>
  <c r="H147" i="5"/>
  <c r="I147" i="5"/>
  <c r="J147" i="5"/>
  <c r="K147" i="5"/>
  <c r="P147" i="5" s="1"/>
  <c r="A148" i="5"/>
  <c r="B148" i="5"/>
  <c r="C148" i="5"/>
  <c r="D148" i="5"/>
  <c r="E148" i="5"/>
  <c r="F148" i="5"/>
  <c r="G148" i="5"/>
  <c r="H148" i="5"/>
  <c r="I148" i="5"/>
  <c r="J148" i="5"/>
  <c r="A149" i="5"/>
  <c r="B149" i="5"/>
  <c r="C149" i="5"/>
  <c r="D149" i="5"/>
  <c r="E149" i="5"/>
  <c r="F149" i="5"/>
  <c r="G149" i="5"/>
  <c r="H149" i="5"/>
  <c r="I149" i="5"/>
  <c r="J149" i="5"/>
  <c r="K149" i="5"/>
  <c r="P149" i="5" s="1"/>
  <c r="A150" i="5"/>
  <c r="B150" i="5"/>
  <c r="C150" i="5"/>
  <c r="D150" i="5"/>
  <c r="E150" i="5"/>
  <c r="F150" i="5"/>
  <c r="G150" i="5"/>
  <c r="H150" i="5"/>
  <c r="I150" i="5"/>
  <c r="J150" i="5"/>
  <c r="K150" i="5"/>
  <c r="O150" i="5" s="1"/>
  <c r="A151" i="5"/>
  <c r="B151" i="5"/>
  <c r="C151" i="5"/>
  <c r="D151" i="5"/>
  <c r="E151" i="5"/>
  <c r="F151" i="5"/>
  <c r="G151" i="5"/>
  <c r="H151" i="5"/>
  <c r="I151" i="5"/>
  <c r="A152" i="5"/>
  <c r="B152" i="5"/>
  <c r="C152" i="5"/>
  <c r="D152" i="5"/>
  <c r="E152" i="5"/>
  <c r="F152" i="5"/>
  <c r="G152" i="5"/>
  <c r="H152" i="5"/>
  <c r="I152" i="5"/>
  <c r="K152" i="5"/>
  <c r="N152" i="5" s="1"/>
  <c r="A153" i="5"/>
  <c r="B153" i="5"/>
  <c r="C153" i="5"/>
  <c r="D153" i="5"/>
  <c r="E153" i="5"/>
  <c r="F153" i="5"/>
  <c r="G153" i="5"/>
  <c r="H153" i="5"/>
  <c r="I153" i="5"/>
  <c r="J153" i="5"/>
  <c r="A154" i="5"/>
  <c r="B154" i="5"/>
  <c r="C154" i="5"/>
  <c r="D154" i="5"/>
  <c r="E154" i="5"/>
  <c r="F154" i="5"/>
  <c r="G154" i="5"/>
  <c r="H154" i="5"/>
  <c r="I154" i="5"/>
  <c r="J154" i="5"/>
  <c r="K154" i="5"/>
  <c r="A155" i="5"/>
  <c r="B155" i="5"/>
  <c r="C155" i="5"/>
  <c r="D155" i="5"/>
  <c r="E155" i="5"/>
  <c r="F155" i="5"/>
  <c r="G155" i="5"/>
  <c r="H155" i="5"/>
  <c r="I155" i="5"/>
  <c r="J155" i="5"/>
  <c r="K155" i="5"/>
  <c r="M155" i="5" s="1"/>
  <c r="A156" i="5"/>
  <c r="B156" i="5"/>
  <c r="C156" i="5"/>
  <c r="D156" i="5"/>
  <c r="E156" i="5"/>
  <c r="F156" i="5"/>
  <c r="G156" i="5"/>
  <c r="H156" i="5"/>
  <c r="I156" i="5"/>
  <c r="K156" i="5"/>
  <c r="P156" i="5" s="1"/>
  <c r="A157" i="5"/>
  <c r="B157" i="5"/>
  <c r="C157" i="5"/>
  <c r="D157" i="5"/>
  <c r="E157" i="5"/>
  <c r="F157" i="5"/>
  <c r="G157" i="5"/>
  <c r="H157" i="5"/>
  <c r="I157" i="5"/>
  <c r="A158" i="5"/>
  <c r="B158" i="5"/>
  <c r="C158" i="5"/>
  <c r="D158" i="5"/>
  <c r="E158" i="5"/>
  <c r="F158" i="5"/>
  <c r="G158" i="5"/>
  <c r="H158" i="5"/>
  <c r="I158" i="5"/>
  <c r="J158" i="5"/>
  <c r="K158" i="5"/>
  <c r="O158" i="5" s="1"/>
  <c r="A159" i="5"/>
  <c r="B159" i="5"/>
  <c r="C159" i="5"/>
  <c r="D159" i="5"/>
  <c r="E159" i="5"/>
  <c r="F159" i="5"/>
  <c r="G159" i="5"/>
  <c r="H159" i="5"/>
  <c r="I159" i="5"/>
  <c r="J159" i="5"/>
  <c r="K159" i="5"/>
  <c r="P159" i="5" s="1"/>
  <c r="A160" i="5"/>
  <c r="B160" i="5"/>
  <c r="C160" i="5"/>
  <c r="D160" i="5"/>
  <c r="E160" i="5"/>
  <c r="F160" i="5"/>
  <c r="G160" i="5"/>
  <c r="H160" i="5"/>
  <c r="J160" i="5"/>
  <c r="A161" i="5"/>
  <c r="B161" i="5"/>
  <c r="C161" i="5"/>
  <c r="D161" i="5"/>
  <c r="E161" i="5"/>
  <c r="F161" i="5"/>
  <c r="G161" i="5"/>
  <c r="H161" i="5"/>
  <c r="I161" i="5"/>
  <c r="J161" i="5"/>
  <c r="K161" i="5"/>
  <c r="L161" i="5" s="1"/>
  <c r="A162" i="5"/>
  <c r="B162" i="5"/>
  <c r="C162" i="5"/>
  <c r="D162" i="5"/>
  <c r="E162" i="5"/>
  <c r="F162" i="5"/>
  <c r="G162" i="5"/>
  <c r="H162" i="5"/>
  <c r="J162" i="5"/>
  <c r="K162" i="5"/>
  <c r="P162" i="5" s="1"/>
  <c r="A163" i="5"/>
  <c r="B163" i="5"/>
  <c r="C163" i="5"/>
  <c r="D163" i="5"/>
  <c r="E163" i="5"/>
  <c r="F163" i="5"/>
  <c r="G163" i="5"/>
  <c r="H163" i="5"/>
  <c r="N170" i="1"/>
  <c r="A164" i="5"/>
  <c r="B164" i="5"/>
  <c r="C164" i="5"/>
  <c r="D164" i="5"/>
  <c r="E164" i="5"/>
  <c r="F164" i="5"/>
  <c r="G164" i="5"/>
  <c r="H164" i="5"/>
  <c r="I164" i="5"/>
  <c r="J164" i="5"/>
  <c r="K164" i="5"/>
  <c r="A165" i="5"/>
  <c r="B165" i="5"/>
  <c r="C165" i="5"/>
  <c r="D165" i="5"/>
  <c r="E165" i="5"/>
  <c r="F165" i="5"/>
  <c r="G165" i="5"/>
  <c r="H165" i="5"/>
  <c r="I165" i="5"/>
  <c r="J165" i="5"/>
  <c r="K165" i="5"/>
  <c r="L165" i="5" s="1"/>
  <c r="A166" i="5"/>
  <c r="B166" i="5"/>
  <c r="C166" i="5"/>
  <c r="D166" i="5"/>
  <c r="E166" i="5"/>
  <c r="F166" i="5"/>
  <c r="G166" i="5"/>
  <c r="H166" i="5"/>
  <c r="I166" i="5"/>
  <c r="A167" i="5"/>
  <c r="B167" i="5"/>
  <c r="C167" i="5"/>
  <c r="D167" i="5"/>
  <c r="E167" i="5"/>
  <c r="F167" i="5"/>
  <c r="G167" i="5"/>
  <c r="H167" i="5"/>
  <c r="I167" i="5"/>
  <c r="J167" i="5"/>
  <c r="A168" i="5"/>
  <c r="B168" i="5"/>
  <c r="C168" i="5"/>
  <c r="D168" i="5"/>
  <c r="E168" i="5"/>
  <c r="F168" i="5"/>
  <c r="G168" i="5"/>
  <c r="I168" i="5"/>
  <c r="J168" i="5"/>
  <c r="A169" i="5"/>
  <c r="B169" i="5"/>
  <c r="C169" i="5"/>
  <c r="D169" i="5"/>
  <c r="E169" i="5"/>
  <c r="F169" i="5"/>
  <c r="G169" i="5"/>
  <c r="H169" i="5"/>
  <c r="I169" i="5"/>
  <c r="K169" i="5"/>
  <c r="L169" i="5" s="1"/>
  <c r="A170" i="5"/>
  <c r="B170" i="5"/>
  <c r="C170" i="5"/>
  <c r="D170" i="5"/>
  <c r="E170" i="5"/>
  <c r="F170" i="5"/>
  <c r="G170" i="5"/>
  <c r="H170" i="5"/>
  <c r="J170" i="5"/>
  <c r="K170" i="5"/>
  <c r="A171" i="5"/>
  <c r="B171" i="5"/>
  <c r="C171" i="5"/>
  <c r="D171" i="5"/>
  <c r="E171" i="5"/>
  <c r="F171" i="5"/>
  <c r="G171" i="5"/>
  <c r="H171" i="5"/>
  <c r="J171" i="5"/>
  <c r="A172" i="5"/>
  <c r="B172" i="5"/>
  <c r="C172" i="5"/>
  <c r="D172" i="5"/>
  <c r="E172" i="5"/>
  <c r="F172" i="5"/>
  <c r="G172" i="5"/>
  <c r="H172" i="5"/>
  <c r="J172" i="5"/>
  <c r="K172" i="5"/>
  <c r="A173" i="5"/>
  <c r="B173" i="5"/>
  <c r="C173" i="5"/>
  <c r="D173" i="5"/>
  <c r="E173" i="5"/>
  <c r="F173" i="5"/>
  <c r="G173" i="5"/>
  <c r="H173" i="5"/>
  <c r="J173" i="5"/>
  <c r="A174" i="5"/>
  <c r="B174" i="5"/>
  <c r="C174" i="5"/>
  <c r="D174" i="5"/>
  <c r="E174" i="5"/>
  <c r="F174" i="5"/>
  <c r="G174" i="5"/>
  <c r="H174" i="5"/>
  <c r="I174" i="5"/>
  <c r="J174" i="5"/>
  <c r="K174" i="5"/>
  <c r="A175" i="5"/>
  <c r="B175" i="5"/>
  <c r="C175" i="5"/>
  <c r="D175" i="5"/>
  <c r="E175" i="5"/>
  <c r="F175" i="5"/>
  <c r="G175" i="5"/>
  <c r="H175" i="5"/>
  <c r="I175" i="5"/>
  <c r="A176" i="5"/>
  <c r="B176" i="5"/>
  <c r="C176" i="5"/>
  <c r="D176" i="5"/>
  <c r="E176" i="5"/>
  <c r="F176" i="5"/>
  <c r="G176" i="5"/>
  <c r="H176" i="5"/>
  <c r="I176" i="5"/>
  <c r="J176" i="5"/>
  <c r="K176" i="5"/>
  <c r="O176" i="5" s="1"/>
  <c r="A177" i="5"/>
  <c r="B177" i="5"/>
  <c r="C177" i="5"/>
  <c r="D177" i="5"/>
  <c r="E177" i="5"/>
  <c r="F177" i="5"/>
  <c r="G177" i="5"/>
  <c r="H177" i="5"/>
  <c r="I177" i="5"/>
  <c r="J177" i="5"/>
  <c r="K177" i="5"/>
  <c r="M177" i="5" s="1"/>
  <c r="A178" i="5"/>
  <c r="B178" i="5"/>
  <c r="C178" i="5"/>
  <c r="D178" i="5"/>
  <c r="E178" i="5"/>
  <c r="F178" i="5"/>
  <c r="G178" i="5"/>
  <c r="H178" i="5"/>
  <c r="I178" i="5"/>
  <c r="A179" i="5"/>
  <c r="B179" i="5"/>
  <c r="C179" i="5"/>
  <c r="D179" i="5"/>
  <c r="E179" i="5"/>
  <c r="F179" i="5"/>
  <c r="G179" i="5"/>
  <c r="H179" i="5"/>
  <c r="I179" i="5"/>
  <c r="J179" i="5"/>
  <c r="K179" i="5"/>
  <c r="O179" i="5" s="1"/>
  <c r="A180" i="5"/>
  <c r="B180" i="5"/>
  <c r="C180" i="5"/>
  <c r="D180" i="5"/>
  <c r="E180" i="5"/>
  <c r="F180" i="5"/>
  <c r="G180" i="5"/>
  <c r="H180" i="5"/>
  <c r="J180" i="5"/>
  <c r="A181" i="5"/>
  <c r="B181" i="5"/>
  <c r="C181" i="5"/>
  <c r="D181" i="5"/>
  <c r="E181" i="5"/>
  <c r="F181" i="5"/>
  <c r="G181" i="5"/>
  <c r="H181" i="5"/>
  <c r="I181" i="5"/>
  <c r="J181" i="5"/>
  <c r="K181" i="5"/>
  <c r="N181" i="5" s="1"/>
  <c r="A182" i="5"/>
  <c r="B182" i="5"/>
  <c r="C182" i="5"/>
  <c r="D182" i="5"/>
  <c r="E182" i="5"/>
  <c r="F182" i="5"/>
  <c r="G182" i="5"/>
  <c r="H182" i="5"/>
  <c r="I182" i="5"/>
  <c r="A183" i="5"/>
  <c r="B183" i="5"/>
  <c r="C183" i="5"/>
  <c r="D183" i="5"/>
  <c r="E183" i="5"/>
  <c r="F183" i="5"/>
  <c r="G183" i="5"/>
  <c r="H183" i="5"/>
  <c r="I183" i="5"/>
  <c r="J183" i="5"/>
  <c r="A184" i="5"/>
  <c r="B184" i="5"/>
  <c r="C184" i="5"/>
  <c r="D184" i="5"/>
  <c r="E184" i="5"/>
  <c r="F184" i="5"/>
  <c r="G184" i="5"/>
  <c r="H184" i="5"/>
  <c r="I184" i="5"/>
  <c r="J184" i="5"/>
  <c r="K184" i="5"/>
  <c r="O184" i="5" s="1"/>
  <c r="A185" i="5"/>
  <c r="B185" i="5"/>
  <c r="C185" i="5"/>
  <c r="D185" i="5"/>
  <c r="E185" i="5"/>
  <c r="F185" i="5"/>
  <c r="G185" i="5"/>
  <c r="H185" i="5"/>
  <c r="I185" i="5"/>
  <c r="J185" i="5"/>
  <c r="A186" i="5"/>
  <c r="B186" i="5"/>
  <c r="C186" i="5"/>
  <c r="D186" i="5"/>
  <c r="E186" i="5"/>
  <c r="F186" i="5"/>
  <c r="G186" i="5"/>
  <c r="H186" i="5"/>
  <c r="I186" i="5"/>
  <c r="J186" i="5"/>
  <c r="K186" i="5"/>
  <c r="O186" i="5" s="1"/>
  <c r="A187" i="5"/>
  <c r="B187" i="5"/>
  <c r="C187" i="5"/>
  <c r="D187" i="5"/>
  <c r="E187" i="5"/>
  <c r="F187" i="5"/>
  <c r="G187" i="5"/>
  <c r="H187" i="5"/>
  <c r="I187" i="5"/>
  <c r="J187" i="5"/>
  <c r="K187" i="5"/>
  <c r="A188" i="5"/>
  <c r="B188" i="5"/>
  <c r="C188" i="5"/>
  <c r="D188" i="5"/>
  <c r="E188" i="5"/>
  <c r="F188" i="5"/>
  <c r="G188" i="5"/>
  <c r="H188" i="5"/>
  <c r="I188" i="5"/>
  <c r="J188" i="5"/>
  <c r="K188" i="5"/>
  <c r="P188" i="5" s="1"/>
  <c r="A189" i="5"/>
  <c r="B189" i="5"/>
  <c r="C189" i="5"/>
  <c r="D189" i="5"/>
  <c r="E189" i="5"/>
  <c r="F189" i="5"/>
  <c r="G189" i="5"/>
  <c r="H189" i="5"/>
  <c r="I189" i="5"/>
  <c r="J189" i="5"/>
  <c r="K189" i="5"/>
  <c r="L189" i="5" s="1"/>
  <c r="A190" i="5"/>
  <c r="B190" i="5"/>
  <c r="C190" i="5"/>
  <c r="D190" i="5"/>
  <c r="E190" i="5"/>
  <c r="F190" i="5"/>
  <c r="G190" i="5"/>
  <c r="H190" i="5"/>
  <c r="J190" i="5"/>
  <c r="A191" i="5"/>
  <c r="B191" i="5"/>
  <c r="C191" i="5"/>
  <c r="D191" i="5"/>
  <c r="E191" i="5"/>
  <c r="F191" i="5"/>
  <c r="G191" i="5"/>
  <c r="H191" i="5"/>
  <c r="I191" i="5"/>
  <c r="J191" i="5"/>
  <c r="K191" i="5"/>
  <c r="O191" i="5" s="1"/>
  <c r="A192" i="5"/>
  <c r="B192" i="5"/>
  <c r="C192" i="5"/>
  <c r="D192" i="5"/>
  <c r="E192" i="5"/>
  <c r="F192" i="5"/>
  <c r="G192" i="5"/>
  <c r="H192" i="5"/>
  <c r="I192" i="5"/>
  <c r="A193" i="5"/>
  <c r="B193" i="5"/>
  <c r="C193" i="5"/>
  <c r="D193" i="5"/>
  <c r="E193" i="5"/>
  <c r="F193" i="5"/>
  <c r="G193" i="5"/>
  <c r="H193" i="5"/>
  <c r="I193" i="5"/>
  <c r="J193" i="5"/>
  <c r="K193" i="5"/>
  <c r="P193" i="5" s="1"/>
  <c r="A194" i="5"/>
  <c r="B194" i="5"/>
  <c r="C194" i="5"/>
  <c r="D194" i="5"/>
  <c r="E194" i="5"/>
  <c r="F194" i="5"/>
  <c r="G194" i="5"/>
  <c r="H194" i="5"/>
  <c r="I194" i="5"/>
  <c r="A195" i="5"/>
  <c r="B195" i="5"/>
  <c r="C195" i="5"/>
  <c r="D195" i="5"/>
  <c r="E195" i="5"/>
  <c r="F195" i="5"/>
  <c r="G195" i="5"/>
  <c r="H195" i="5"/>
  <c r="I195" i="5"/>
  <c r="K195" i="5"/>
  <c r="O195" i="5" s="1"/>
  <c r="A196" i="5"/>
  <c r="B196" i="5"/>
  <c r="C196" i="5"/>
  <c r="D196" i="5"/>
  <c r="E196" i="5"/>
  <c r="F196" i="5"/>
  <c r="G196" i="5"/>
  <c r="H196" i="5"/>
  <c r="I196" i="5"/>
  <c r="A197" i="5"/>
  <c r="B197" i="5"/>
  <c r="C197" i="5"/>
  <c r="D197" i="5"/>
  <c r="E197" i="5"/>
  <c r="F197" i="5"/>
  <c r="G197" i="5"/>
  <c r="H197" i="5"/>
  <c r="I197" i="5"/>
  <c r="K197" i="5"/>
  <c r="L197" i="5" s="1"/>
  <c r="A198" i="5"/>
  <c r="B198" i="5"/>
  <c r="C198" i="5"/>
  <c r="D198" i="5"/>
  <c r="E198" i="5"/>
  <c r="F198" i="5"/>
  <c r="G198" i="5"/>
  <c r="H198" i="5"/>
  <c r="I198" i="5"/>
  <c r="K198" i="5"/>
  <c r="O198" i="5" s="1"/>
  <c r="A199" i="5"/>
  <c r="B199" i="5"/>
  <c r="C199" i="5"/>
  <c r="D199" i="5"/>
  <c r="E199" i="5"/>
  <c r="F199" i="5"/>
  <c r="G199" i="5"/>
  <c r="H199" i="5"/>
  <c r="I199" i="5"/>
  <c r="K199" i="5"/>
  <c r="L199" i="5" s="1"/>
  <c r="A200" i="5"/>
  <c r="B200" i="5"/>
  <c r="C200" i="5"/>
  <c r="D200" i="5"/>
  <c r="E200" i="5"/>
  <c r="F200" i="5"/>
  <c r="G200" i="5"/>
  <c r="H200" i="5"/>
  <c r="I200" i="5"/>
  <c r="A201" i="5"/>
  <c r="B201" i="5"/>
  <c r="C201" i="5"/>
  <c r="D201" i="5"/>
  <c r="E201" i="5"/>
  <c r="F201" i="5"/>
  <c r="G201" i="5"/>
  <c r="H201" i="5"/>
  <c r="I201" i="5"/>
  <c r="K201" i="5"/>
  <c r="O201" i="5" s="1"/>
  <c r="A202" i="5"/>
  <c r="B202" i="5"/>
  <c r="C202" i="5"/>
  <c r="D202" i="5"/>
  <c r="E202" i="5"/>
  <c r="F202" i="5"/>
  <c r="G202" i="5"/>
  <c r="H202" i="5"/>
  <c r="I202" i="5"/>
  <c r="K202" i="5"/>
  <c r="L202" i="5" s="1"/>
  <c r="A203" i="5"/>
  <c r="B203" i="5"/>
  <c r="C203" i="5"/>
  <c r="D203" i="5"/>
  <c r="E203" i="5"/>
  <c r="F203" i="5"/>
  <c r="G203" i="5"/>
  <c r="I203" i="5"/>
  <c r="A204" i="5"/>
  <c r="B204" i="5"/>
  <c r="C204" i="5"/>
  <c r="D204" i="5"/>
  <c r="E204" i="5"/>
  <c r="F204" i="5"/>
  <c r="G204" i="5"/>
  <c r="H204" i="5"/>
  <c r="I204" i="5"/>
  <c r="K204" i="5"/>
  <c r="A205" i="5"/>
  <c r="B205" i="5"/>
  <c r="C205" i="5"/>
  <c r="D205" i="5"/>
  <c r="E205" i="5"/>
  <c r="F205" i="5"/>
  <c r="G205" i="5"/>
  <c r="H205" i="5"/>
  <c r="I205" i="5"/>
  <c r="K205" i="5"/>
  <c r="L205" i="5" s="1"/>
  <c r="A206" i="5"/>
  <c r="B206" i="5"/>
  <c r="C206" i="5"/>
  <c r="D206" i="5"/>
  <c r="E206" i="5"/>
  <c r="F206" i="5"/>
  <c r="G206" i="5"/>
  <c r="H206" i="5"/>
  <c r="I206" i="5"/>
  <c r="K206" i="5"/>
  <c r="A207" i="5"/>
  <c r="B207" i="5"/>
  <c r="C207" i="5"/>
  <c r="D207" i="5"/>
  <c r="E207" i="5"/>
  <c r="F207" i="5"/>
  <c r="G207" i="5"/>
  <c r="H207" i="5"/>
  <c r="I207" i="5"/>
  <c r="A208" i="5"/>
  <c r="B208" i="5"/>
  <c r="C208" i="5"/>
  <c r="D208" i="5"/>
  <c r="E208" i="5"/>
  <c r="F208" i="5"/>
  <c r="G208" i="5"/>
  <c r="H208" i="5"/>
  <c r="I208" i="5"/>
  <c r="K208" i="5"/>
  <c r="M208" i="5" s="1"/>
  <c r="A209" i="5"/>
  <c r="B209" i="5"/>
  <c r="C209" i="5"/>
  <c r="D209" i="5"/>
  <c r="E209" i="5"/>
  <c r="F209" i="5"/>
  <c r="G209" i="5"/>
  <c r="H209" i="5"/>
  <c r="I209" i="5"/>
  <c r="A210" i="5"/>
  <c r="B210" i="5"/>
  <c r="C210" i="5"/>
  <c r="D210" i="5"/>
  <c r="E210" i="5"/>
  <c r="F210" i="5"/>
  <c r="G210" i="5"/>
  <c r="H210" i="5"/>
  <c r="I210" i="5"/>
  <c r="K210" i="5"/>
  <c r="O210" i="5" s="1"/>
  <c r="A211" i="5"/>
  <c r="B211" i="5"/>
  <c r="C211" i="5"/>
  <c r="D211" i="5"/>
  <c r="E211" i="5"/>
  <c r="F211" i="5"/>
  <c r="G211" i="5"/>
  <c r="H211" i="5"/>
  <c r="I211" i="5"/>
  <c r="A212" i="5"/>
  <c r="B212" i="5"/>
  <c r="C212" i="5"/>
  <c r="D212" i="5"/>
  <c r="E212" i="5"/>
  <c r="F212" i="5"/>
  <c r="G212" i="5"/>
  <c r="H212" i="5"/>
  <c r="I212" i="5"/>
  <c r="J212" i="5"/>
  <c r="K212" i="5"/>
  <c r="O212" i="5" s="1"/>
  <c r="A213" i="5"/>
  <c r="B213" i="5"/>
  <c r="C213" i="5"/>
  <c r="D213" i="5"/>
  <c r="E213" i="5"/>
  <c r="F213" i="5"/>
  <c r="G213" i="5"/>
  <c r="H213" i="5"/>
  <c r="I213" i="5"/>
  <c r="A214" i="5"/>
  <c r="B214" i="5"/>
  <c r="C214" i="5"/>
  <c r="D214" i="5"/>
  <c r="E214" i="5"/>
  <c r="F214" i="5"/>
  <c r="G214" i="5"/>
  <c r="H214" i="5"/>
  <c r="I214" i="5"/>
  <c r="K214" i="5"/>
  <c r="L214" i="5" s="1"/>
  <c r="A215" i="5"/>
  <c r="B215" i="5"/>
  <c r="C215" i="5"/>
  <c r="D215" i="5"/>
  <c r="E215" i="5"/>
  <c r="F215" i="5"/>
  <c r="G215" i="5"/>
  <c r="H215" i="5"/>
  <c r="I215" i="5"/>
  <c r="A216" i="5"/>
  <c r="B216" i="5"/>
  <c r="C216" i="5"/>
  <c r="D216" i="5"/>
  <c r="E216" i="5"/>
  <c r="F216" i="5"/>
  <c r="G216" i="5"/>
  <c r="H216" i="5"/>
  <c r="I216" i="5"/>
  <c r="J216" i="5"/>
  <c r="K216" i="5"/>
  <c r="P216" i="5" s="1"/>
  <c r="A217" i="5"/>
  <c r="B217" i="5"/>
  <c r="C217" i="5"/>
  <c r="D217" i="5"/>
  <c r="E217" i="5"/>
  <c r="F217" i="5"/>
  <c r="G217" i="5"/>
  <c r="H217" i="5"/>
  <c r="I217" i="5"/>
  <c r="A218" i="5"/>
  <c r="B218" i="5"/>
  <c r="C218" i="5"/>
  <c r="D218" i="5"/>
  <c r="E218" i="5"/>
  <c r="F218" i="5"/>
  <c r="G218" i="5"/>
  <c r="H218" i="5"/>
  <c r="I218" i="5"/>
  <c r="J218" i="5"/>
  <c r="K218" i="5"/>
  <c r="L218" i="5" s="1"/>
  <c r="A219" i="5"/>
  <c r="B219" i="5"/>
  <c r="C219" i="5"/>
  <c r="D219" i="5"/>
  <c r="E219" i="5"/>
  <c r="F219" i="5"/>
  <c r="G219" i="5"/>
  <c r="H219" i="5"/>
  <c r="I219" i="5"/>
  <c r="K219" i="5"/>
  <c r="P219" i="5" s="1"/>
  <c r="A220" i="5"/>
  <c r="B220" i="5"/>
  <c r="C220" i="5"/>
  <c r="D220" i="5"/>
  <c r="E220" i="5"/>
  <c r="F220" i="5"/>
  <c r="G220" i="5"/>
  <c r="H220" i="5"/>
  <c r="I220" i="5"/>
  <c r="A221" i="5"/>
  <c r="B221" i="5"/>
  <c r="C221" i="5"/>
  <c r="D221" i="5"/>
  <c r="E221" i="5"/>
  <c r="F221" i="5"/>
  <c r="G221" i="5"/>
  <c r="H221" i="5"/>
  <c r="I221" i="5"/>
  <c r="J221" i="5"/>
  <c r="K221" i="5"/>
  <c r="M221" i="5" s="1"/>
  <c r="A222" i="5"/>
  <c r="B222" i="5"/>
  <c r="C222" i="5"/>
  <c r="D222" i="5"/>
  <c r="E222" i="5"/>
  <c r="F222" i="5"/>
  <c r="G222" i="5"/>
  <c r="H222" i="5"/>
  <c r="I222" i="5"/>
  <c r="A223" i="5"/>
  <c r="B223" i="5"/>
  <c r="C223" i="5"/>
  <c r="D223" i="5"/>
  <c r="E223" i="5"/>
  <c r="F223" i="5"/>
  <c r="G223" i="5"/>
  <c r="H223" i="5"/>
  <c r="I223" i="5"/>
  <c r="J223" i="5"/>
  <c r="K223" i="5"/>
  <c r="O223" i="5" s="1"/>
  <c r="A224" i="5"/>
  <c r="B224" i="5"/>
  <c r="C224" i="5"/>
  <c r="D224" i="5"/>
  <c r="E224" i="5"/>
  <c r="F224" i="5"/>
  <c r="G224" i="5"/>
  <c r="H224" i="5"/>
  <c r="I224" i="5"/>
  <c r="A225" i="5"/>
  <c r="B225" i="5"/>
  <c r="C225" i="5"/>
  <c r="D225" i="5"/>
  <c r="E225" i="5"/>
  <c r="F225" i="5"/>
  <c r="G225" i="5"/>
  <c r="H225" i="5"/>
  <c r="I225" i="5"/>
  <c r="K225" i="5"/>
  <c r="N225" i="5" s="1"/>
  <c r="A226" i="5"/>
  <c r="B226" i="5"/>
  <c r="C226" i="5"/>
  <c r="D226" i="5"/>
  <c r="E226" i="5"/>
  <c r="F226" i="5"/>
  <c r="G226" i="5"/>
  <c r="H226" i="5"/>
  <c r="I226" i="5"/>
  <c r="A227" i="5"/>
  <c r="B227" i="5"/>
  <c r="C227" i="5"/>
  <c r="D227" i="5"/>
  <c r="E227" i="5"/>
  <c r="F227" i="5"/>
  <c r="G227" i="5"/>
  <c r="H227" i="5"/>
  <c r="I227" i="5"/>
  <c r="J227" i="5"/>
  <c r="K227" i="5"/>
  <c r="P227" i="5" s="1"/>
  <c r="J54" i="5"/>
  <c r="P258" i="5"/>
  <c r="P259" i="5"/>
  <c r="P260" i="5"/>
  <c r="I156" i="1"/>
  <c r="N143" i="1" s="1"/>
  <c r="J175" i="5"/>
  <c r="N66" i="1"/>
  <c r="J62" i="5" s="1"/>
  <c r="J217" i="5"/>
  <c r="N218" i="1"/>
  <c r="J225" i="5" s="1"/>
  <c r="N219" i="1"/>
  <c r="J226" i="5" s="1"/>
  <c r="N215" i="1"/>
  <c r="J222" i="5" s="1"/>
  <c r="N209" i="1"/>
  <c r="J213" i="5" s="1"/>
  <c r="N210" i="1"/>
  <c r="J214" i="5" s="1"/>
  <c r="N211" i="1"/>
  <c r="O211" i="1" s="1"/>
  <c r="K215" i="5" s="1"/>
  <c r="O215" i="5" s="1"/>
  <c r="J219" i="5"/>
  <c r="N213" i="1"/>
  <c r="J220" i="5" s="1"/>
  <c r="N217" i="1"/>
  <c r="J224" i="5" s="1"/>
  <c r="N182" i="1"/>
  <c r="J182" i="5" s="1"/>
  <c r="O183" i="1"/>
  <c r="K183" i="5" s="1"/>
  <c r="P183" i="5" s="1"/>
  <c r="N189" i="1"/>
  <c r="O189" i="1" s="1"/>
  <c r="K192" i="5" s="1"/>
  <c r="N173" i="1"/>
  <c r="J166" i="5" s="1"/>
  <c r="O160" i="1"/>
  <c r="K148" i="5" s="1"/>
  <c r="O158" i="1"/>
  <c r="K146" i="5" s="1"/>
  <c r="P146" i="5" s="1"/>
  <c r="I90" i="1"/>
  <c r="N79" i="1"/>
  <c r="J75" i="5" s="1"/>
  <c r="N35" i="1"/>
  <c r="J23" i="5" s="1"/>
  <c r="N34" i="1"/>
  <c r="J22" i="5" s="1"/>
  <c r="O17" i="1"/>
  <c r="K7" i="5" s="1"/>
  <c r="N82" i="1"/>
  <c r="J78" i="5" s="1"/>
  <c r="J3" i="5"/>
  <c r="N15" i="1"/>
  <c r="J10" i="5"/>
  <c r="J26" i="5"/>
  <c r="N22" i="1"/>
  <c r="J28" i="5" s="1"/>
  <c r="N40" i="1"/>
  <c r="J30" i="5" s="1"/>
  <c r="N42" i="1"/>
  <c r="J35" i="5" s="1"/>
  <c r="N46" i="1"/>
  <c r="O46" i="1" s="1"/>
  <c r="K39" i="5" s="1"/>
  <c r="N49" i="1"/>
  <c r="J42" i="5" s="1"/>
  <c r="N51" i="1"/>
  <c r="O51" i="1" s="1"/>
  <c r="K44" i="5" s="1"/>
  <c r="N55" i="1"/>
  <c r="J50" i="5" s="1"/>
  <c r="N58" i="1"/>
  <c r="O58" i="1" s="1"/>
  <c r="K52" i="5" s="1"/>
  <c r="N64" i="1"/>
  <c r="J60" i="5" s="1"/>
  <c r="N69" i="1"/>
  <c r="N71" i="1"/>
  <c r="N73" i="1"/>
  <c r="J69" i="5" s="1"/>
  <c r="N76" i="1"/>
  <c r="J72" i="5" s="1"/>
  <c r="N78" i="1"/>
  <c r="J74" i="5" s="1"/>
  <c r="O7" i="1"/>
  <c r="K55" i="5" s="1"/>
  <c r="O55" i="5" s="1"/>
  <c r="N84" i="1"/>
  <c r="O84" i="1" s="1"/>
  <c r="K80" i="5" s="1"/>
  <c r="I87" i="1"/>
  <c r="N87" i="1" s="1"/>
  <c r="N8" i="1"/>
  <c r="J92" i="5" s="1"/>
  <c r="N99" i="1"/>
  <c r="O99" i="1" s="1"/>
  <c r="K97" i="5" s="1"/>
  <c r="N97" i="5" s="1"/>
  <c r="J94" i="5"/>
  <c r="N101" i="1"/>
  <c r="N103" i="1"/>
  <c r="J101" i="5" s="1"/>
  <c r="J103" i="5"/>
  <c r="N109" i="1"/>
  <c r="J108" i="5" s="1"/>
  <c r="N111" i="1"/>
  <c r="J110" i="5" s="1"/>
  <c r="N114" i="1"/>
  <c r="N118" i="1"/>
  <c r="J117" i="5" s="1"/>
  <c r="N125" i="1"/>
  <c r="N127" i="1"/>
  <c r="N130" i="1"/>
  <c r="O130" i="1" s="1"/>
  <c r="K129" i="5" s="1"/>
  <c r="N129" i="5" s="1"/>
  <c r="N132" i="1"/>
  <c r="J131" i="5" s="1"/>
  <c r="N133" i="1"/>
  <c r="K135" i="5"/>
  <c r="P135" i="5" s="1"/>
  <c r="N137" i="1"/>
  <c r="O18" i="1"/>
  <c r="K8" i="5" s="1"/>
  <c r="N8" i="5" s="1"/>
  <c r="N164" i="1"/>
  <c r="O167" i="1"/>
  <c r="K160" i="5" s="1"/>
  <c r="O178" i="1"/>
  <c r="K173" i="5" s="1"/>
  <c r="O244" i="1"/>
  <c r="K171" i="5" s="1"/>
  <c r="P171" i="5" s="1"/>
  <c r="O30" i="1"/>
  <c r="K16" i="5" s="1"/>
  <c r="P16" i="5" s="1"/>
  <c r="O245" i="1"/>
  <c r="K167" i="5" s="1"/>
  <c r="P167" i="5" s="1"/>
  <c r="N180" i="1"/>
  <c r="O20" i="1"/>
  <c r="K180" i="5" s="1"/>
  <c r="O180" i="5" s="1"/>
  <c r="K33" i="5"/>
  <c r="P33" i="5" s="1"/>
  <c r="K153" i="5"/>
  <c r="M153" i="5" s="1"/>
  <c r="O185" i="1"/>
  <c r="K185" i="5" s="1"/>
  <c r="P185" i="5" s="1"/>
  <c r="O187" i="1"/>
  <c r="K190" i="5" s="1"/>
  <c r="N190" i="5" s="1"/>
  <c r="N191" i="1"/>
  <c r="J194" i="5" s="1"/>
  <c r="N193" i="1"/>
  <c r="J196" i="5" s="1"/>
  <c r="I200" i="1"/>
  <c r="N200" i="1" s="1"/>
  <c r="O174" i="1"/>
  <c r="K168" i="5" s="1"/>
  <c r="O168" i="5" s="1"/>
  <c r="N204" i="1"/>
  <c r="J209" i="5"/>
  <c r="N207" i="1"/>
  <c r="J211" i="5" s="1"/>
  <c r="W222" i="1"/>
  <c r="N192" i="1"/>
  <c r="J195" i="5" s="1"/>
  <c r="N194" i="1"/>
  <c r="J197" i="5" s="1"/>
  <c r="N195" i="1"/>
  <c r="J198" i="5" s="1"/>
  <c r="N198" i="1"/>
  <c r="J199" i="5" s="1"/>
  <c r="J201" i="5"/>
  <c r="N199" i="1"/>
  <c r="J202" i="5" s="1"/>
  <c r="N201" i="1"/>
  <c r="J204" i="5" s="1"/>
  <c r="N202" i="1"/>
  <c r="J205" i="5" s="1"/>
  <c r="N203" i="1"/>
  <c r="J206" i="5" s="1"/>
  <c r="J169" i="5"/>
  <c r="N205" i="1"/>
  <c r="J208" i="5" s="1"/>
  <c r="N206" i="1"/>
  <c r="J210" i="5" s="1"/>
  <c r="N163" i="1"/>
  <c r="J152" i="5" s="1"/>
  <c r="J156" i="5"/>
  <c r="N86" i="1"/>
  <c r="J82" i="5" s="1"/>
  <c r="N85" i="1"/>
  <c r="J81" i="5" s="1"/>
  <c r="N88" i="1"/>
  <c r="J84" i="5" s="1"/>
  <c r="N91" i="1"/>
  <c r="J87" i="5" s="1"/>
  <c r="J91" i="5"/>
  <c r="J93" i="5"/>
  <c r="N102" i="1"/>
  <c r="J100" i="5" s="1"/>
  <c r="N104" i="1"/>
  <c r="J102" i="5" s="1"/>
  <c r="N108" i="1"/>
  <c r="J107" i="5" s="1"/>
  <c r="N110" i="1"/>
  <c r="J109" i="5" s="1"/>
  <c r="N113" i="1"/>
  <c r="J112" i="5" s="1"/>
  <c r="N115" i="1"/>
  <c r="J114" i="5" s="1"/>
  <c r="N119" i="1"/>
  <c r="J118" i="5" s="1"/>
  <c r="N126" i="1"/>
  <c r="J125" i="5" s="1"/>
  <c r="N131" i="1"/>
  <c r="J130" i="5" s="1"/>
  <c r="N134" i="1"/>
  <c r="J134" i="5" s="1"/>
  <c r="N136" i="1"/>
  <c r="J136" i="5" s="1"/>
  <c r="N80" i="1"/>
  <c r="J76" i="5" s="1"/>
  <c r="N2" i="1"/>
  <c r="J2" i="5" s="1"/>
  <c r="J4" i="5"/>
  <c r="N16" i="1"/>
  <c r="J6" i="5" s="1"/>
  <c r="N21" i="1"/>
  <c r="J9" i="5" s="1"/>
  <c r="N25" i="1"/>
  <c r="J11" i="5" s="1"/>
  <c r="N26" i="1"/>
  <c r="J12" i="5" s="1"/>
  <c r="N27" i="1"/>
  <c r="N28" i="1"/>
  <c r="J14" i="5" s="1"/>
  <c r="N31" i="1"/>
  <c r="J17" i="5" s="1"/>
  <c r="N36" i="1"/>
  <c r="J24" i="5" s="1"/>
  <c r="N70" i="1"/>
  <c r="J66" i="5" s="1"/>
  <c r="N41" i="1"/>
  <c r="J31" i="5" s="1"/>
  <c r="N45" i="1"/>
  <c r="J38" i="5" s="1"/>
  <c r="N47" i="1"/>
  <c r="J40" i="5" s="1"/>
  <c r="N48" i="1"/>
  <c r="J41" i="5" s="1"/>
  <c r="N50" i="1"/>
  <c r="J43" i="5" s="1"/>
  <c r="J49" i="5"/>
  <c r="N52" i="1"/>
  <c r="J45" i="5" s="1"/>
  <c r="N56" i="1"/>
  <c r="J51" i="5" s="1"/>
  <c r="N59" i="1"/>
  <c r="J53" i="5" s="1"/>
  <c r="N57" i="1"/>
  <c r="J59" i="5" s="1"/>
  <c r="N68" i="1"/>
  <c r="J64" i="5" s="1"/>
  <c r="N74" i="1"/>
  <c r="J70" i="5" s="1"/>
  <c r="N75" i="1"/>
  <c r="J71" i="5" s="1"/>
  <c r="N77" i="1"/>
  <c r="J73" i="5" s="1"/>
  <c r="N112" i="1"/>
  <c r="J111" i="5" s="1"/>
  <c r="N120" i="1"/>
  <c r="J119" i="5" s="1"/>
  <c r="N121" i="1"/>
  <c r="J120" i="5" s="1"/>
  <c r="N122" i="1"/>
  <c r="J121" i="5" s="1"/>
  <c r="N123" i="1"/>
  <c r="J122" i="5" s="1"/>
  <c r="N128" i="1"/>
  <c r="J127" i="5" s="1"/>
  <c r="J167" i="1"/>
  <c r="I160" i="5" s="1"/>
  <c r="J169" i="1"/>
  <c r="I162" i="5" s="1"/>
  <c r="J178" i="1"/>
  <c r="I173" i="5" s="1"/>
  <c r="J176" i="1"/>
  <c r="I170" i="5" s="1"/>
  <c r="J244" i="1"/>
  <c r="I171" i="5" s="1"/>
  <c r="J177" i="1"/>
  <c r="I172" i="5" s="1"/>
  <c r="N29" i="1"/>
  <c r="O29" i="1" s="1"/>
  <c r="K15" i="5" s="1"/>
  <c r="N15" i="5" s="1"/>
  <c r="J187" i="1"/>
  <c r="I190" i="5" s="1"/>
  <c r="J32" i="5"/>
  <c r="J20" i="1"/>
  <c r="I180" i="5" s="1"/>
  <c r="J37" i="3"/>
  <c r="J36" i="3"/>
  <c r="K36" i="3" s="1"/>
  <c r="J34" i="3"/>
  <c r="K34" i="3" s="1"/>
  <c r="J33" i="3"/>
  <c r="K33" i="3" s="1"/>
  <c r="J32" i="3"/>
  <c r="K32" i="3"/>
  <c r="J30" i="3"/>
  <c r="K30" i="3" s="1"/>
  <c r="J29" i="3"/>
  <c r="K29" i="3"/>
  <c r="J27" i="3"/>
  <c r="K27" i="3" s="1"/>
  <c r="J24" i="3"/>
  <c r="K24" i="3"/>
  <c r="J23" i="3"/>
  <c r="K23" i="3" s="1"/>
  <c r="J22" i="3"/>
  <c r="K22" i="3" s="1"/>
  <c r="J21" i="3"/>
  <c r="K21" i="3" s="1"/>
  <c r="H20" i="3"/>
  <c r="J20" i="3" s="1"/>
  <c r="K20" i="3" s="1"/>
  <c r="J18" i="3"/>
  <c r="K18" i="3"/>
  <c r="J17" i="3"/>
  <c r="K17" i="3" s="1"/>
  <c r="H16" i="3"/>
  <c r="J16" i="3" s="1"/>
  <c r="K16" i="3" s="1"/>
  <c r="J13" i="3"/>
  <c r="K13" i="3"/>
  <c r="J12" i="3"/>
  <c r="J9" i="3"/>
  <c r="K9" i="3" s="1"/>
  <c r="J8" i="3"/>
  <c r="J7" i="3"/>
  <c r="J6" i="3"/>
  <c r="J5" i="3"/>
  <c r="J2" i="3"/>
  <c r="J1" i="3"/>
  <c r="K54" i="5"/>
  <c r="K209" i="5"/>
  <c r="L209" i="5" s="1"/>
  <c r="K26" i="5"/>
  <c r="P26" i="5" s="1"/>
  <c r="V222" i="1"/>
  <c r="K175" i="5"/>
  <c r="O175" i="5" s="1"/>
  <c r="J7" i="5"/>
  <c r="W164" i="1"/>
  <c r="M73" i="5" l="1"/>
  <c r="N36" i="5"/>
  <c r="O24" i="5"/>
  <c r="O36" i="5"/>
  <c r="N24" i="5"/>
  <c r="M68" i="5"/>
  <c r="L24" i="5"/>
  <c r="L68" i="5"/>
  <c r="M24" i="5"/>
  <c r="P57" i="5"/>
  <c r="O51" i="5"/>
  <c r="N40" i="5"/>
  <c r="L40" i="5"/>
  <c r="N9" i="5"/>
  <c r="L20" i="5"/>
  <c r="O9" i="5"/>
  <c r="P20" i="5"/>
  <c r="P4" i="5"/>
  <c r="M34" i="5"/>
  <c r="L34" i="5"/>
  <c r="M4" i="5"/>
  <c r="O34" i="5"/>
  <c r="L9" i="5"/>
  <c r="O4" i="5"/>
  <c r="N34" i="5"/>
  <c r="N4" i="5"/>
  <c r="O40" i="5"/>
  <c r="M20" i="5"/>
  <c r="O20" i="5"/>
  <c r="M40" i="5"/>
  <c r="P9" i="5"/>
  <c r="M66" i="5"/>
  <c r="M128" i="5"/>
  <c r="L77" i="5"/>
  <c r="L89" i="5"/>
  <c r="P96" i="5"/>
  <c r="P153" i="5"/>
  <c r="M114" i="5"/>
  <c r="M109" i="5"/>
  <c r="N127" i="5"/>
  <c r="H144" i="5"/>
  <c r="J151" i="5"/>
  <c r="O38" i="5"/>
  <c r="L14" i="5"/>
  <c r="O181" i="5"/>
  <c r="M17" i="5"/>
  <c r="N17" i="5"/>
  <c r="N6" i="5"/>
  <c r="N219" i="5"/>
  <c r="M219" i="5"/>
  <c r="M179" i="5"/>
  <c r="O193" i="5"/>
  <c r="L208" i="5"/>
  <c r="M112" i="5"/>
  <c r="P208" i="5"/>
  <c r="N208" i="5"/>
  <c r="O208" i="5"/>
  <c r="M152" i="5"/>
  <c r="L152" i="5"/>
  <c r="O147" i="5"/>
  <c r="N147" i="5"/>
  <c r="P150" i="5"/>
  <c r="M136" i="5"/>
  <c r="N136" i="5"/>
  <c r="N169" i="5"/>
  <c r="P136" i="5"/>
  <c r="M14" i="5"/>
  <c r="N98" i="5"/>
  <c r="N38" i="5"/>
  <c r="N14" i="5"/>
  <c r="O14" i="5"/>
  <c r="M169" i="5"/>
  <c r="O169" i="5"/>
  <c r="P176" i="5"/>
  <c r="L95" i="5"/>
  <c r="L17" i="5"/>
  <c r="O17" i="5"/>
  <c r="O89" i="5"/>
  <c r="O57" i="5"/>
  <c r="O75" i="5"/>
  <c r="P81" i="5"/>
  <c r="L75" i="5"/>
  <c r="H203" i="5"/>
  <c r="M63" i="5"/>
  <c r="O103" i="1"/>
  <c r="K101" i="5" s="1"/>
  <c r="N101" i="5" s="1"/>
  <c r="O205" i="5"/>
  <c r="L111" i="5"/>
  <c r="O70" i="5"/>
  <c r="M49" i="5"/>
  <c r="N59" i="5"/>
  <c r="N102" i="5"/>
  <c r="M84" i="5"/>
  <c r="O59" i="5"/>
  <c r="N75" i="5"/>
  <c r="P88" i="5"/>
  <c r="N104" i="5"/>
  <c r="O56" i="5"/>
  <c r="N56" i="5"/>
  <c r="L70" i="5"/>
  <c r="O84" i="5"/>
  <c r="O11" i="5"/>
  <c r="P6" i="5"/>
  <c r="M59" i="5"/>
  <c r="L88" i="5"/>
  <c r="N16" i="5"/>
  <c r="M102" i="5"/>
  <c r="L56" i="5"/>
  <c r="P70" i="5"/>
  <c r="O49" i="5"/>
  <c r="M214" i="5"/>
  <c r="L59" i="5"/>
  <c r="M75" i="5"/>
  <c r="O88" i="5"/>
  <c r="M16" i="5"/>
  <c r="O102" i="5"/>
  <c r="N70" i="5"/>
  <c r="L63" i="5"/>
  <c r="N49" i="5"/>
  <c r="L6" i="5"/>
  <c r="N176" i="5"/>
  <c r="H168" i="5"/>
  <c r="O173" i="1"/>
  <c r="K166" i="5" s="1"/>
  <c r="M166" i="5" s="1"/>
  <c r="O29" i="5"/>
  <c r="L201" i="5"/>
  <c r="N21" i="5"/>
  <c r="O21" i="5"/>
  <c r="P201" i="5"/>
  <c r="O217" i="1"/>
  <c r="K224" i="5" s="1"/>
  <c r="M224" i="5" s="1"/>
  <c r="M134" i="5"/>
  <c r="M95" i="5"/>
  <c r="M27" i="5"/>
  <c r="N134" i="5"/>
  <c r="O6" i="5"/>
  <c r="P89" i="5"/>
  <c r="L57" i="5"/>
  <c r="M147" i="5"/>
  <c r="M51" i="5"/>
  <c r="L147" i="5"/>
  <c r="P119" i="5"/>
  <c r="P13" i="5"/>
  <c r="M119" i="5"/>
  <c r="M13" i="5"/>
  <c r="L21" i="5"/>
  <c r="M21" i="5"/>
  <c r="M89" i="5"/>
  <c r="O159" i="5"/>
  <c r="M125" i="5"/>
  <c r="M85" i="5"/>
  <c r="M11" i="5"/>
  <c r="N125" i="5"/>
  <c r="N57" i="5"/>
  <c r="N32" i="1"/>
  <c r="J18" i="5" s="1"/>
  <c r="L11" i="5"/>
  <c r="P11" i="5"/>
  <c r="H48" i="5"/>
  <c r="M176" i="5"/>
  <c r="N13" i="5"/>
  <c r="L13" i="5"/>
  <c r="P37" i="5"/>
  <c r="M37" i="5"/>
  <c r="L150" i="5"/>
  <c r="M150" i="5"/>
  <c r="M121" i="5"/>
  <c r="N119" i="5"/>
  <c r="O125" i="5"/>
  <c r="L125" i="5"/>
  <c r="N183" i="5"/>
  <c r="M88" i="5"/>
  <c r="L104" i="5"/>
  <c r="P106" i="5"/>
  <c r="O197" i="5"/>
  <c r="N81" i="5"/>
  <c r="L81" i="5"/>
  <c r="O214" i="5"/>
  <c r="O81" i="5"/>
  <c r="P169" i="5"/>
  <c r="L195" i="5"/>
  <c r="L49" i="5"/>
  <c r="P199" i="5"/>
  <c r="L102" i="5"/>
  <c r="L106" i="5"/>
  <c r="N165" i="5"/>
  <c r="N111" i="5"/>
  <c r="M156" i="5"/>
  <c r="N84" i="5"/>
  <c r="L84" i="5"/>
  <c r="L123" i="5"/>
  <c r="N123" i="5"/>
  <c r="O123" i="5"/>
  <c r="M123" i="5"/>
  <c r="O130" i="5"/>
  <c r="L219" i="5"/>
  <c r="O152" i="5"/>
  <c r="L64" i="5"/>
  <c r="L168" i="5"/>
  <c r="M127" i="5"/>
  <c r="P181" i="5"/>
  <c r="L23" i="5"/>
  <c r="P223" i="5"/>
  <c r="O215" i="1"/>
  <c r="K222" i="5" s="1"/>
  <c r="L222" i="5" s="1"/>
  <c r="L193" i="5"/>
  <c r="M189" i="5"/>
  <c r="L179" i="5"/>
  <c r="N155" i="5"/>
  <c r="N191" i="5"/>
  <c r="L136" i="5"/>
  <c r="P152" i="5"/>
  <c r="M168" i="5"/>
  <c r="P112" i="5"/>
  <c r="M202" i="5"/>
  <c r="O40" i="1"/>
  <c r="K30" i="5" s="1"/>
  <c r="M30" i="5" s="1"/>
  <c r="O119" i="5"/>
  <c r="O90" i="5"/>
  <c r="N167" i="5"/>
  <c r="M31" i="5"/>
  <c r="O116" i="1"/>
  <c r="K115" i="5" s="1"/>
  <c r="M115" i="5" s="1"/>
  <c r="M181" i="5"/>
  <c r="M98" i="5"/>
  <c r="N189" i="5"/>
  <c r="O189" i="5"/>
  <c r="O127" i="5"/>
  <c r="P138" i="5"/>
  <c r="J129" i="5"/>
  <c r="L185" i="5"/>
  <c r="L153" i="5"/>
  <c r="L223" i="5"/>
  <c r="N221" i="5"/>
  <c r="L181" i="5"/>
  <c r="M223" i="5"/>
  <c r="N223" i="5"/>
  <c r="O219" i="5"/>
  <c r="O111" i="1"/>
  <c r="K110" i="5" s="1"/>
  <c r="M110" i="5" s="1"/>
  <c r="O153" i="5"/>
  <c r="J135" i="5"/>
  <c r="N198" i="5"/>
  <c r="M193" i="5"/>
  <c r="N193" i="5"/>
  <c r="O221" i="5"/>
  <c r="P189" i="5"/>
  <c r="P127" i="5"/>
  <c r="N31" i="5"/>
  <c r="P12" i="5"/>
  <c r="P31" i="5"/>
  <c r="N151" i="5"/>
  <c r="N168" i="5"/>
  <c r="M212" i="5"/>
  <c r="N212" i="5"/>
  <c r="P151" i="5"/>
  <c r="M195" i="5"/>
  <c r="P107" i="5"/>
  <c r="N128" i="5"/>
  <c r="P64" i="5"/>
  <c r="O112" i="5"/>
  <c r="L96" i="5"/>
  <c r="O182" i="1"/>
  <c r="K182" i="5" s="1"/>
  <c r="L182" i="5" s="1"/>
  <c r="M215" i="5"/>
  <c r="N202" i="5"/>
  <c r="P168" i="5"/>
  <c r="O31" i="5"/>
  <c r="O8" i="1"/>
  <c r="K92" i="5" s="1"/>
  <c r="P92" i="5" s="1"/>
  <c r="M210" i="5"/>
  <c r="N210" i="5"/>
  <c r="N58" i="5"/>
  <c r="M23" i="5"/>
  <c r="O107" i="5"/>
  <c r="M64" i="5"/>
  <c r="L112" i="5"/>
  <c r="O12" i="5"/>
  <c r="M55" i="5"/>
  <c r="J139" i="5"/>
  <c r="P195" i="5"/>
  <c r="L107" i="5"/>
  <c r="N107" i="5"/>
  <c r="N64" i="5"/>
  <c r="L55" i="5"/>
  <c r="P8" i="5"/>
  <c r="P215" i="5"/>
  <c r="P202" i="5"/>
  <c r="M90" i="5"/>
  <c r="L90" i="5"/>
  <c r="P90" i="5"/>
  <c r="N116" i="5"/>
  <c r="N205" i="5"/>
  <c r="O202" i="5"/>
  <c r="O162" i="5"/>
  <c r="P210" i="5"/>
  <c r="P55" i="5"/>
  <c r="O199" i="5"/>
  <c r="M183" i="5"/>
  <c r="N158" i="5"/>
  <c r="O49" i="1"/>
  <c r="K42" i="5" s="1"/>
  <c r="M42" i="5" s="1"/>
  <c r="O22" i="1"/>
  <c r="K28" i="5" s="1"/>
  <c r="O28" i="5" s="1"/>
  <c r="L114" i="5"/>
  <c r="O151" i="5"/>
  <c r="M43" i="5"/>
  <c r="N55" i="5"/>
  <c r="O120" i="5"/>
  <c r="N185" i="5"/>
  <c r="M158" i="5"/>
  <c r="O141" i="5"/>
  <c r="M120" i="5"/>
  <c r="P68" i="5"/>
  <c r="N130" i="5"/>
  <c r="N109" i="5"/>
  <c r="O218" i="5"/>
  <c r="P218" i="5"/>
  <c r="P38" i="5"/>
  <c r="L183" i="5"/>
  <c r="O66" i="1"/>
  <c r="K62" i="5" s="1"/>
  <c r="N62" i="5" s="1"/>
  <c r="O183" i="5"/>
  <c r="M184" i="5"/>
  <c r="N153" i="5"/>
  <c r="O213" i="1"/>
  <c r="K220" i="5" s="1"/>
  <c r="O220" i="5" s="1"/>
  <c r="O55" i="1"/>
  <c r="K50" i="5" s="1"/>
  <c r="N50" i="5" s="1"/>
  <c r="L26" i="5"/>
  <c r="O209" i="1"/>
  <c r="K213" i="5" s="1"/>
  <c r="P197" i="5"/>
  <c r="M165" i="5"/>
  <c r="O156" i="5"/>
  <c r="M100" i="5"/>
  <c r="N66" i="5"/>
  <c r="O114" i="5"/>
  <c r="O73" i="1"/>
  <c r="K69" i="5" s="1"/>
  <c r="M69" i="5" s="1"/>
  <c r="M205" i="5"/>
  <c r="N218" i="5"/>
  <c r="N195" i="5"/>
  <c r="N150" i="5"/>
  <c r="J80" i="5"/>
  <c r="H46" i="5"/>
  <c r="P214" i="5"/>
  <c r="L66" i="5"/>
  <c r="L156" i="5"/>
  <c r="P114" i="5"/>
  <c r="O200" i="1"/>
  <c r="K203" i="5" s="1"/>
  <c r="O203" i="5" s="1"/>
  <c r="J203" i="5"/>
  <c r="M26" i="5"/>
  <c r="M218" i="5"/>
  <c r="M149" i="5"/>
  <c r="N149" i="5"/>
  <c r="L149" i="5"/>
  <c r="L100" i="5"/>
  <c r="P109" i="5"/>
  <c r="J215" i="5"/>
  <c r="O185" i="5"/>
  <c r="N215" i="5"/>
  <c r="O77" i="5"/>
  <c r="O165" i="5"/>
  <c r="M77" i="5"/>
  <c r="P165" i="5"/>
  <c r="O68" i="5"/>
  <c r="L132" i="5"/>
  <c r="P132" i="5"/>
  <c r="O118" i="5"/>
  <c r="N156" i="5"/>
  <c r="N100" i="5"/>
  <c r="M118" i="5"/>
  <c r="O42" i="1"/>
  <c r="K35" i="5" s="1"/>
  <c r="O207" i="1"/>
  <c r="K211" i="5" s="1"/>
  <c r="M211" i="5" s="1"/>
  <c r="K32" i="5"/>
  <c r="M32" i="5" s="1"/>
  <c r="O43" i="5"/>
  <c r="L43" i="5"/>
  <c r="P43" i="5"/>
  <c r="L176" i="5"/>
  <c r="K217" i="5"/>
  <c r="M217" i="5" s="1"/>
  <c r="L120" i="5"/>
  <c r="M8" i="5"/>
  <c r="M171" i="5"/>
  <c r="M185" i="5"/>
  <c r="O26" i="5"/>
  <c r="L215" i="5"/>
  <c r="O3" i="1"/>
  <c r="K3" i="5" s="1"/>
  <c r="N77" i="5"/>
  <c r="P158" i="5"/>
  <c r="N120" i="5"/>
  <c r="L158" i="5"/>
  <c r="M132" i="5"/>
  <c r="M201" i="5"/>
  <c r="O100" i="5"/>
  <c r="O66" i="5"/>
  <c r="N214" i="5"/>
  <c r="N118" i="5"/>
  <c r="O132" i="5"/>
  <c r="O118" i="1"/>
  <c r="K117" i="5" s="1"/>
  <c r="L117" i="5" s="1"/>
  <c r="K94" i="5"/>
  <c r="P94" i="5" s="1"/>
  <c r="O78" i="1"/>
  <c r="K74" i="5" s="1"/>
  <c r="O74" i="5" s="1"/>
  <c r="M38" i="5"/>
  <c r="L109" i="5"/>
  <c r="N201" i="5"/>
  <c r="O149" i="5"/>
  <c r="P118" i="5"/>
  <c r="O148" i="5"/>
  <c r="L148" i="5"/>
  <c r="M148" i="5"/>
  <c r="O53" i="1"/>
  <c r="K46" i="5" s="1"/>
  <c r="M46" i="5" s="1"/>
  <c r="J46" i="5"/>
  <c r="O160" i="5"/>
  <c r="M160" i="5"/>
  <c r="N160" i="5"/>
  <c r="L160" i="5"/>
  <c r="P160" i="5"/>
  <c r="K47" i="5"/>
  <c r="J47" i="5"/>
  <c r="N7" i="5"/>
  <c r="L7" i="5"/>
  <c r="L191" i="5"/>
  <c r="O216" i="5"/>
  <c r="M159" i="5"/>
  <c r="O76" i="1"/>
  <c r="K72" i="5" s="1"/>
  <c r="O72" i="5" s="1"/>
  <c r="J192" i="5"/>
  <c r="J15" i="5"/>
  <c r="N159" i="5"/>
  <c r="M71" i="5"/>
  <c r="O34" i="1"/>
  <c r="K22" i="5" s="1"/>
  <c r="L22" i="5" s="1"/>
  <c r="N23" i="5"/>
  <c r="O23" i="5"/>
  <c r="L71" i="5"/>
  <c r="P205" i="5"/>
  <c r="V205" i="1"/>
  <c r="O64" i="1"/>
  <c r="K60" i="5" s="1"/>
  <c r="L210" i="5"/>
  <c r="N135" i="5"/>
  <c r="N171" i="5"/>
  <c r="L159" i="5"/>
  <c r="N63" i="5"/>
  <c r="M225" i="5"/>
  <c r="L186" i="5"/>
  <c r="O135" i="5"/>
  <c r="L135" i="5"/>
  <c r="M82" i="5"/>
  <c r="L151" i="5"/>
  <c r="M135" i="5"/>
  <c r="M56" i="5"/>
  <c r="L8" i="5"/>
  <c r="N186" i="5"/>
  <c r="O8" i="5"/>
  <c r="V217" i="1"/>
  <c r="L85" i="5"/>
  <c r="P186" i="5"/>
  <c r="M12" i="5"/>
  <c r="P82" i="5"/>
  <c r="M197" i="5"/>
  <c r="N197" i="5"/>
  <c r="J39" i="5"/>
  <c r="P85" i="5"/>
  <c r="O63" i="5"/>
  <c r="L171" i="5"/>
  <c r="M216" i="5"/>
  <c r="O193" i="1"/>
  <c r="K196" i="5" s="1"/>
  <c r="O196" i="5" s="1"/>
  <c r="P191" i="5"/>
  <c r="N85" i="5"/>
  <c r="P71" i="5"/>
  <c r="N26" i="5"/>
  <c r="O82" i="1"/>
  <c r="K78" i="5" s="1"/>
  <c r="L78" i="5" s="1"/>
  <c r="L16" i="5"/>
  <c r="N71" i="5"/>
  <c r="M191" i="5"/>
  <c r="N12" i="5"/>
  <c r="N216" i="5"/>
  <c r="L216" i="5"/>
  <c r="O16" i="5"/>
  <c r="O109" i="1"/>
  <c r="K108" i="5" s="1"/>
  <c r="N108" i="5" s="1"/>
  <c r="M186" i="5"/>
  <c r="J200" i="5"/>
  <c r="O219" i="1"/>
  <c r="K226" i="5" s="1"/>
  <c r="O226" i="5" s="1"/>
  <c r="O132" i="1"/>
  <c r="K131" i="5" s="1"/>
  <c r="M131" i="5" s="1"/>
  <c r="P139" i="5"/>
  <c r="M139" i="5"/>
  <c r="N139" i="5"/>
  <c r="L139" i="5"/>
  <c r="O139" i="5"/>
  <c r="O80" i="5"/>
  <c r="M80" i="5"/>
  <c r="P80" i="5"/>
  <c r="O7" i="5"/>
  <c r="L87" i="5"/>
  <c r="O191" i="1"/>
  <c r="K194" i="5" s="1"/>
  <c r="N184" i="5"/>
  <c r="L29" i="5"/>
  <c r="N87" i="5"/>
  <c r="M29" i="5"/>
  <c r="O171" i="5"/>
  <c r="L184" i="5"/>
  <c r="O105" i="1"/>
  <c r="K103" i="5" s="1"/>
  <c r="P103" i="5" s="1"/>
  <c r="L37" i="5"/>
  <c r="L58" i="5"/>
  <c r="J52" i="5"/>
  <c r="J44" i="5"/>
  <c r="J105" i="5"/>
  <c r="O106" i="1"/>
  <c r="K105" i="5" s="1"/>
  <c r="N105" i="5" s="1"/>
  <c r="M116" i="5"/>
  <c r="P116" i="5"/>
  <c r="O116" i="5"/>
  <c r="P87" i="5"/>
  <c r="O87" i="5"/>
  <c r="P7" i="5"/>
  <c r="P184" i="5"/>
  <c r="M7" i="5"/>
  <c r="J97" i="5"/>
  <c r="N144" i="5"/>
  <c r="P29" i="5"/>
  <c r="O37" i="5"/>
  <c r="P58" i="5"/>
  <c r="O58" i="5"/>
  <c r="J65" i="5"/>
  <c r="O69" i="1"/>
  <c r="K65" i="5" s="1"/>
  <c r="P65" i="5" s="1"/>
  <c r="J5" i="5"/>
  <c r="O15" i="1"/>
  <c r="K5" i="5" s="1"/>
  <c r="O5" i="5" s="1"/>
  <c r="P141" i="5"/>
  <c r="M141" i="5"/>
  <c r="L141" i="5"/>
  <c r="P122" i="5"/>
  <c r="O122" i="5"/>
  <c r="N122" i="5"/>
  <c r="M122" i="5"/>
  <c r="N82" i="5"/>
  <c r="L82" i="5"/>
  <c r="L45" i="5"/>
  <c r="O45" i="5"/>
  <c r="M45" i="5"/>
  <c r="N45" i="5"/>
  <c r="L142" i="5"/>
  <c r="N142" i="5"/>
  <c r="M142" i="5"/>
  <c r="P142" i="5"/>
  <c r="O142" i="5"/>
  <c r="L162" i="5"/>
  <c r="N162" i="5"/>
  <c r="M162" i="5"/>
  <c r="P144" i="5"/>
  <c r="O144" i="5"/>
  <c r="N27" i="5"/>
  <c r="L27" i="5"/>
  <c r="P27" i="5"/>
  <c r="J133" i="5"/>
  <c r="O133" i="1"/>
  <c r="K133" i="5" s="1"/>
  <c r="P221" i="5"/>
  <c r="L221" i="5"/>
  <c r="M199" i="5"/>
  <c r="N199" i="5"/>
  <c r="O188" i="5"/>
  <c r="N188" i="5"/>
  <c r="L188" i="5"/>
  <c r="M188" i="5"/>
  <c r="M106" i="5"/>
  <c r="O106" i="5"/>
  <c r="P104" i="5"/>
  <c r="M104" i="5"/>
  <c r="P41" i="5"/>
  <c r="O41" i="5"/>
  <c r="N41" i="5"/>
  <c r="M41" i="5"/>
  <c r="O87" i="1"/>
  <c r="K83" i="5" s="1"/>
  <c r="J83" i="5"/>
  <c r="L206" i="5"/>
  <c r="P206" i="5"/>
  <c r="O206" i="5"/>
  <c r="N206" i="5"/>
  <c r="M206" i="5"/>
  <c r="N187" i="5"/>
  <c r="P187" i="5"/>
  <c r="O187" i="5"/>
  <c r="L187" i="5"/>
  <c r="P97" i="5"/>
  <c r="O97" i="5"/>
  <c r="L97" i="5"/>
  <c r="L173" i="5"/>
  <c r="O173" i="5"/>
  <c r="P173" i="5"/>
  <c r="N173" i="5"/>
  <c r="K200" i="5"/>
  <c r="J207" i="5"/>
  <c r="O204" i="1"/>
  <c r="L190" i="5"/>
  <c r="P190" i="5"/>
  <c r="O190" i="5"/>
  <c r="M190" i="5"/>
  <c r="L192" i="5"/>
  <c r="N192" i="5"/>
  <c r="M192" i="5"/>
  <c r="P192" i="5"/>
  <c r="O192" i="5"/>
  <c r="O174" i="5"/>
  <c r="L174" i="5"/>
  <c r="N174" i="5"/>
  <c r="M174" i="5"/>
  <c r="L172" i="5"/>
  <c r="M172" i="5"/>
  <c r="P172" i="5"/>
  <c r="O172" i="5"/>
  <c r="N172" i="5"/>
  <c r="P155" i="5"/>
  <c r="L155" i="5"/>
  <c r="O95" i="5"/>
  <c r="P95" i="5"/>
  <c r="P93" i="5"/>
  <c r="L93" i="5"/>
  <c r="O93" i="5"/>
  <c r="N93" i="5"/>
  <c r="M93" i="5"/>
  <c r="O79" i="5"/>
  <c r="P79" i="5"/>
  <c r="M79" i="5"/>
  <c r="N79" i="5"/>
  <c r="L79" i="5"/>
  <c r="J67" i="5"/>
  <c r="O71" i="1"/>
  <c r="N204" i="5"/>
  <c r="P204" i="5"/>
  <c r="M204" i="5"/>
  <c r="L204" i="5"/>
  <c r="O204" i="5"/>
  <c r="O170" i="1"/>
  <c r="J163" i="5"/>
  <c r="J170" i="1"/>
  <c r="I163" i="5" s="1"/>
  <c r="V185" i="1"/>
  <c r="P129" i="5"/>
  <c r="L129" i="5"/>
  <c r="O129" i="5"/>
  <c r="L175" i="5"/>
  <c r="P175" i="5"/>
  <c r="N175" i="5"/>
  <c r="M175" i="5"/>
  <c r="P10" i="5"/>
  <c r="M10" i="5"/>
  <c r="N10" i="5"/>
  <c r="L10" i="5"/>
  <c r="L44" i="5"/>
  <c r="P44" i="5"/>
  <c r="M44" i="5"/>
  <c r="N44" i="5"/>
  <c r="O44" i="5"/>
  <c r="L180" i="5"/>
  <c r="M180" i="5"/>
  <c r="P180" i="5"/>
  <c r="N180" i="5"/>
  <c r="J126" i="5"/>
  <c r="O127" i="1"/>
  <c r="K126" i="5" s="1"/>
  <c r="M170" i="5"/>
  <c r="O170" i="5"/>
  <c r="P170" i="5"/>
  <c r="N170" i="5"/>
  <c r="L170" i="5"/>
  <c r="P164" i="5"/>
  <c r="L164" i="5"/>
  <c r="M164" i="5"/>
  <c r="O164" i="5"/>
  <c r="N164" i="5"/>
  <c r="N154" i="5"/>
  <c r="P154" i="5"/>
  <c r="O154" i="5"/>
  <c r="L154" i="5"/>
  <c r="M154" i="5"/>
  <c r="O91" i="5"/>
  <c r="N91" i="5"/>
  <c r="M91" i="5"/>
  <c r="P91" i="5"/>
  <c r="M97" i="5"/>
  <c r="M129" i="5"/>
  <c r="L91" i="5"/>
  <c r="O155" i="5"/>
  <c r="M187" i="5"/>
  <c r="H83" i="5"/>
  <c r="M173" i="5"/>
  <c r="P174" i="5"/>
  <c r="N39" i="5"/>
  <c r="O39" i="5"/>
  <c r="M39" i="5"/>
  <c r="P39" i="5"/>
  <c r="L39" i="5"/>
  <c r="J13" i="5"/>
  <c r="O177" i="5"/>
  <c r="P177" i="5"/>
  <c r="L177" i="5"/>
  <c r="N177" i="5"/>
  <c r="P161" i="5"/>
  <c r="O161" i="5"/>
  <c r="N161" i="5"/>
  <c r="M161" i="5"/>
  <c r="N76" i="5"/>
  <c r="M76" i="5"/>
  <c r="P76" i="5"/>
  <c r="O61" i="5"/>
  <c r="L61" i="5"/>
  <c r="P61" i="5"/>
  <c r="N61" i="5"/>
  <c r="M61" i="5"/>
  <c r="M53" i="5"/>
  <c r="P53" i="5"/>
  <c r="O53" i="5"/>
  <c r="N53" i="5"/>
  <c r="L25" i="5"/>
  <c r="O25" i="5"/>
  <c r="P25" i="5"/>
  <c r="L19" i="5"/>
  <c r="N19" i="5"/>
  <c r="M19" i="5"/>
  <c r="O19" i="5"/>
  <c r="L80" i="5"/>
  <c r="N80" i="5"/>
  <c r="L76" i="5"/>
  <c r="M54" i="5"/>
  <c r="L54" i="5"/>
  <c r="O54" i="5"/>
  <c r="N54" i="5"/>
  <c r="P15" i="5"/>
  <c r="O15" i="5"/>
  <c r="M15" i="5"/>
  <c r="L15" i="5"/>
  <c r="L53" i="5"/>
  <c r="L121" i="5"/>
  <c r="O121" i="5"/>
  <c r="P121" i="5"/>
  <c r="P111" i="5"/>
  <c r="O111" i="5"/>
  <c r="L98" i="5"/>
  <c r="P98" i="5"/>
  <c r="N96" i="5"/>
  <c r="O96" i="5"/>
  <c r="N25" i="5"/>
  <c r="P54" i="5"/>
  <c r="O209" i="5"/>
  <c r="N209" i="5"/>
  <c r="P209" i="5"/>
  <c r="M209" i="5"/>
  <c r="M52" i="5"/>
  <c r="N52" i="5"/>
  <c r="O52" i="5"/>
  <c r="P52" i="5"/>
  <c r="L52" i="5"/>
  <c r="M167" i="5"/>
  <c r="L167" i="5"/>
  <c r="O167" i="5"/>
  <c r="O164" i="1"/>
  <c r="K157" i="5" s="1"/>
  <c r="J157" i="5"/>
  <c r="J113" i="5"/>
  <c r="O114" i="1"/>
  <c r="K113" i="5" s="1"/>
  <c r="J99" i="5"/>
  <c r="O101" i="1"/>
  <c r="K99" i="5" s="1"/>
  <c r="M25" i="5"/>
  <c r="L198" i="5"/>
  <c r="P198" i="5"/>
  <c r="M198" i="5"/>
  <c r="N179" i="5"/>
  <c r="P179" i="5"/>
  <c r="L140" i="5"/>
  <c r="N140" i="5"/>
  <c r="O140" i="5"/>
  <c r="P140" i="5"/>
  <c r="M140" i="5"/>
  <c r="M138" i="5"/>
  <c r="O138" i="5"/>
  <c r="L138" i="5"/>
  <c r="O128" i="5"/>
  <c r="P128" i="5"/>
  <c r="J124" i="5"/>
  <c r="O125" i="1"/>
  <c r="K124" i="5" s="1"/>
  <c r="O73" i="5"/>
  <c r="L73" i="5"/>
  <c r="P73" i="5"/>
  <c r="O62" i="1"/>
  <c r="J48" i="5"/>
  <c r="J178" i="5"/>
  <c r="O180" i="1"/>
  <c r="K178" i="5" s="1"/>
  <c r="O137" i="1"/>
  <c r="K137" i="5" s="1"/>
  <c r="J137" i="5"/>
  <c r="P148" i="5"/>
  <c r="N148" i="5"/>
  <c r="L225" i="5"/>
  <c r="P225" i="5"/>
  <c r="O225" i="5"/>
  <c r="P212" i="5"/>
  <c r="L212" i="5"/>
  <c r="O134" i="5"/>
  <c r="P134" i="5"/>
  <c r="L51" i="5"/>
  <c r="P51" i="5"/>
  <c r="L36" i="5"/>
  <c r="M36" i="5"/>
  <c r="H86" i="5"/>
  <c r="N90" i="1"/>
  <c r="P130" i="5"/>
  <c r="L130" i="5"/>
  <c r="J143" i="5" l="1"/>
  <c r="O143" i="1"/>
  <c r="K143" i="5" s="1"/>
  <c r="L42" i="5"/>
  <c r="O224" i="5"/>
  <c r="N225" i="1"/>
  <c r="O69" i="5"/>
  <c r="O46" i="5"/>
  <c r="O166" i="5"/>
  <c r="M222" i="5"/>
  <c r="N222" i="5"/>
  <c r="L30" i="5"/>
  <c r="N166" i="5"/>
  <c r="P69" i="5"/>
  <c r="N224" i="5"/>
  <c r="O115" i="5"/>
  <c r="P182" i="5"/>
  <c r="L196" i="5"/>
  <c r="N69" i="5"/>
  <c r="N182" i="5"/>
  <c r="L166" i="5"/>
  <c r="P166" i="5"/>
  <c r="L131" i="5"/>
  <c r="L226" i="5"/>
  <c r="O92" i="5"/>
  <c r="V77" i="1"/>
  <c r="O110" i="5"/>
  <c r="M22" i="5"/>
  <c r="P224" i="5"/>
  <c r="L115" i="5"/>
  <c r="P115" i="5"/>
  <c r="O222" i="5"/>
  <c r="N203" i="5"/>
  <c r="P222" i="5"/>
  <c r="N110" i="5"/>
  <c r="L224" i="5"/>
  <c r="O42" i="5"/>
  <c r="L92" i="5"/>
  <c r="M62" i="5"/>
  <c r="O62" i="5"/>
  <c r="M101" i="5"/>
  <c r="N42" i="5"/>
  <c r="N92" i="5"/>
  <c r="L62" i="5"/>
  <c r="O101" i="5"/>
  <c r="P62" i="5"/>
  <c r="P42" i="5"/>
  <c r="M92" i="5"/>
  <c r="L101" i="5"/>
  <c r="P101" i="5"/>
  <c r="L5" i="5"/>
  <c r="O32" i="1"/>
  <c r="K18" i="5" s="1"/>
  <c r="L18" i="5" s="1"/>
  <c r="N28" i="5"/>
  <c r="N196" i="5"/>
  <c r="M105" i="5"/>
  <c r="P5" i="5"/>
  <c r="L203" i="5"/>
  <c r="L28" i="5"/>
  <c r="M50" i="5"/>
  <c r="N115" i="5"/>
  <c r="L105" i="5"/>
  <c r="M28" i="5"/>
  <c r="O238" i="1"/>
  <c r="O50" i="5"/>
  <c r="L69" i="5"/>
  <c r="M5" i="5"/>
  <c r="M226" i="5"/>
  <c r="L211" i="5"/>
  <c r="O117" i="5"/>
  <c r="L110" i="5"/>
  <c r="P110" i="5"/>
  <c r="N211" i="5"/>
  <c r="N30" i="5"/>
  <c r="O211" i="5"/>
  <c r="P78" i="5"/>
  <c r="O182" i="5"/>
  <c r="P30" i="5"/>
  <c r="P211" i="5"/>
  <c r="P74" i="5"/>
  <c r="P105" i="5"/>
  <c r="N131" i="5"/>
  <c r="O30" i="5"/>
  <c r="M182" i="5"/>
  <c r="L32" i="5"/>
  <c r="P108" i="5"/>
  <c r="O105" i="5"/>
  <c r="N5" i="5"/>
  <c r="N226" i="5"/>
  <c r="L46" i="5"/>
  <c r="M72" i="5"/>
  <c r="O108" i="5"/>
  <c r="N32" i="5"/>
  <c r="P28" i="5"/>
  <c r="L72" i="5"/>
  <c r="O32" i="5"/>
  <c r="L50" i="5"/>
  <c r="P50" i="5"/>
  <c r="P32" i="5"/>
  <c r="M220" i="5"/>
  <c r="L220" i="5"/>
  <c r="N220" i="5"/>
  <c r="P220" i="5"/>
  <c r="N103" i="5"/>
  <c r="P217" i="5"/>
  <c r="O35" i="5"/>
  <c r="M35" i="5"/>
  <c r="L35" i="5"/>
  <c r="N35" i="5"/>
  <c r="N94" i="5"/>
  <c r="P35" i="5"/>
  <c r="P117" i="5"/>
  <c r="M117" i="5"/>
  <c r="O78" i="5"/>
  <c r="L94" i="5"/>
  <c r="M196" i="5"/>
  <c r="O217" i="5"/>
  <c r="N217" i="5"/>
  <c r="N117" i="5"/>
  <c r="L217" i="5"/>
  <c r="P203" i="5"/>
  <c r="M203" i="5"/>
  <c r="L108" i="5"/>
  <c r="M94" i="5"/>
  <c r="O94" i="5"/>
  <c r="P196" i="5"/>
  <c r="P226" i="5"/>
  <c r="W217" i="1"/>
  <c r="P46" i="5"/>
  <c r="N46" i="5"/>
  <c r="M74" i="5"/>
  <c r="N74" i="5"/>
  <c r="L74" i="5"/>
  <c r="O47" i="5"/>
  <c r="N47" i="5"/>
  <c r="M47" i="5"/>
  <c r="L47" i="5"/>
  <c r="P47" i="5"/>
  <c r="W206" i="1"/>
  <c r="N22" i="5"/>
  <c r="O60" i="5"/>
  <c r="P60" i="5"/>
  <c r="L60" i="5"/>
  <c r="N60" i="5"/>
  <c r="M60" i="5"/>
  <c r="N72" i="5"/>
  <c r="P72" i="5"/>
  <c r="M108" i="5"/>
  <c r="N78" i="5"/>
  <c r="M78" i="5"/>
  <c r="O22" i="5"/>
  <c r="P22" i="5"/>
  <c r="W218" i="1"/>
  <c r="P131" i="5"/>
  <c r="O131" i="5"/>
  <c r="V134" i="1"/>
  <c r="N65" i="5"/>
  <c r="O65" i="5"/>
  <c r="L65" i="5"/>
  <c r="M65" i="5"/>
  <c r="O103" i="5"/>
  <c r="L103" i="5"/>
  <c r="M103" i="5"/>
  <c r="P133" i="5"/>
  <c r="O133" i="5"/>
  <c r="N133" i="5"/>
  <c r="L133" i="5"/>
  <c r="M133" i="5"/>
  <c r="N194" i="5"/>
  <c r="L194" i="5"/>
  <c r="P194" i="5"/>
  <c r="O194" i="5"/>
  <c r="M194" i="5"/>
  <c r="L178" i="5"/>
  <c r="O178" i="5"/>
  <c r="N178" i="5"/>
  <c r="P178" i="5"/>
  <c r="M178" i="5"/>
  <c r="K48" i="5"/>
  <c r="P157" i="5"/>
  <c r="M157" i="5"/>
  <c r="O157" i="5"/>
  <c r="N157" i="5"/>
  <c r="L157" i="5"/>
  <c r="P213" i="5"/>
  <c r="M213" i="5"/>
  <c r="O213" i="5"/>
  <c r="N213" i="5"/>
  <c r="L213" i="5"/>
  <c r="P126" i="5"/>
  <c r="L126" i="5"/>
  <c r="M126" i="5"/>
  <c r="N126" i="5"/>
  <c r="O126" i="5"/>
  <c r="K67" i="5"/>
  <c r="M200" i="5"/>
  <c r="N200" i="5"/>
  <c r="O200" i="5"/>
  <c r="P200" i="5"/>
  <c r="L200" i="5"/>
  <c r="N124" i="5"/>
  <c r="P124" i="5"/>
  <c r="L124" i="5"/>
  <c r="M124" i="5"/>
  <c r="O124" i="5"/>
  <c r="P99" i="5"/>
  <c r="O99" i="5"/>
  <c r="N99" i="5"/>
  <c r="L99" i="5"/>
  <c r="M99" i="5"/>
  <c r="P3" i="5"/>
  <c r="L3" i="5"/>
  <c r="O3" i="5"/>
  <c r="N3" i="5"/>
  <c r="M3" i="5"/>
  <c r="K228" i="5"/>
  <c r="N113" i="5"/>
  <c r="M113" i="5"/>
  <c r="P113" i="5"/>
  <c r="L113" i="5"/>
  <c r="O113" i="5"/>
  <c r="K163" i="5"/>
  <c r="W185" i="1"/>
  <c r="W186" i="1"/>
  <c r="J86" i="5"/>
  <c r="O90" i="1"/>
  <c r="K86" i="5" s="1"/>
  <c r="L137" i="5"/>
  <c r="M137" i="5"/>
  <c r="N137" i="5"/>
  <c r="P137" i="5"/>
  <c r="O137" i="5"/>
  <c r="K207" i="5"/>
  <c r="W205" i="1"/>
  <c r="P83" i="5"/>
  <c r="N83" i="5"/>
  <c r="O83" i="5"/>
  <c r="L83" i="5"/>
  <c r="M83" i="5"/>
  <c r="N143" i="5" l="1"/>
  <c r="M143" i="5"/>
  <c r="P143" i="5"/>
  <c r="O143" i="5"/>
  <c r="L143" i="5"/>
  <c r="P18" i="5"/>
  <c r="W78" i="1"/>
  <c r="O18" i="5"/>
  <c r="W79" i="1"/>
  <c r="M18" i="5"/>
  <c r="N18" i="5"/>
  <c r="W77" i="1"/>
  <c r="W219" i="1"/>
  <c r="F304" i="5"/>
  <c r="E316" i="5"/>
  <c r="W207" i="1"/>
  <c r="O230" i="1"/>
  <c r="F299" i="5"/>
  <c r="F310" i="5"/>
  <c r="E304" i="5"/>
  <c r="W135" i="1"/>
  <c r="N228" i="5"/>
  <c r="F313" i="5"/>
  <c r="L48" i="5"/>
  <c r="O48" i="5"/>
  <c r="M48" i="5"/>
  <c r="P48" i="5"/>
  <c r="N48" i="5"/>
  <c r="L163" i="5"/>
  <c r="M163" i="5"/>
  <c r="P163" i="5"/>
  <c r="O163" i="5"/>
  <c r="N163" i="5"/>
  <c r="E317" i="5"/>
  <c r="F316" i="5"/>
  <c r="K263" i="5"/>
  <c r="F311" i="5"/>
  <c r="E310" i="5"/>
  <c r="W134" i="1"/>
  <c r="O237" i="1"/>
  <c r="O233" i="1"/>
  <c r="O86" i="5"/>
  <c r="M86" i="5"/>
  <c r="L86" i="5"/>
  <c r="N86" i="5"/>
  <c r="P86" i="5"/>
  <c r="F305" i="5"/>
  <c r="E305" i="5"/>
  <c r="O228" i="5"/>
  <c r="F319" i="5"/>
  <c r="E311" i="5"/>
  <c r="L228" i="5"/>
  <c r="F301" i="5"/>
  <c r="O234" i="1"/>
  <c r="M67" i="5"/>
  <c r="O67" i="5"/>
  <c r="P67" i="5"/>
  <c r="L67" i="5"/>
  <c r="N67" i="5"/>
  <c r="N207" i="5"/>
  <c r="L207" i="5"/>
  <c r="O207" i="5"/>
  <c r="M207" i="5"/>
  <c r="P207" i="5"/>
  <c r="K262" i="5"/>
  <c r="O226" i="1"/>
  <c r="O225" i="1"/>
  <c r="M228" i="5"/>
  <c r="F307" i="5"/>
  <c r="F317" i="5"/>
  <c r="E298" i="5"/>
  <c r="F298" i="5"/>
  <c r="E299" i="5"/>
  <c r="P228" i="5"/>
  <c r="O229" i="1"/>
  <c r="E306" i="5" l="1"/>
  <c r="K298" i="5"/>
  <c r="E318" i="5"/>
  <c r="K264" i="5"/>
  <c r="K310" i="5"/>
  <c r="P229" i="1"/>
  <c r="E312" i="5"/>
  <c r="K304" i="5"/>
  <c r="W136" i="1"/>
  <c r="K299" i="5"/>
  <c r="O227" i="1"/>
  <c r="P238" i="1"/>
  <c r="K305" i="5"/>
  <c r="F306" i="5"/>
  <c r="K317" i="5"/>
  <c r="F318" i="5"/>
  <c r="O235" i="1"/>
  <c r="P234" i="1"/>
  <c r="P233" i="1"/>
  <c r="K311" i="5"/>
  <c r="F312" i="5"/>
  <c r="E300" i="5"/>
  <c r="P230" i="1"/>
  <c r="P237" i="1"/>
  <c r="O239" i="1"/>
  <c r="O231" i="1"/>
  <c r="K316" i="5"/>
  <c r="F300" i="5"/>
</calcChain>
</file>

<file path=xl/sharedStrings.xml><?xml version="1.0" encoding="utf-8"?>
<sst xmlns="http://schemas.openxmlformats.org/spreadsheetml/2006/main" count="988" uniqueCount="551">
  <si>
    <t>Hemman</t>
  </si>
  <si>
    <t>Adress</t>
  </si>
  <si>
    <t>Amnerud</t>
  </si>
  <si>
    <t>Anna-Lisa Halvarsson</t>
  </si>
  <si>
    <t>680 52</t>
  </si>
  <si>
    <t>Backa</t>
  </si>
  <si>
    <t>Gunde Matshag</t>
  </si>
  <si>
    <t>680 63</t>
  </si>
  <si>
    <t>1:11</t>
  </si>
  <si>
    <t>1:12</t>
  </si>
  <si>
    <t>Allan Mattsson</t>
  </si>
  <si>
    <t>654 67</t>
  </si>
  <si>
    <t>Karlstad</t>
  </si>
  <si>
    <t>1:13</t>
  </si>
  <si>
    <t>1:19</t>
  </si>
  <si>
    <t>1:23</t>
  </si>
  <si>
    <t>Hans Halvarsson</t>
  </si>
  <si>
    <t>1:29</t>
  </si>
  <si>
    <t>1:31</t>
  </si>
  <si>
    <t>Amnerud 173</t>
  </si>
  <si>
    <t>1:51</t>
  </si>
  <si>
    <t>Eskil Jakobsson</t>
  </si>
  <si>
    <t>1:33</t>
  </si>
  <si>
    <t>Eva-Britt Halvarsson</t>
  </si>
  <si>
    <t>1:40</t>
  </si>
  <si>
    <t>1:124</t>
  </si>
  <si>
    <t>1:43</t>
  </si>
  <si>
    <t>1:49</t>
  </si>
  <si>
    <t>1:55</t>
  </si>
  <si>
    <t>752 38</t>
  </si>
  <si>
    <t>Uppsala</t>
  </si>
  <si>
    <t>1:57</t>
  </si>
  <si>
    <t>Kerstin Jakobsson</t>
  </si>
  <si>
    <t>1:58</t>
  </si>
  <si>
    <t>Olov Ingvar Halvarsson</t>
  </si>
  <si>
    <t>1:60</t>
  </si>
  <si>
    <t>1:67</t>
  </si>
  <si>
    <t>1:68</t>
  </si>
  <si>
    <t>Torsby</t>
  </si>
  <si>
    <t>1:69</t>
  </si>
  <si>
    <t>John-Erik Persson</t>
  </si>
  <si>
    <t>18</t>
  </si>
  <si>
    <t>1:75</t>
  </si>
  <si>
    <t>Tore Amundsson</t>
  </si>
  <si>
    <t>1:78</t>
  </si>
  <si>
    <t>1:76</t>
  </si>
  <si>
    <t>680 51</t>
  </si>
  <si>
    <t>1:94</t>
  </si>
  <si>
    <t>Lars Erik Andersson</t>
  </si>
  <si>
    <t>Transtrand</t>
  </si>
  <si>
    <t>1:95</t>
  </si>
  <si>
    <t>Karin Markusson</t>
  </si>
  <si>
    <t>Backa 529</t>
  </si>
  <si>
    <t>1:104</t>
  </si>
  <si>
    <t>1:105</t>
  </si>
  <si>
    <t>1:120</t>
  </si>
  <si>
    <t>1:121</t>
  </si>
  <si>
    <t>1:123</t>
  </si>
  <si>
    <t>1:127</t>
  </si>
  <si>
    <t>1:128</t>
  </si>
  <si>
    <t>Gunnel Persson</t>
  </si>
  <si>
    <t>Allan Persson</t>
  </si>
  <si>
    <t>1:131</t>
  </si>
  <si>
    <t>Lars Persson</t>
  </si>
  <si>
    <t>1:10</t>
  </si>
  <si>
    <t>1:56</t>
  </si>
  <si>
    <t>1:62</t>
  </si>
  <si>
    <t>1:16</t>
  </si>
  <si>
    <t>1:116</t>
  </si>
  <si>
    <t>1:21</t>
  </si>
  <si>
    <t>1:39</t>
  </si>
  <si>
    <t>Kil</t>
  </si>
  <si>
    <t>1:36</t>
  </si>
  <si>
    <t>1:45</t>
  </si>
  <si>
    <t>1:46</t>
  </si>
  <si>
    <t>1:47</t>
  </si>
  <si>
    <t>1:79</t>
  </si>
  <si>
    <t>Ingemar Folkesson</t>
  </si>
  <si>
    <t>1:63</t>
  </si>
  <si>
    <t>653 45</t>
  </si>
  <si>
    <t>Roger Gustavsson</t>
  </si>
  <si>
    <t>683 00</t>
  </si>
  <si>
    <t>Hagfors</t>
  </si>
  <si>
    <t>1:61</t>
  </si>
  <si>
    <t>Tommy Kont</t>
  </si>
  <si>
    <t>1:65</t>
  </si>
  <si>
    <t>Nils Olov Nilsson</t>
  </si>
  <si>
    <t>680 50</t>
  </si>
  <si>
    <t>43</t>
  </si>
  <si>
    <t>1:71</t>
  </si>
  <si>
    <t>162 39</t>
  </si>
  <si>
    <t>1:73</t>
  </si>
  <si>
    <t>Erik Lindberg</t>
  </si>
  <si>
    <t>1:74</t>
  </si>
  <si>
    <t>1:77</t>
  </si>
  <si>
    <t>1:80</t>
  </si>
  <si>
    <t>47</t>
  </si>
  <si>
    <t>1:97</t>
  </si>
  <si>
    <t>1:99</t>
  </si>
  <si>
    <t>Bror Larsson</t>
  </si>
  <si>
    <t>1:103</t>
  </si>
  <si>
    <t>Monica Gerhardsson</t>
  </si>
  <si>
    <t>Kumla</t>
  </si>
  <si>
    <t>1:110</t>
  </si>
  <si>
    <t>1:112</t>
  </si>
  <si>
    <t>1:115</t>
  </si>
  <si>
    <t>1:118</t>
  </si>
  <si>
    <t>1:125</t>
  </si>
  <si>
    <t>Skinnerud</t>
  </si>
  <si>
    <t>1:126</t>
  </si>
  <si>
    <t>1:136</t>
  </si>
  <si>
    <t>1:137</t>
  </si>
  <si>
    <t>1:138</t>
  </si>
  <si>
    <t>1:139</t>
  </si>
  <si>
    <t>1:142</t>
  </si>
  <si>
    <t>1:37</t>
  </si>
  <si>
    <t>1:38</t>
  </si>
  <si>
    <t>1:42</t>
  </si>
  <si>
    <t>3:6</t>
  </si>
  <si>
    <t>3:23</t>
  </si>
  <si>
    <t>3:12</t>
  </si>
  <si>
    <t>3:68</t>
  </si>
  <si>
    <t>Caisa Skoglund</t>
  </si>
  <si>
    <t>653 46</t>
  </si>
  <si>
    <t>3:13</t>
  </si>
  <si>
    <t>Falun</t>
  </si>
  <si>
    <t>3:15</t>
  </si>
  <si>
    <t>3:24</t>
  </si>
  <si>
    <t>3:26</t>
  </si>
  <si>
    <t>3:30</t>
  </si>
  <si>
    <t>3:62</t>
  </si>
  <si>
    <t>3:77</t>
  </si>
  <si>
    <t>191 51</t>
  </si>
  <si>
    <t>Sollentuna</t>
  </si>
  <si>
    <t>Forshaga</t>
  </si>
  <si>
    <t>87</t>
  </si>
  <si>
    <t>Anna Carin Persson</t>
  </si>
  <si>
    <t>Per Olov Persson</t>
  </si>
  <si>
    <t>Peter Eriksson</t>
  </si>
  <si>
    <t>1:22</t>
  </si>
  <si>
    <t>1:8</t>
  </si>
  <si>
    <t>1:14</t>
  </si>
  <si>
    <t>1:15</t>
  </si>
  <si>
    <t>1:30</t>
  </si>
  <si>
    <t>1:32</t>
  </si>
  <si>
    <t>Gunde Persson</t>
  </si>
  <si>
    <t>Deje</t>
  </si>
  <si>
    <t>Ambjörby</t>
  </si>
  <si>
    <t>Dan Norström</t>
  </si>
  <si>
    <t>Likenäs</t>
  </si>
  <si>
    <t>Järfälla</t>
  </si>
  <si>
    <t>Solveig Nyström</t>
  </si>
  <si>
    <t>Staffan Nyström</t>
  </si>
  <si>
    <t>Anna Melin-Nyström</t>
  </si>
  <si>
    <t>Fredrik Bäckström</t>
  </si>
  <si>
    <t>Katarina Bäckström</t>
  </si>
  <si>
    <t>Kurt Bäckström</t>
  </si>
  <si>
    <t>Helena Bäckström</t>
  </si>
  <si>
    <t>Baronvägen 9</t>
  </si>
  <si>
    <t>Polarisvägen 19</t>
  </si>
  <si>
    <t>Per Åke Nilsson</t>
  </si>
  <si>
    <t>Hjortronstigen 34</t>
  </si>
  <si>
    <t>Sjövägen 18</t>
  </si>
  <si>
    <t>Per Erik Törnqvist</t>
  </si>
  <si>
    <t>Hjällstad</t>
  </si>
  <si>
    <t>Kevenhyllersv.4</t>
  </si>
  <si>
    <t>Kristinehamn</t>
  </si>
  <si>
    <t>Kattstjärten</t>
  </si>
  <si>
    <t>Börje Olsson</t>
  </si>
  <si>
    <t>Håkan Olsson</t>
  </si>
  <si>
    <t>1:20</t>
  </si>
  <si>
    <t>1:9</t>
  </si>
  <si>
    <t>Sjöbacken 32</t>
  </si>
  <si>
    <t>Stöllet</t>
  </si>
  <si>
    <t xml:space="preserve">Transtrand </t>
  </si>
  <si>
    <t>Postnr.</t>
  </si>
  <si>
    <t>Ort</t>
  </si>
  <si>
    <t>Littr.</t>
  </si>
  <si>
    <t>Göte Persson</t>
  </si>
  <si>
    <t>Örjan Olsson</t>
  </si>
  <si>
    <t>135,41</t>
  </si>
  <si>
    <t>39,07</t>
  </si>
  <si>
    <t>0,96</t>
  </si>
  <si>
    <t>0,07</t>
  </si>
  <si>
    <t xml:space="preserve">Amnerud </t>
  </si>
  <si>
    <t>Amnerud 22</t>
  </si>
  <si>
    <t>Amnerud 25</t>
  </si>
  <si>
    <t>Horsensgatan 28</t>
  </si>
  <si>
    <t>Vestby Bryggeri</t>
  </si>
  <si>
    <t>Amnerud 23</t>
  </si>
  <si>
    <t>Opalvägen 6</t>
  </si>
  <si>
    <t>655 93</t>
  </si>
  <si>
    <t>Mattsgården Backa</t>
  </si>
  <si>
    <t>Amnerud 15</t>
  </si>
  <si>
    <t>Tobias Kont</t>
  </si>
  <si>
    <t>Amnerud 31</t>
  </si>
  <si>
    <t>0,49</t>
  </si>
  <si>
    <t>Barbro Lundin</t>
  </si>
  <si>
    <t>Värnäs 23</t>
  </si>
  <si>
    <t>B-H</t>
  </si>
  <si>
    <t>112,32</t>
  </si>
  <si>
    <t>175 65</t>
  </si>
  <si>
    <t>Tuvanäsvägen 1405</t>
  </si>
  <si>
    <t xml:space="preserve">352 52 </t>
  </si>
  <si>
    <t>Växjö</t>
  </si>
  <si>
    <t>Kosmosgränd 39</t>
  </si>
  <si>
    <t>175 66</t>
  </si>
  <si>
    <t>216,74</t>
  </si>
  <si>
    <t>55,72</t>
  </si>
  <si>
    <t>Gunnar Fors</t>
  </si>
  <si>
    <t>V. Spårgatan 29</t>
  </si>
  <si>
    <t>681 35</t>
  </si>
  <si>
    <t>Håkan Fors</t>
  </si>
  <si>
    <t>Amnerud 6</t>
  </si>
  <si>
    <t xml:space="preserve">680 63 </t>
  </si>
  <si>
    <t>arealuppg. Saknas</t>
  </si>
  <si>
    <t>Amnerud 36</t>
  </si>
  <si>
    <t>Thorbjörn Olsson</t>
  </si>
  <si>
    <t>Överbyn 28</t>
  </si>
  <si>
    <t>685 94</t>
  </si>
  <si>
    <t>Överbyn 26</t>
  </si>
  <si>
    <t>Rundellgatan 16</t>
  </si>
  <si>
    <t>653 42</t>
  </si>
  <si>
    <t>1:122</t>
  </si>
  <si>
    <t>Amnerudsheden 39</t>
  </si>
  <si>
    <t>Backa 18</t>
  </si>
  <si>
    <t>Vestby 5</t>
  </si>
  <si>
    <t>Vestby 3</t>
  </si>
  <si>
    <t>Kristina Holm-Persson</t>
  </si>
  <si>
    <t>Norge</t>
  </si>
  <si>
    <t>Lantbruksnämnden</t>
  </si>
  <si>
    <t>651 86</t>
  </si>
  <si>
    <t>Våxnäsgatan 5-7</t>
  </si>
  <si>
    <t>665 35</t>
  </si>
  <si>
    <t>Backa 3</t>
  </si>
  <si>
    <t xml:space="preserve">Backa </t>
  </si>
  <si>
    <t>Gullrisgatan 16</t>
  </si>
  <si>
    <t xml:space="preserve">Hamra, Sjövik </t>
  </si>
  <si>
    <t>Ekshärad</t>
  </si>
  <si>
    <t>Sysslebäck</t>
  </si>
  <si>
    <t>Vällingby</t>
  </si>
  <si>
    <t>Backa 29A</t>
  </si>
  <si>
    <t>Janke Nobel m.fl</t>
  </si>
  <si>
    <t>Holland</t>
  </si>
  <si>
    <t>Brönäs 12</t>
  </si>
  <si>
    <t>Transtrand 44</t>
  </si>
  <si>
    <t>Urban Nilsson</t>
  </si>
  <si>
    <t>Skullsta gård 1253</t>
  </si>
  <si>
    <t>710 41</t>
  </si>
  <si>
    <t>Fellingsbro</t>
  </si>
  <si>
    <t>Lövstagatan 2B</t>
  </si>
  <si>
    <t>692 33</t>
  </si>
  <si>
    <t>Ann-Marie Persson</t>
  </si>
  <si>
    <t>Bröskågården</t>
  </si>
  <si>
    <t>Backa 17</t>
  </si>
  <si>
    <t>Gullan Rydh</t>
  </si>
  <si>
    <t>Rönnliden 29</t>
  </si>
  <si>
    <t>667 33</t>
  </si>
  <si>
    <t>Bengt Helgesson</t>
  </si>
  <si>
    <t>Lilla Ällsjövägen 22</t>
  </si>
  <si>
    <t>424 70</t>
  </si>
  <si>
    <t>Olofstorp</t>
  </si>
  <si>
    <t>Ann-Britt Helgesson</t>
  </si>
  <si>
    <t xml:space="preserve">Rishedsvägen 39 </t>
  </si>
  <si>
    <t>449 50</t>
  </si>
  <si>
    <t>Alafors</t>
  </si>
  <si>
    <t>Per Helgesson</t>
  </si>
  <si>
    <t>Transtrand 9</t>
  </si>
  <si>
    <t>Kristina Helgesson</t>
  </si>
  <si>
    <t>Mariebergsvägen 37</t>
  </si>
  <si>
    <t>681 37</t>
  </si>
  <si>
    <t>Ytter Restad 620</t>
  </si>
  <si>
    <t>442 95</t>
  </si>
  <si>
    <t>Holta</t>
  </si>
  <si>
    <t>Göran Andersson</t>
  </si>
  <si>
    <t>443 95</t>
  </si>
  <si>
    <t>Lars-Oscar Johnsson</t>
  </si>
  <si>
    <t>Klarälvsvägen 98</t>
  </si>
  <si>
    <t xml:space="preserve">680 60 </t>
  </si>
  <si>
    <t>1:143</t>
  </si>
  <si>
    <t>Anna-Greta Norström</t>
  </si>
  <si>
    <t>Stig Persson</t>
  </si>
  <si>
    <t>Mattsgården, Backa</t>
  </si>
  <si>
    <t>791 80</t>
  </si>
  <si>
    <t>Stora Kopparbergs Bergslags AB</t>
  </si>
  <si>
    <t>Lars Linsell</t>
  </si>
  <si>
    <t>Klarastrandsv. 5</t>
  </si>
  <si>
    <t>Vestby 4</t>
  </si>
  <si>
    <t>Mörbacka 9</t>
  </si>
  <si>
    <t>Rekylgatan 13 II</t>
  </si>
  <si>
    <t>723 38</t>
  </si>
  <si>
    <t>Västerås</t>
  </si>
  <si>
    <t>Hässelby</t>
  </si>
  <si>
    <t>165 65</t>
  </si>
  <si>
    <t>Åke Olsson dbo</t>
  </si>
  <si>
    <t>Månäs</t>
  </si>
  <si>
    <t>V:a Månäs 18</t>
  </si>
  <si>
    <t>S:a Kroksdal 98</t>
  </si>
  <si>
    <t>471 33</t>
  </si>
  <si>
    <t>Skärhamn</t>
  </si>
  <si>
    <t>Stockholm</t>
  </si>
  <si>
    <t>2:2</t>
  </si>
  <si>
    <t>Högberg 3</t>
  </si>
  <si>
    <t>669 91</t>
  </si>
  <si>
    <t>2:3</t>
  </si>
  <si>
    <t>Fastigheter, st</t>
  </si>
  <si>
    <t>Medelareal</t>
  </si>
  <si>
    <t>Summa, ha</t>
  </si>
  <si>
    <t>Maj-Lise Persson</t>
  </si>
  <si>
    <t>Totalt</t>
  </si>
  <si>
    <t>Namn</t>
  </si>
  <si>
    <t>Del</t>
  </si>
  <si>
    <t>Tot,ha</t>
  </si>
  <si>
    <t>Femt ha</t>
  </si>
  <si>
    <t>avrund ha</t>
  </si>
  <si>
    <t>kod</t>
  </si>
  <si>
    <t>Bredsjön</t>
  </si>
  <si>
    <t>ej lika som 1:137</t>
  </si>
  <si>
    <t>1:53</t>
  </si>
  <si>
    <t>b</t>
  </si>
  <si>
    <t>sjb</t>
  </si>
  <si>
    <t>Harriet Isaksson</t>
  </si>
  <si>
    <t>1:50</t>
  </si>
  <si>
    <t>Pernilla Olsson</t>
  </si>
  <si>
    <t>Fastigheter inom Femtåns VVO som saknar jaktlig betydelse</t>
  </si>
  <si>
    <t xml:space="preserve">Hemman </t>
  </si>
  <si>
    <t>1:59</t>
  </si>
  <si>
    <t>1:86</t>
  </si>
  <si>
    <t>1:87</t>
  </si>
  <si>
    <t>1:88</t>
  </si>
  <si>
    <t>1:89</t>
  </si>
  <si>
    <t>1:90</t>
  </si>
  <si>
    <t>1:93</t>
  </si>
  <si>
    <t>1:98</t>
  </si>
  <si>
    <t>1:102</t>
  </si>
  <si>
    <t>1:107</t>
  </si>
  <si>
    <t>1:109</t>
  </si>
  <si>
    <t>1:111</t>
  </si>
  <si>
    <t>1:113</t>
  </si>
  <si>
    <t>1:114</t>
  </si>
  <si>
    <t>1:117</t>
  </si>
  <si>
    <t>1:119</t>
  </si>
  <si>
    <t>1:130</t>
  </si>
  <si>
    <t>1:132</t>
  </si>
  <si>
    <t>1:133</t>
  </si>
  <si>
    <t>1:44</t>
  </si>
  <si>
    <t>1:48</t>
  </si>
  <si>
    <t>1:52</t>
  </si>
  <si>
    <t>1:54</t>
  </si>
  <si>
    <t>1:82</t>
  </si>
  <si>
    <t>1:83</t>
  </si>
  <si>
    <t>1:84</t>
  </si>
  <si>
    <t>1:85</t>
  </si>
  <si>
    <t>1:91</t>
  </si>
  <si>
    <t>1:92</t>
  </si>
  <si>
    <t>1:106</t>
  </si>
  <si>
    <t>1:108</t>
  </si>
  <si>
    <t>1:129</t>
  </si>
  <si>
    <t>1:134</t>
  </si>
  <si>
    <t>1:135</t>
  </si>
  <si>
    <t>1:140</t>
  </si>
  <si>
    <t>1:141</t>
  </si>
  <si>
    <t>1:144</t>
  </si>
  <si>
    <t>1:145</t>
  </si>
  <si>
    <t>1:146</t>
  </si>
  <si>
    <t>1:147</t>
  </si>
  <si>
    <t>1:6</t>
  </si>
  <si>
    <t>1:35</t>
  </si>
  <si>
    <t>1:41</t>
  </si>
  <si>
    <t>Antal</t>
  </si>
  <si>
    <t>13</t>
  </si>
  <si>
    <t>Antal &gt; 100ha</t>
  </si>
  <si>
    <t>Areal</t>
  </si>
  <si>
    <t>Antal &gt; 75ha</t>
  </si>
  <si>
    <t xml:space="preserve">Kerstin Johnsson </t>
  </si>
  <si>
    <t>Antal jakträtter</t>
  </si>
  <si>
    <t>Arealer Femtåns VVO</t>
  </si>
  <si>
    <t>4</t>
  </si>
  <si>
    <t>&lt;=</t>
  </si>
  <si>
    <t>&gt;</t>
  </si>
  <si>
    <t>Antal &gt; 90ha</t>
  </si>
  <si>
    <t>Antal &gt; 80ha</t>
  </si>
  <si>
    <t>63</t>
  </si>
  <si>
    <t>3:39</t>
  </si>
  <si>
    <t>Vestby bryggeri</t>
  </si>
  <si>
    <t>68063</t>
  </si>
  <si>
    <t>Mats Tillberg</t>
  </si>
  <si>
    <t>3,92</t>
  </si>
  <si>
    <t>Tunbergsv. 22</t>
  </si>
  <si>
    <t>Gunnar Olsson</t>
  </si>
  <si>
    <t>Caroline Frykelid</t>
  </si>
  <si>
    <t>Mikael Häggström</t>
  </si>
  <si>
    <t>Ättehögsgatan 3C</t>
  </si>
  <si>
    <t>Göteborg</t>
  </si>
  <si>
    <t>416 74</t>
  </si>
  <si>
    <t>Peder Kristiansen</t>
  </si>
  <si>
    <t>Smedjerud</t>
  </si>
  <si>
    <t>312 98</t>
  </si>
  <si>
    <t>Voxtorp</t>
  </si>
  <si>
    <t>ej lika som 1:33</t>
  </si>
  <si>
    <t>1:152</t>
  </si>
  <si>
    <t xml:space="preserve">Kattstjärten </t>
  </si>
  <si>
    <t>Mörbacka</t>
  </si>
  <si>
    <t>Håkan Helgesson dbo</t>
  </si>
  <si>
    <t xml:space="preserve">Skinnerud </t>
  </si>
  <si>
    <t>1:149</t>
  </si>
  <si>
    <t>Martin Persson</t>
  </si>
  <si>
    <t>Hantverkaregatan 10B</t>
  </si>
  <si>
    <t>803 23</t>
  </si>
  <si>
    <t>Gävle</t>
  </si>
  <si>
    <t>1:153</t>
  </si>
  <si>
    <t>Naturvårdsverket</t>
  </si>
  <si>
    <t>Länsstyrelsen Att: Fredrik Kämpe</t>
  </si>
  <si>
    <t>1:155</t>
  </si>
  <si>
    <t>1:156</t>
  </si>
  <si>
    <t>Mirja Nilsson</t>
  </si>
  <si>
    <t>Ulf Spetsmark</t>
  </si>
  <si>
    <t>Marcus Andersen</t>
  </si>
  <si>
    <t>Mossängsvägen 18</t>
  </si>
  <si>
    <t>3:106</t>
  </si>
  <si>
    <t>3:102</t>
  </si>
  <si>
    <t>3:93</t>
  </si>
  <si>
    <t>Jörgen Olsson</t>
  </si>
  <si>
    <t>Kerstin Persson dbo</t>
  </si>
  <si>
    <t>Per-Olof Myrin</t>
  </si>
  <si>
    <t>Johannesonsgatan 51</t>
  </si>
  <si>
    <t>652 19</t>
  </si>
  <si>
    <t xml:space="preserve">John Jörgen Persson </t>
  </si>
  <si>
    <t xml:space="preserve">Nina Elisabeth Åkerman </t>
  </si>
  <si>
    <t>Erik Marcusson</t>
  </si>
  <si>
    <t>Charlotte Marcusson</t>
  </si>
  <si>
    <t>1:154</t>
  </si>
  <si>
    <t>s:7</t>
  </si>
  <si>
    <t>Bänteby</t>
  </si>
  <si>
    <t>Bänteby 9</t>
  </si>
  <si>
    <t>Marcus Persson</t>
  </si>
  <si>
    <t>Martin Person</t>
  </si>
  <si>
    <t>1:232</t>
  </si>
  <si>
    <t>Dalby-Backa</t>
  </si>
  <si>
    <t xml:space="preserve">Dalby-Backa </t>
  </si>
  <si>
    <t>=FEMTL!C137</t>
  </si>
  <si>
    <t>Eva Nordqvist</t>
  </si>
  <si>
    <t>Fredrik Skanse</t>
  </si>
  <si>
    <t>Vitsandsvägen 78</t>
  </si>
  <si>
    <t>685 34</t>
  </si>
  <si>
    <t>delvis regl till 1:13</t>
  </si>
  <si>
    <t>Marianne Rasset</t>
  </si>
  <si>
    <t>Norrköping</t>
  </si>
  <si>
    <t>Anna Greta Norström dbo</t>
  </si>
  <si>
    <t>Mari Rongedal m.fl</t>
  </si>
  <si>
    <t>Bo Nilsson m.fl</t>
  </si>
  <si>
    <t>Sigrid Andersson dbo</t>
  </si>
  <si>
    <t>Allan</t>
  </si>
  <si>
    <t>Ramsdal</t>
  </si>
  <si>
    <t>Amnerud 33</t>
  </si>
  <si>
    <t>Ann-Britt Amundsson</t>
  </si>
  <si>
    <t>Tallvägen 12</t>
  </si>
  <si>
    <t>683 60</t>
  </si>
  <si>
    <t>Els-Marie Andersen</t>
  </si>
  <si>
    <t>Mossängsvägen 1B</t>
  </si>
  <si>
    <t>684 32</t>
  </si>
  <si>
    <t>Munkfors</t>
  </si>
  <si>
    <t>Kätterud 318</t>
  </si>
  <si>
    <t>655 91</t>
  </si>
  <si>
    <t>Axel Nykvist</t>
  </si>
  <si>
    <t>delvi regl till 1:13&amp;1:141(,72+,76+,62)</t>
  </si>
  <si>
    <t>fördeln</t>
  </si>
  <si>
    <t>40/60</t>
  </si>
  <si>
    <t>Maria&amp;Christer Tillberg</t>
  </si>
  <si>
    <t>90/10</t>
  </si>
  <si>
    <t xml:space="preserve">Anna&amp;Dag Nyström </t>
  </si>
  <si>
    <t>50/50</t>
  </si>
  <si>
    <t>Anna&amp;Dag Nyström</t>
  </si>
  <si>
    <t>Malin Fors</t>
  </si>
  <si>
    <t>Antal &lt;= 2ha</t>
  </si>
  <si>
    <t>från D-B 1:56 2020</t>
  </si>
  <si>
    <t>Amnerud 1:95, 1:29, 1:49 del av 1:105 tilllagt 2020</t>
  </si>
  <si>
    <t>del till 1:141 2020</t>
  </si>
  <si>
    <t xml:space="preserve">  </t>
  </si>
  <si>
    <t>0,42</t>
  </si>
  <si>
    <t>0,27</t>
  </si>
  <si>
    <t>0,58</t>
  </si>
  <si>
    <t>0,47</t>
  </si>
  <si>
    <t>0,73</t>
  </si>
  <si>
    <t>0,34</t>
  </si>
  <si>
    <t>0,35</t>
  </si>
  <si>
    <t>0,36</t>
  </si>
  <si>
    <t>0,14</t>
  </si>
  <si>
    <t>0,3</t>
  </si>
  <si>
    <t>0,16</t>
  </si>
  <si>
    <t>1,26</t>
  </si>
  <si>
    <t>0,46</t>
  </si>
  <si>
    <t>0,18</t>
  </si>
  <si>
    <t>0,23</t>
  </si>
  <si>
    <t>Hof Rosenberg 1</t>
  </si>
  <si>
    <t>Kai Uwe Bickel</t>
  </si>
  <si>
    <t xml:space="preserve"> Tyskland</t>
  </si>
  <si>
    <t>D-61276</t>
  </si>
  <si>
    <t>Malin Susanna Andersen</t>
  </si>
  <si>
    <t>Kjell Olov Ingemar Persson</t>
  </si>
  <si>
    <t>Sankt Eriksgatan 92</t>
  </si>
  <si>
    <t>113 62</t>
  </si>
  <si>
    <t>ny ägare</t>
  </si>
  <si>
    <t>2001, 2,18 från 1:155</t>
  </si>
  <si>
    <t>3:35</t>
  </si>
  <si>
    <t>2021 11,5 till DB 1:153</t>
  </si>
  <si>
    <t>2021 23,06 till 1:156 och 2,18till 1:39</t>
  </si>
  <si>
    <t xml:space="preserve"> 2021 23,06+1:155 &amp;1,91 till 1:144</t>
  </si>
  <si>
    <t>2021 87,7 till DB 1:153</t>
  </si>
  <si>
    <t>2021 20,1 till DB 1:153</t>
  </si>
  <si>
    <t>1:24</t>
  </si>
  <si>
    <t>grysjön</t>
  </si>
  <si>
    <t>1:7 &amp; 1:17</t>
  </si>
  <si>
    <t xml:space="preserve">Klarastrandsvägen </t>
  </si>
  <si>
    <t>Barbro Eva Kristina Ängeflod</t>
  </si>
  <si>
    <t>Bäcktorpsvägen 31</t>
  </si>
  <si>
    <t>Saltsjö-Boo</t>
  </si>
  <si>
    <t>132 34</t>
  </si>
  <si>
    <t>mätt på kartan</t>
  </si>
  <si>
    <t>Tillberg arrende</t>
  </si>
  <si>
    <t>Norra Näs Gustavsberg 1</t>
  </si>
  <si>
    <t>665 93</t>
  </si>
  <si>
    <t>Hasselbacken 21</t>
  </si>
  <si>
    <t>194 38</t>
  </si>
  <si>
    <t>Upplands Väsby</t>
  </si>
  <si>
    <t>2021 från 3:28&amp;3:44</t>
  </si>
  <si>
    <t>3:64</t>
  </si>
  <si>
    <t>Karlsborg</t>
  </si>
  <si>
    <t>ny</t>
  </si>
  <si>
    <t>60/40</t>
  </si>
  <si>
    <t>köp 2023</t>
  </si>
  <si>
    <t>Johnny Johnsson</t>
  </si>
  <si>
    <t>3:67</t>
  </si>
  <si>
    <t>Bårhultsvägen 21</t>
  </si>
  <si>
    <t>438:91</t>
  </si>
  <si>
    <t>Ola Nyberg dbo</t>
  </si>
  <si>
    <t>c/o Per Nyberg, Lillängsvägen 28</t>
  </si>
  <si>
    <t>Karin Markusson dbo</t>
  </si>
  <si>
    <t>Vestervej 47</t>
  </si>
  <si>
    <t>DK 3600</t>
  </si>
  <si>
    <t>Frederikssund</t>
  </si>
  <si>
    <t>2024 62,31ha från D-B 1:60</t>
  </si>
  <si>
    <t>Skinnerud 1:44 borträknat, 1,24 ha, 2023, 2024 87,1 från D-B 1:60</t>
  </si>
  <si>
    <t>ny ägare 2025</t>
  </si>
  <si>
    <t>Paw Ventrup</t>
  </si>
  <si>
    <t>Per Olof Persson dbo</t>
  </si>
  <si>
    <t>Jens Fredrik Gustafsson</t>
  </si>
  <si>
    <t>Sara Liden</t>
  </si>
  <si>
    <t>Norra Gustavsbergsvägen 12</t>
  </si>
  <si>
    <t>Thailand</t>
  </si>
  <si>
    <t>ny ägare på gång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</si>
</sst>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color rgb="FF00B050"/>
      <name val="Arial"/>
      <family val="2"/>
    </font>
    <font>
      <sz val="6"/>
      <color rgb="FF00B050"/>
      <name val="Arial"/>
      <family val="2"/>
    </font>
    <font>
      <sz val="8"/>
      <color rgb="FF00B050"/>
      <name val="Arial"/>
      <family val="2"/>
    </font>
    <font>
      <sz val="10"/>
      <color rgb="FF00B05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9" fontId="2" fillId="0" borderId="0" xfId="0" applyNumberFormat="1" applyFont="1"/>
    <xf numFmtId="0" fontId="2" fillId="0" borderId="0" xfId="0" applyFont="1"/>
    <xf numFmtId="49" fontId="3" fillId="0" borderId="0" xfId="0" applyNumberFormat="1" applyFont="1"/>
    <xf numFmtId="0" fontId="3" fillId="0" borderId="0" xfId="0" applyFont="1"/>
    <xf numFmtId="49" fontId="3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2" fontId="3" fillId="0" borderId="0" xfId="0" applyNumberFormat="1" applyFont="1" applyAlignment="1">
      <alignment horizontal="right"/>
    </xf>
    <xf numFmtId="2" fontId="3" fillId="0" borderId="0" xfId="0" applyNumberFormat="1" applyFont="1"/>
    <xf numFmtId="2" fontId="2" fillId="0" borderId="0" xfId="0" applyNumberFormat="1" applyFont="1"/>
    <xf numFmtId="2" fontId="3" fillId="0" borderId="0" xfId="0" applyNumberFormat="1" applyFont="1" applyAlignment="1">
      <alignment horizontal="left"/>
    </xf>
    <xf numFmtId="1" fontId="3" fillId="0" borderId="0" xfId="0" applyNumberFormat="1" applyFont="1"/>
    <xf numFmtId="0" fontId="3" fillId="0" borderId="0" xfId="0" applyFont="1" applyAlignment="1">
      <alignment horizontal="right"/>
    </xf>
    <xf numFmtId="1" fontId="3" fillId="0" borderId="0" xfId="0" applyNumberFormat="1" applyFont="1" applyAlignment="1">
      <alignment horizontal="right"/>
    </xf>
    <xf numFmtId="0" fontId="4" fillId="0" borderId="0" xfId="0" applyFont="1"/>
    <xf numFmtId="1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left"/>
    </xf>
    <xf numFmtId="0" fontId="6" fillId="0" borderId="0" xfId="0" applyFont="1"/>
    <xf numFmtId="0" fontId="7" fillId="0" borderId="0" xfId="0" applyFont="1"/>
    <xf numFmtId="2" fontId="5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2" fontId="5" fillId="0" borderId="0" xfId="0" applyNumberFormat="1" applyFont="1"/>
    <xf numFmtId="49" fontId="3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right"/>
    </xf>
    <xf numFmtId="9" fontId="3" fillId="0" borderId="0" xfId="0" applyNumberFormat="1" applyFont="1" applyAlignment="1">
      <alignment horizontal="right"/>
    </xf>
    <xf numFmtId="9" fontId="3" fillId="0" borderId="0" xfId="0" applyNumberFormat="1" applyFont="1"/>
    <xf numFmtId="1" fontId="3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9" fontId="1" fillId="0" borderId="0" xfId="0" applyNumberFormat="1" applyFont="1"/>
    <xf numFmtId="49" fontId="6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1" fillId="0" borderId="0" xfId="0" applyFont="1"/>
    <xf numFmtId="49" fontId="9" fillId="0" borderId="0" xfId="0" applyNumberFormat="1" applyFont="1"/>
    <xf numFmtId="49" fontId="10" fillId="0" borderId="0" xfId="0" applyNumberFormat="1" applyFont="1"/>
    <xf numFmtId="0" fontId="10" fillId="0" borderId="0" xfId="0" applyFont="1"/>
    <xf numFmtId="2" fontId="10" fillId="0" borderId="0" xfId="0" applyNumberFormat="1" applyFont="1" applyAlignment="1">
      <alignment horizontal="left"/>
    </xf>
    <xf numFmtId="2" fontId="10" fillId="0" borderId="0" xfId="0" applyNumberFormat="1" applyFont="1"/>
    <xf numFmtId="2" fontId="10" fillId="0" borderId="0" xfId="0" applyNumberFormat="1" applyFont="1" applyAlignment="1">
      <alignment horizontal="right"/>
    </xf>
    <xf numFmtId="1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11" fillId="0" borderId="0" xfId="0" applyFont="1"/>
    <xf numFmtId="49" fontId="5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8" fillId="0" borderId="0" xfId="0" applyNumberFormat="1" applyFont="1"/>
    <xf numFmtId="49" fontId="8" fillId="0" borderId="0" xfId="0" applyNumberFormat="1" applyFont="1" applyAlignment="1">
      <alignment horizontal="right"/>
    </xf>
    <xf numFmtId="0" fontId="12" fillId="0" borderId="0" xfId="0" applyFont="1"/>
    <xf numFmtId="0" fontId="13" fillId="0" borderId="0" xfId="0" applyFont="1"/>
    <xf numFmtId="49" fontId="14" fillId="0" borderId="0" xfId="0" applyNumberFormat="1" applyFont="1"/>
    <xf numFmtId="0" fontId="15" fillId="0" borderId="0" xfId="0" applyFont="1"/>
    <xf numFmtId="0" fontId="3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46"/>
  <sheetViews>
    <sheetView showZeros="0" tabSelected="1" zoomScale="110" zoomScaleNormal="110" zoomScaleSheetLayoutView="90" zoomScalePageLayoutView="75" workbookViewId="0">
      <pane ySplit="612" topLeftCell="A45" activePane="bottomLeft"/>
      <selection sqref="A1:XFD1048576"/>
      <selection pane="bottomLeft" activeCell="E137" sqref="E137"/>
    </sheetView>
  </sheetViews>
  <sheetFormatPr defaultColWidth="9.21875" defaultRowHeight="15" x14ac:dyDescent="0.25"/>
  <cols>
    <col min="1" max="1" width="14" style="4" bestFit="1" customWidth="1"/>
    <col min="2" max="2" width="7.21875" style="3" bestFit="1" customWidth="1"/>
    <col min="3" max="3" width="24.77734375" style="4" customWidth="1"/>
    <col min="4" max="4" width="7.44140625" style="28" customWidth="1"/>
    <col min="5" max="5" width="22.5546875" style="4" customWidth="1"/>
    <col min="6" max="6" width="8.77734375" style="4" customWidth="1"/>
    <col min="7" max="7" width="16.77734375" style="4" bestFit="1" customWidth="1"/>
    <col min="8" max="8" width="7.77734375" style="10" bestFit="1" customWidth="1"/>
    <col min="9" max="9" width="8.21875" style="8" hidden="1" customWidth="1"/>
    <col min="10" max="10" width="8.33203125" style="8" hidden="1" customWidth="1"/>
    <col min="11" max="12" width="8.33203125" style="8" customWidth="1"/>
    <col min="13" max="13" width="9.77734375" style="8" bestFit="1" customWidth="1"/>
    <col min="14" max="14" width="14.77734375" style="7" hidden="1" customWidth="1"/>
    <col min="15" max="15" width="9.77734375" style="13" hidden="1" customWidth="1"/>
    <col min="16" max="16" width="5.5546875" style="12" bestFit="1" customWidth="1"/>
    <col min="17" max="17" width="5.77734375" style="12" customWidth="1"/>
    <col min="18" max="18" width="4.21875" style="17" customWidth="1"/>
    <col min="19" max="21" width="9.21875" style="4"/>
    <col min="22" max="22" width="16" style="4" customWidth="1"/>
    <col min="23" max="23" width="15.21875" style="4" bestFit="1" customWidth="1"/>
    <col min="24" max="16384" width="9.21875" style="4"/>
  </cols>
  <sheetData>
    <row r="1" spans="1:18" s="2" customFormat="1" ht="15.6" x14ac:dyDescent="0.3">
      <c r="A1" s="1" t="s">
        <v>0</v>
      </c>
      <c r="B1" s="1" t="s">
        <v>177</v>
      </c>
      <c r="C1" s="1" t="s">
        <v>310</v>
      </c>
      <c r="D1" s="47" t="s">
        <v>466</v>
      </c>
      <c r="E1" s="1" t="s">
        <v>1</v>
      </c>
      <c r="F1" s="1" t="s">
        <v>175</v>
      </c>
      <c r="G1" s="1" t="s">
        <v>176</v>
      </c>
      <c r="H1" s="16" t="s">
        <v>311</v>
      </c>
      <c r="I1" s="21" t="s">
        <v>312</v>
      </c>
      <c r="J1" s="9" t="s">
        <v>199</v>
      </c>
      <c r="K1" s="9" t="s">
        <v>528</v>
      </c>
      <c r="L1" s="9"/>
      <c r="M1" s="20" t="s">
        <v>314</v>
      </c>
      <c r="N1" s="19" t="s">
        <v>313</v>
      </c>
      <c r="O1" s="20" t="s">
        <v>314</v>
      </c>
      <c r="P1" s="6" t="s">
        <v>315</v>
      </c>
      <c r="Q1" s="6"/>
      <c r="R1" s="18"/>
    </row>
    <row r="2" spans="1:18" ht="12" customHeight="1" x14ac:dyDescent="0.25">
      <c r="N2" s="7">
        <f>I2-J2</f>
        <v>0</v>
      </c>
    </row>
    <row r="3" spans="1:18" x14ac:dyDescent="0.25">
      <c r="A3" s="3" t="s">
        <v>2</v>
      </c>
      <c r="B3" s="3" t="s">
        <v>8</v>
      </c>
      <c r="C3" s="30" t="s">
        <v>468</v>
      </c>
      <c r="D3" s="48" t="s">
        <v>467</v>
      </c>
      <c r="E3" s="3" t="s">
        <v>234</v>
      </c>
      <c r="F3" s="3" t="s">
        <v>7</v>
      </c>
      <c r="G3" s="3" t="s">
        <v>149</v>
      </c>
      <c r="I3" s="8">
        <v>18.39</v>
      </c>
      <c r="K3" s="8">
        <f>18.01+0.79</f>
        <v>18.8</v>
      </c>
      <c r="L3" s="8">
        <f>SUM(K3)</f>
        <v>18.8</v>
      </c>
      <c r="M3" s="13">
        <f>ROUNDUP(L3,0)</f>
        <v>19</v>
      </c>
      <c r="N3" s="7">
        <f>I3-J3+I197-J197</f>
        <v>86.1</v>
      </c>
      <c r="O3" s="13">
        <f>ROUNDUP(N3,0)</f>
        <v>87</v>
      </c>
      <c r="P3" s="12">
        <v>120</v>
      </c>
    </row>
    <row r="4" spans="1:18" ht="4.05" customHeight="1" x14ac:dyDescent="0.25">
      <c r="A4" s="3"/>
      <c r="C4" s="3"/>
      <c r="D4" s="49"/>
      <c r="E4" s="3"/>
      <c r="F4" s="3"/>
      <c r="G4" s="3"/>
    </row>
    <row r="5" spans="1:18" ht="19.05" customHeight="1" x14ac:dyDescent="0.25">
      <c r="A5" s="3" t="s">
        <v>2</v>
      </c>
      <c r="B5" s="3" t="s">
        <v>54</v>
      </c>
      <c r="C5" s="30" t="s">
        <v>468</v>
      </c>
      <c r="D5" s="48" t="s">
        <v>471</v>
      </c>
      <c r="E5" s="3" t="s">
        <v>234</v>
      </c>
      <c r="F5" s="3" t="s">
        <v>7</v>
      </c>
      <c r="G5" s="3" t="s">
        <v>149</v>
      </c>
      <c r="I5" s="8">
        <v>96.11</v>
      </c>
      <c r="J5" s="8">
        <v>43</v>
      </c>
      <c r="K5" s="8">
        <f>14.43+1.14+34.36</f>
        <v>49.93</v>
      </c>
      <c r="L5" s="8">
        <f>SUM(K5:K13)</f>
        <v>855.98</v>
      </c>
      <c r="M5" s="13">
        <f>ROUNDUP(L5,0)</f>
        <v>856</v>
      </c>
      <c r="N5" s="7">
        <f>SUM(I5:I13)-J5-J12</f>
        <v>814.47</v>
      </c>
      <c r="O5" s="13">
        <f>ROUNDUP(N5,0)</f>
        <v>815</v>
      </c>
      <c r="P5" s="12">
        <v>120</v>
      </c>
      <c r="R5" s="4" t="s">
        <v>465</v>
      </c>
    </row>
    <row r="6" spans="1:18" x14ac:dyDescent="0.25">
      <c r="A6" s="3" t="s">
        <v>2</v>
      </c>
      <c r="B6" s="3" t="s">
        <v>35</v>
      </c>
      <c r="C6" s="3"/>
      <c r="D6" s="49"/>
      <c r="E6" s="3"/>
      <c r="F6" s="3"/>
      <c r="G6" s="3"/>
      <c r="I6" s="8">
        <v>11.53</v>
      </c>
      <c r="K6" s="8">
        <v>10.76</v>
      </c>
    </row>
    <row r="7" spans="1:18" x14ac:dyDescent="0.25">
      <c r="A7" s="3" t="s">
        <v>438</v>
      </c>
      <c r="B7" s="3" t="s">
        <v>70</v>
      </c>
      <c r="C7" s="30"/>
      <c r="D7" s="48"/>
      <c r="E7" s="3"/>
      <c r="F7" s="3"/>
      <c r="G7" s="3"/>
      <c r="I7" s="8">
        <f>337.9+2.18</f>
        <v>340.08</v>
      </c>
      <c r="K7" s="8">
        <f>75.7+0.89+27.22+2.07+0.59+75.18+1.11+4.09+26.13+0.08+39.18+1.83+9.85+17.43+7.58+18.6+13.48</f>
        <v>321.0100000000001</v>
      </c>
      <c r="O7" s="13">
        <f>ROUNDUP(N7,0)</f>
        <v>0</v>
      </c>
      <c r="R7" s="4" t="s">
        <v>503</v>
      </c>
    </row>
    <row r="8" spans="1:18" x14ac:dyDescent="0.25">
      <c r="A8" s="3" t="s">
        <v>438</v>
      </c>
      <c r="B8" s="3" t="s">
        <v>33</v>
      </c>
      <c r="C8" s="3"/>
      <c r="D8" s="49"/>
      <c r="E8" s="3"/>
      <c r="F8" s="3"/>
      <c r="G8" s="3"/>
      <c r="I8" s="8">
        <v>27.04</v>
      </c>
      <c r="K8" s="8">
        <f>0.49+17.71+8.87</f>
        <v>27.07</v>
      </c>
      <c r="M8" s="13">
        <f>ROUNDUP(L8,0)</f>
        <v>0</v>
      </c>
      <c r="N8" s="7">
        <f>I8-J8</f>
        <v>27.04</v>
      </c>
      <c r="O8" s="13">
        <f>ROUNDUP(N8,0)</f>
        <v>28</v>
      </c>
      <c r="R8" s="4" t="s">
        <v>530</v>
      </c>
    </row>
    <row r="9" spans="1:18" x14ac:dyDescent="0.25">
      <c r="A9" s="3" t="s">
        <v>164</v>
      </c>
      <c r="B9" s="3" t="s">
        <v>526</v>
      </c>
      <c r="C9" s="3"/>
      <c r="D9" s="49"/>
      <c r="E9" s="3"/>
      <c r="F9" s="3"/>
      <c r="G9" s="3"/>
      <c r="I9" s="8">
        <f>4.35+7.6</f>
        <v>11.95</v>
      </c>
      <c r="K9" s="8">
        <f>3.37+7.65</f>
        <v>11.02</v>
      </c>
      <c r="R9" s="4" t="s">
        <v>525</v>
      </c>
    </row>
    <row r="10" spans="1:18" x14ac:dyDescent="0.25">
      <c r="A10" s="4" t="s">
        <v>401</v>
      </c>
      <c r="B10" s="3" t="s">
        <v>67</v>
      </c>
      <c r="C10" s="3"/>
      <c r="D10" s="49"/>
      <c r="E10" s="3"/>
      <c r="F10" s="3"/>
      <c r="G10" s="3"/>
      <c r="I10" s="8">
        <v>51.63</v>
      </c>
      <c r="K10" s="8">
        <f>37.04+0.81+0.74+3.4+0.05+7.67</f>
        <v>49.71</v>
      </c>
    </row>
    <row r="11" spans="1:18" x14ac:dyDescent="0.25">
      <c r="A11" s="4" t="s">
        <v>401</v>
      </c>
      <c r="B11" s="3" t="s">
        <v>510</v>
      </c>
      <c r="C11" s="3"/>
      <c r="D11" s="49"/>
      <c r="E11" s="3"/>
      <c r="F11" s="3"/>
      <c r="G11" s="3"/>
      <c r="I11" s="8">
        <v>61.54</v>
      </c>
      <c r="K11" s="8">
        <f>33.01+1.99+22.78+4.04</f>
        <v>61.82</v>
      </c>
    </row>
    <row r="12" spans="1:18" s="40" customFormat="1" x14ac:dyDescent="0.25">
      <c r="A12" s="40" t="s">
        <v>402</v>
      </c>
      <c r="B12" s="39" t="s">
        <v>26</v>
      </c>
      <c r="C12" s="39"/>
      <c r="D12" s="50"/>
      <c r="E12" s="39"/>
      <c r="F12" s="39"/>
      <c r="G12" s="39"/>
      <c r="H12" s="41"/>
      <c r="I12" s="42">
        <v>246.98</v>
      </c>
      <c r="J12" s="42">
        <v>117.4</v>
      </c>
      <c r="K12" s="42">
        <f>10.96+4.03+7.58+8.51+99.84+62.31</f>
        <v>193.23000000000002</v>
      </c>
      <c r="L12" s="42"/>
      <c r="M12" s="42"/>
      <c r="N12" s="43"/>
      <c r="O12" s="44"/>
      <c r="P12" s="45"/>
      <c r="Q12" s="45"/>
      <c r="R12" s="46" t="s">
        <v>541</v>
      </c>
    </row>
    <row r="13" spans="1:18" x14ac:dyDescent="0.25">
      <c r="A13" s="4" t="s">
        <v>108</v>
      </c>
      <c r="B13" s="3" t="s">
        <v>141</v>
      </c>
      <c r="C13" s="3"/>
      <c r="D13" s="49"/>
      <c r="E13" s="3"/>
      <c r="F13" s="3"/>
      <c r="G13" s="3"/>
      <c r="I13" s="8">
        <v>128.01</v>
      </c>
      <c r="K13" s="8">
        <f>4.11+80.18+21.41+16.35+7.94+1.44</f>
        <v>131.43</v>
      </c>
    </row>
    <row r="14" spans="1:18" x14ac:dyDescent="0.25">
      <c r="C14" s="3"/>
      <c r="D14" s="49"/>
      <c r="E14" s="3"/>
      <c r="F14" s="3"/>
      <c r="G14" s="3"/>
    </row>
    <row r="15" spans="1:18" x14ac:dyDescent="0.25">
      <c r="A15" s="3" t="s">
        <v>2</v>
      </c>
      <c r="B15" s="3" t="s">
        <v>9</v>
      </c>
      <c r="C15" s="3" t="s">
        <v>10</v>
      </c>
      <c r="D15" s="49"/>
      <c r="E15" s="3" t="s">
        <v>187</v>
      </c>
      <c r="F15" s="3" t="s">
        <v>11</v>
      </c>
      <c r="G15" s="3" t="s">
        <v>12</v>
      </c>
      <c r="I15" s="8" t="s">
        <v>181</v>
      </c>
      <c r="J15" s="8" t="s">
        <v>41</v>
      </c>
      <c r="K15" s="8">
        <f>0.89+12.28+0.78+7.96+0.02</f>
        <v>21.93</v>
      </c>
      <c r="L15" s="8">
        <f>SUM(K15)</f>
        <v>21.93</v>
      </c>
      <c r="M15" s="13">
        <f>ROUNDUP(L15,0)</f>
        <v>22</v>
      </c>
      <c r="N15" s="7">
        <f>I15-J15</f>
        <v>21.07</v>
      </c>
      <c r="O15" s="13">
        <f>ROUNDUP(N15,0)</f>
        <v>22</v>
      </c>
      <c r="P15" s="12">
        <v>120</v>
      </c>
    </row>
    <row r="16" spans="1:18" x14ac:dyDescent="0.25">
      <c r="N16" s="7">
        <f t="shared" ref="N16:N68" si="0">I16-J16</f>
        <v>0</v>
      </c>
    </row>
    <row r="17" spans="1:21" x14ac:dyDescent="0.25">
      <c r="A17" s="3" t="s">
        <v>2</v>
      </c>
      <c r="B17" s="3" t="s">
        <v>13</v>
      </c>
      <c r="C17" s="3" t="s">
        <v>153</v>
      </c>
      <c r="D17" s="49"/>
      <c r="E17" s="3" t="s">
        <v>188</v>
      </c>
      <c r="F17" s="3" t="s">
        <v>7</v>
      </c>
      <c r="G17" s="3" t="s">
        <v>149</v>
      </c>
      <c r="I17" s="8">
        <v>430.58</v>
      </c>
      <c r="J17" s="8">
        <v>231</v>
      </c>
      <c r="K17" s="8">
        <f>3.05+1.71+8.63+75.44+108.51+58.25+15.16+0.75+0.05</f>
        <v>271.55</v>
      </c>
      <c r="L17" s="8">
        <f>SUM(K17:K18)</f>
        <v>286.15000000000003</v>
      </c>
      <c r="M17" s="13">
        <f>ROUNDUP(L17,0)</f>
        <v>287</v>
      </c>
      <c r="N17" s="7">
        <f>I17-J17+I18-J18+40.76+0.72+0.76+17.03-0.14</f>
        <v>273.37</v>
      </c>
      <c r="O17" s="13">
        <f>ROUNDUP(N17,0)</f>
        <v>274</v>
      </c>
      <c r="P17" s="12">
        <v>120</v>
      </c>
      <c r="R17" s="17" t="s">
        <v>476</v>
      </c>
    </row>
    <row r="18" spans="1:21" x14ac:dyDescent="0.25">
      <c r="A18" s="3" t="s">
        <v>433</v>
      </c>
      <c r="B18" s="3" t="s">
        <v>116</v>
      </c>
      <c r="C18" s="3"/>
      <c r="D18" s="49"/>
      <c r="E18" s="3"/>
      <c r="F18" s="3"/>
      <c r="G18" s="3"/>
      <c r="I18" s="8">
        <v>16.37</v>
      </c>
      <c r="J18" s="8">
        <v>1.71</v>
      </c>
      <c r="K18" s="8">
        <v>14.6</v>
      </c>
      <c r="O18" s="13">
        <f>ROUNDUP(N18,0)</f>
        <v>0</v>
      </c>
    </row>
    <row r="19" spans="1:21" x14ac:dyDescent="0.25">
      <c r="C19" s="3"/>
      <c r="D19" s="49"/>
      <c r="E19" s="3"/>
      <c r="F19" s="3"/>
      <c r="G19" s="3"/>
    </row>
    <row r="20" spans="1:21" x14ac:dyDescent="0.25">
      <c r="A20" s="3" t="s">
        <v>164</v>
      </c>
      <c r="B20" s="3" t="s">
        <v>383</v>
      </c>
      <c r="C20" s="3" t="s">
        <v>472</v>
      </c>
      <c r="D20" s="48" t="s">
        <v>471</v>
      </c>
      <c r="E20" s="3" t="s">
        <v>384</v>
      </c>
      <c r="F20" s="3" t="s">
        <v>7</v>
      </c>
      <c r="G20" s="3" t="s">
        <v>149</v>
      </c>
      <c r="I20" s="8">
        <v>122.04</v>
      </c>
      <c r="J20" s="8">
        <f>I20-N20</f>
        <v>115.24000000000001</v>
      </c>
      <c r="K20" s="8">
        <v>6.76</v>
      </c>
      <c r="L20" s="8">
        <f>SUM(K20)</f>
        <v>6.76</v>
      </c>
      <c r="M20" s="13">
        <f>ROUNDUP(L20,0)</f>
        <v>7</v>
      </c>
      <c r="N20" s="7">
        <v>6.8</v>
      </c>
      <c r="O20" s="13">
        <f>ROUNDUP(N20,0)</f>
        <v>7</v>
      </c>
      <c r="P20" s="12">
        <v>110</v>
      </c>
    </row>
    <row r="21" spans="1:21" x14ac:dyDescent="0.25">
      <c r="N21" s="7">
        <f t="shared" si="0"/>
        <v>0</v>
      </c>
    </row>
    <row r="22" spans="1:21" x14ac:dyDescent="0.25">
      <c r="A22" s="3" t="s">
        <v>2</v>
      </c>
      <c r="B22" s="3" t="s">
        <v>28</v>
      </c>
      <c r="C22" s="3" t="s">
        <v>470</v>
      </c>
      <c r="D22" s="48" t="s">
        <v>469</v>
      </c>
      <c r="E22" s="3" t="s">
        <v>188</v>
      </c>
      <c r="F22" s="3" t="s">
        <v>7</v>
      </c>
      <c r="G22" s="3" t="s">
        <v>149</v>
      </c>
      <c r="I22" s="8">
        <v>12.43</v>
      </c>
      <c r="K22" s="8">
        <v>12.65</v>
      </c>
      <c r="L22" s="8">
        <f>SUM(K22)</f>
        <v>12.65</v>
      </c>
      <c r="M22" s="13">
        <f>ROUNDUP(L22,0)</f>
        <v>13</v>
      </c>
      <c r="N22" s="7">
        <f>I22-J22</f>
        <v>12.43</v>
      </c>
      <c r="O22" s="13">
        <f>ROUNDUP(N22,0)</f>
        <v>13</v>
      </c>
      <c r="P22" s="12">
        <v>110</v>
      </c>
    </row>
    <row r="24" spans="1:21" x14ac:dyDescent="0.25">
      <c r="A24" s="3" t="s">
        <v>2</v>
      </c>
      <c r="B24" s="3" t="s">
        <v>14</v>
      </c>
      <c r="C24" s="3" t="s">
        <v>157</v>
      </c>
      <c r="D24" s="49"/>
      <c r="E24" s="4" t="s">
        <v>202</v>
      </c>
      <c r="F24" s="4" t="s">
        <v>203</v>
      </c>
      <c r="G24" s="4" t="s">
        <v>204</v>
      </c>
      <c r="I24" s="8" t="s">
        <v>200</v>
      </c>
      <c r="J24" s="8" t="s">
        <v>96</v>
      </c>
      <c r="K24" s="8">
        <f>1.46+38.4+0.36+1.25+25.57</f>
        <v>67.039999999999992</v>
      </c>
      <c r="L24" s="8">
        <f>SUM(K24)</f>
        <v>67.039999999999992</v>
      </c>
      <c r="M24" s="13">
        <f>ROUNDUP(L24,0)</f>
        <v>68</v>
      </c>
      <c r="N24" s="7">
        <f>I24-J24-0.13</f>
        <v>65.19</v>
      </c>
      <c r="O24" s="13">
        <f>ROUNDUP(N24,0)</f>
        <v>66</v>
      </c>
      <c r="P24" s="12">
        <v>110</v>
      </c>
      <c r="R24" s="17" t="s">
        <v>477</v>
      </c>
    </row>
    <row r="25" spans="1:21" x14ac:dyDescent="0.25">
      <c r="C25" s="3" t="s">
        <v>154</v>
      </c>
      <c r="D25" s="49"/>
      <c r="E25" s="3" t="s">
        <v>159</v>
      </c>
      <c r="F25" s="3" t="s">
        <v>201</v>
      </c>
      <c r="G25" s="3" t="s">
        <v>150</v>
      </c>
      <c r="N25" s="7">
        <f t="shared" si="0"/>
        <v>0</v>
      </c>
    </row>
    <row r="26" spans="1:21" x14ac:dyDescent="0.25">
      <c r="C26" s="3" t="s">
        <v>155</v>
      </c>
      <c r="D26" s="49"/>
      <c r="E26" s="4" t="s">
        <v>205</v>
      </c>
      <c r="F26" s="4" t="s">
        <v>206</v>
      </c>
      <c r="G26" s="4" t="s">
        <v>150</v>
      </c>
      <c r="N26" s="7">
        <f t="shared" si="0"/>
        <v>0</v>
      </c>
    </row>
    <row r="27" spans="1:21" x14ac:dyDescent="0.25">
      <c r="C27" s="3" t="s">
        <v>156</v>
      </c>
      <c r="D27" s="49"/>
      <c r="E27" s="3" t="s">
        <v>159</v>
      </c>
      <c r="F27" s="3" t="s">
        <v>201</v>
      </c>
      <c r="G27" s="3" t="s">
        <v>150</v>
      </c>
      <c r="N27" s="7">
        <f t="shared" si="0"/>
        <v>0</v>
      </c>
    </row>
    <row r="28" spans="1:21" x14ac:dyDescent="0.25">
      <c r="N28" s="7">
        <f t="shared" si="0"/>
        <v>0</v>
      </c>
    </row>
    <row r="29" spans="1:21" x14ac:dyDescent="0.25">
      <c r="A29" s="3" t="s">
        <v>2</v>
      </c>
      <c r="B29" s="3" t="s">
        <v>15</v>
      </c>
      <c r="C29" s="3" t="s">
        <v>16</v>
      </c>
      <c r="D29" s="49"/>
      <c r="E29" s="3" t="s">
        <v>189</v>
      </c>
      <c r="F29" s="3" t="s">
        <v>7</v>
      </c>
      <c r="G29" s="3" t="s">
        <v>149</v>
      </c>
      <c r="I29" s="8" t="s">
        <v>207</v>
      </c>
      <c r="J29" s="8" t="s">
        <v>135</v>
      </c>
      <c r="K29" s="8">
        <f>128.32+5.8+0.04</f>
        <v>134.16</v>
      </c>
      <c r="L29" s="8">
        <f>SUM(K29:K30)</f>
        <v>146.34</v>
      </c>
      <c r="M29" s="13">
        <f>ROUNDUP(L29,0)</f>
        <v>147</v>
      </c>
      <c r="N29" s="7">
        <f>I29-J29+I30-J30</f>
        <v>143.12</v>
      </c>
      <c r="O29" s="13">
        <f>ROUNDUP(N29,0)</f>
        <v>144</v>
      </c>
      <c r="P29" s="12">
        <v>120</v>
      </c>
    </row>
    <row r="30" spans="1:21" x14ac:dyDescent="0.25">
      <c r="A30" s="3" t="s">
        <v>164</v>
      </c>
      <c r="B30" s="3" t="s">
        <v>127</v>
      </c>
      <c r="C30" s="3"/>
      <c r="D30" s="49"/>
      <c r="E30" s="3"/>
      <c r="F30" s="3"/>
      <c r="G30" s="3"/>
      <c r="I30" s="8">
        <v>245.38</v>
      </c>
      <c r="J30" s="8">
        <v>232</v>
      </c>
      <c r="K30" s="8">
        <f>6.72+3.12+2.34</f>
        <v>12.18</v>
      </c>
      <c r="O30" s="13">
        <f>ROUNDUP(N30,0)</f>
        <v>0</v>
      </c>
      <c r="P30" s="12">
        <v>110</v>
      </c>
    </row>
    <row r="31" spans="1:21" x14ac:dyDescent="0.25">
      <c r="N31" s="7">
        <f t="shared" si="0"/>
        <v>0</v>
      </c>
    </row>
    <row r="32" spans="1:21" x14ac:dyDescent="0.25">
      <c r="A32" s="3" t="s">
        <v>2</v>
      </c>
      <c r="B32" s="3" t="s">
        <v>17</v>
      </c>
      <c r="C32" s="3" t="s">
        <v>446</v>
      </c>
      <c r="D32" s="49"/>
      <c r="E32" s="3"/>
      <c r="F32" s="3"/>
      <c r="G32" s="3" t="s">
        <v>447</v>
      </c>
      <c r="I32" s="8">
        <f>45.2-40.76</f>
        <v>4.4400000000000048</v>
      </c>
      <c r="K32" s="8">
        <f>0.8+3.64</f>
        <v>4.4400000000000004</v>
      </c>
      <c r="L32" s="8">
        <f>SUM(K32)</f>
        <v>4.4400000000000004</v>
      </c>
      <c r="M32" s="13">
        <f>ROUNDUP(L32,0)</f>
        <v>5</v>
      </c>
      <c r="N32" s="7">
        <f t="shared" si="0"/>
        <v>4.4400000000000048</v>
      </c>
      <c r="O32" s="13">
        <f>ROUNDUP(N32,0)</f>
        <v>5</v>
      </c>
      <c r="P32" s="12">
        <v>120</v>
      </c>
      <c r="R32" s="4" t="s">
        <v>445</v>
      </c>
      <c r="U32" s="4">
        <f>45.2-4.44</f>
        <v>40.760000000000005</v>
      </c>
    </row>
    <row r="34" spans="1:18" x14ac:dyDescent="0.25">
      <c r="A34" s="4" t="s">
        <v>184</v>
      </c>
      <c r="B34" s="3" t="s">
        <v>22</v>
      </c>
      <c r="C34" s="3" t="s">
        <v>148</v>
      </c>
      <c r="D34" s="49"/>
      <c r="E34" s="3" t="s">
        <v>185</v>
      </c>
      <c r="F34" s="3" t="s">
        <v>7</v>
      </c>
      <c r="G34" s="3" t="s">
        <v>149</v>
      </c>
      <c r="I34" s="8" t="s">
        <v>208</v>
      </c>
      <c r="J34" s="8" t="s">
        <v>88</v>
      </c>
      <c r="K34" s="8">
        <f>13.1</f>
        <v>13.1</v>
      </c>
      <c r="L34" s="8">
        <f>SUM(K34)</f>
        <v>13.1</v>
      </c>
      <c r="M34" s="13">
        <f>ROUNDUP(L34,0)</f>
        <v>14</v>
      </c>
      <c r="N34" s="7">
        <f t="shared" si="0"/>
        <v>12.719999999999999</v>
      </c>
      <c r="O34" s="13">
        <f>ROUNDUP(N34,0)</f>
        <v>13</v>
      </c>
      <c r="P34" s="12">
        <v>120</v>
      </c>
      <c r="R34" s="4" t="s">
        <v>317</v>
      </c>
    </row>
    <row r="35" spans="1:18" x14ac:dyDescent="0.25">
      <c r="C35" s="38" t="s">
        <v>448</v>
      </c>
      <c r="D35" s="51"/>
      <c r="E35" s="3" t="s">
        <v>192</v>
      </c>
      <c r="F35" s="3" t="s">
        <v>7</v>
      </c>
      <c r="G35" s="3" t="s">
        <v>149</v>
      </c>
      <c r="N35" s="7">
        <f t="shared" si="0"/>
        <v>0</v>
      </c>
    </row>
    <row r="36" spans="1:18" x14ac:dyDescent="0.25">
      <c r="C36" s="3" t="s">
        <v>6</v>
      </c>
      <c r="D36" s="49"/>
      <c r="E36" s="3" t="s">
        <v>193</v>
      </c>
      <c r="F36" s="3" t="s">
        <v>7</v>
      </c>
      <c r="G36" s="3" t="s">
        <v>149</v>
      </c>
      <c r="N36" s="7">
        <f t="shared" si="0"/>
        <v>0</v>
      </c>
    </row>
    <row r="37" spans="1:18" ht="13.95" customHeight="1" x14ac:dyDescent="0.25"/>
    <row r="38" spans="1:18" ht="13.95" customHeight="1" x14ac:dyDescent="0.25">
      <c r="A38" s="4" t="s">
        <v>184</v>
      </c>
      <c r="B38" s="3" t="s">
        <v>26</v>
      </c>
      <c r="C38" s="4" t="s">
        <v>473</v>
      </c>
      <c r="E38" s="4" t="s">
        <v>454</v>
      </c>
      <c r="F38" s="4" t="s">
        <v>7</v>
      </c>
      <c r="G38" s="4" t="s">
        <v>149</v>
      </c>
      <c r="I38" s="8">
        <v>2</v>
      </c>
      <c r="K38" s="8">
        <v>2.2400000000000002</v>
      </c>
      <c r="L38" s="8">
        <f>SUM(K38)</f>
        <v>2.2400000000000002</v>
      </c>
      <c r="M38" s="13">
        <f>ROUNDUP(L38,0)</f>
        <v>3</v>
      </c>
      <c r="N38" s="7">
        <f>I38-J38</f>
        <v>2</v>
      </c>
      <c r="O38" s="13">
        <f>ROUNDUP(N38,0)</f>
        <v>2</v>
      </c>
      <c r="P38" s="12">
        <v>220</v>
      </c>
    </row>
    <row r="39" spans="1:18" ht="13.95" customHeight="1" x14ac:dyDescent="0.25"/>
    <row r="40" spans="1:18" x14ac:dyDescent="0.25">
      <c r="A40" s="3" t="s">
        <v>2</v>
      </c>
      <c r="B40" s="3" t="s">
        <v>33</v>
      </c>
      <c r="C40" s="3" t="s">
        <v>34</v>
      </c>
      <c r="D40" s="49"/>
      <c r="E40" s="3" t="s">
        <v>216</v>
      </c>
      <c r="F40" s="3" t="s">
        <v>7</v>
      </c>
      <c r="G40" s="3" t="s">
        <v>149</v>
      </c>
      <c r="I40" s="8">
        <v>2.0299999999999998</v>
      </c>
      <c r="K40" s="8">
        <v>2.04</v>
      </c>
      <c r="L40" s="8">
        <f>SUM(K40)</f>
        <v>2.04</v>
      </c>
      <c r="M40" s="13">
        <f>ROUNDUP(L40,0)</f>
        <v>3</v>
      </c>
      <c r="N40" s="7">
        <f t="shared" si="0"/>
        <v>2.0299999999999998</v>
      </c>
      <c r="O40" s="13">
        <f>ROUNDUP(N40,0)</f>
        <v>3</v>
      </c>
      <c r="P40" s="12">
        <v>120</v>
      </c>
    </row>
    <row r="41" spans="1:18" x14ac:dyDescent="0.25">
      <c r="N41" s="7">
        <f t="shared" si="0"/>
        <v>0</v>
      </c>
    </row>
    <row r="42" spans="1:18" x14ac:dyDescent="0.25">
      <c r="A42" s="4" t="s">
        <v>2</v>
      </c>
      <c r="B42" s="3" t="s">
        <v>36</v>
      </c>
      <c r="C42" s="3" t="s">
        <v>145</v>
      </c>
      <c r="D42" s="49"/>
      <c r="E42" s="3" t="s">
        <v>302</v>
      </c>
      <c r="F42" s="3" t="s">
        <v>303</v>
      </c>
      <c r="G42" s="3" t="s">
        <v>146</v>
      </c>
      <c r="I42" s="8">
        <v>8.74</v>
      </c>
      <c r="K42" s="8">
        <v>5.2</v>
      </c>
      <c r="L42" s="8">
        <f>SUM(K42)</f>
        <v>5.2</v>
      </c>
      <c r="M42" s="13">
        <f>ROUNDUP(L42,0)</f>
        <v>6</v>
      </c>
      <c r="N42" s="7">
        <f t="shared" si="0"/>
        <v>8.74</v>
      </c>
      <c r="O42" s="13">
        <f>ROUNDUP(N42,0)</f>
        <v>9</v>
      </c>
      <c r="P42" s="12">
        <v>120</v>
      </c>
    </row>
    <row r="43" spans="1:18" x14ac:dyDescent="0.25">
      <c r="C43" s="3" t="s">
        <v>435</v>
      </c>
      <c r="D43" s="49"/>
      <c r="E43" s="3"/>
      <c r="F43" s="3"/>
      <c r="G43" s="3"/>
    </row>
    <row r="44" spans="1:18" x14ac:dyDescent="0.25">
      <c r="C44" s="3" t="s">
        <v>436</v>
      </c>
      <c r="D44" s="49"/>
      <c r="E44" s="3"/>
      <c r="F44" s="3"/>
      <c r="G44" s="3"/>
    </row>
    <row r="45" spans="1:18" x14ac:dyDescent="0.25">
      <c r="N45" s="7">
        <f t="shared" si="0"/>
        <v>0</v>
      </c>
    </row>
    <row r="46" spans="1:18" x14ac:dyDescent="0.25">
      <c r="A46" s="3" t="s">
        <v>2</v>
      </c>
      <c r="B46" s="3" t="s">
        <v>37</v>
      </c>
      <c r="C46" s="3" t="s">
        <v>217</v>
      </c>
      <c r="D46" s="49"/>
      <c r="E46" s="3" t="s">
        <v>218</v>
      </c>
      <c r="F46" s="3" t="s">
        <v>219</v>
      </c>
      <c r="G46" s="3" t="s">
        <v>38</v>
      </c>
      <c r="I46" s="8">
        <v>5.1100000000000003</v>
      </c>
      <c r="K46" s="8">
        <v>4.87</v>
      </c>
      <c r="L46" s="8">
        <f>SUM(K46)</f>
        <v>4.87</v>
      </c>
      <c r="M46" s="13">
        <f>ROUNDUP(L46,0)</f>
        <v>5</v>
      </c>
      <c r="N46" s="7">
        <f t="shared" si="0"/>
        <v>5.1100000000000003</v>
      </c>
      <c r="O46" s="13">
        <f>ROUNDUP(N46,0)</f>
        <v>6</v>
      </c>
      <c r="P46" s="12">
        <v>110</v>
      </c>
    </row>
    <row r="47" spans="1:18" x14ac:dyDescent="0.25">
      <c r="C47" s="4" t="s">
        <v>323</v>
      </c>
      <c r="E47" s="4" t="s">
        <v>220</v>
      </c>
      <c r="F47" s="3" t="s">
        <v>219</v>
      </c>
      <c r="G47" s="3" t="s">
        <v>38</v>
      </c>
      <c r="N47" s="7">
        <f t="shared" si="0"/>
        <v>0</v>
      </c>
    </row>
    <row r="48" spans="1:18" x14ac:dyDescent="0.25">
      <c r="N48" s="7">
        <f t="shared" si="0"/>
        <v>0</v>
      </c>
    </row>
    <row r="49" spans="1:19" x14ac:dyDescent="0.25">
      <c r="A49" s="3" t="s">
        <v>2</v>
      </c>
      <c r="B49" s="3" t="s">
        <v>39</v>
      </c>
      <c r="C49" s="3" t="s">
        <v>40</v>
      </c>
      <c r="D49" s="49"/>
      <c r="E49" s="4" t="s">
        <v>221</v>
      </c>
      <c r="F49" s="4" t="s">
        <v>222</v>
      </c>
      <c r="G49" s="4" t="s">
        <v>12</v>
      </c>
      <c r="I49" s="8">
        <v>5.86</v>
      </c>
      <c r="K49" s="8">
        <v>4.6399999999999997</v>
      </c>
      <c r="L49" s="8">
        <f>SUM(K49)</f>
        <v>4.6399999999999997</v>
      </c>
      <c r="M49" s="13">
        <f>ROUNDUP(L49,0)</f>
        <v>5</v>
      </c>
      <c r="N49" s="7">
        <f t="shared" si="0"/>
        <v>5.86</v>
      </c>
      <c r="O49" s="13">
        <f>ROUNDUP(N49,0)</f>
        <v>6</v>
      </c>
      <c r="P49" s="12">
        <v>110</v>
      </c>
    </row>
    <row r="50" spans="1:19" x14ac:dyDescent="0.25">
      <c r="N50" s="7">
        <f t="shared" si="0"/>
        <v>0</v>
      </c>
    </row>
    <row r="51" spans="1:19" x14ac:dyDescent="0.25">
      <c r="A51" s="3" t="s">
        <v>2</v>
      </c>
      <c r="B51" s="3" t="s">
        <v>45</v>
      </c>
      <c r="C51" s="3" t="s">
        <v>395</v>
      </c>
      <c r="D51" s="49"/>
      <c r="E51" s="3" t="s">
        <v>396</v>
      </c>
      <c r="F51" s="3" t="s">
        <v>397</v>
      </c>
      <c r="G51" s="3" t="s">
        <v>398</v>
      </c>
      <c r="I51" s="8">
        <v>4.0999999999999996</v>
      </c>
      <c r="K51" s="8">
        <v>4.5999999999999996</v>
      </c>
      <c r="L51" s="8">
        <f>SUM(K51)</f>
        <v>4.5999999999999996</v>
      </c>
      <c r="M51" s="13">
        <f>ROUNDUP(L51,0)</f>
        <v>5</v>
      </c>
      <c r="N51" s="7">
        <f t="shared" si="0"/>
        <v>4.0999999999999996</v>
      </c>
      <c r="O51" s="13">
        <f>ROUNDUP(N51,0)</f>
        <v>5</v>
      </c>
      <c r="P51" s="12">
        <v>120</v>
      </c>
    </row>
    <row r="52" spans="1:19" x14ac:dyDescent="0.25">
      <c r="N52" s="7">
        <f t="shared" si="0"/>
        <v>0</v>
      </c>
    </row>
    <row r="53" spans="1:19" x14ac:dyDescent="0.25">
      <c r="A53" s="3" t="s">
        <v>2</v>
      </c>
      <c r="B53" s="3" t="s">
        <v>44</v>
      </c>
      <c r="C53" s="3" t="s">
        <v>455</v>
      </c>
      <c r="D53" s="49"/>
      <c r="E53" s="3" t="s">
        <v>456</v>
      </c>
      <c r="F53" s="3" t="s">
        <v>457</v>
      </c>
      <c r="G53" s="3" t="s">
        <v>238</v>
      </c>
      <c r="H53" s="10">
        <v>0.38</v>
      </c>
      <c r="I53" s="8">
        <f>H53</f>
        <v>0.38</v>
      </c>
      <c r="K53" s="8">
        <v>0.31</v>
      </c>
      <c r="L53" s="8">
        <f>SUM(K53)</f>
        <v>0.31</v>
      </c>
      <c r="M53" s="13">
        <f>ROUNDUP(L53,0)</f>
        <v>1</v>
      </c>
      <c r="N53" s="7">
        <f>I53-J53</f>
        <v>0.38</v>
      </c>
      <c r="O53" s="13">
        <f>ROUNDUP(N53,0)</f>
        <v>1</v>
      </c>
      <c r="P53" s="12">
        <v>199</v>
      </c>
    </row>
    <row r="54" spans="1:19" x14ac:dyDescent="0.25">
      <c r="A54" s="3"/>
      <c r="C54" s="3"/>
      <c r="D54" s="49"/>
      <c r="E54" s="3"/>
      <c r="F54" s="3"/>
      <c r="G54" s="3"/>
    </row>
    <row r="55" spans="1:19" x14ac:dyDescent="0.25">
      <c r="A55" s="3" t="s">
        <v>2</v>
      </c>
      <c r="B55" s="3" t="s">
        <v>47</v>
      </c>
      <c r="C55" s="3" t="s">
        <v>48</v>
      </c>
      <c r="D55" s="49"/>
      <c r="E55" s="3" t="s">
        <v>174</v>
      </c>
      <c r="F55" s="3" t="s">
        <v>7</v>
      </c>
      <c r="G55" s="3" t="s">
        <v>149</v>
      </c>
      <c r="I55" s="8">
        <v>102.18</v>
      </c>
      <c r="J55" s="8">
        <v>89</v>
      </c>
      <c r="K55" s="8">
        <f>0.15+15.15</f>
        <v>15.3</v>
      </c>
      <c r="L55" s="8">
        <f>SUM(K55)</f>
        <v>15.3</v>
      </c>
      <c r="M55" s="13">
        <f>ROUNDUP(L55,0)</f>
        <v>16</v>
      </c>
      <c r="N55" s="7">
        <f t="shared" ref="N55:N60" si="1">I55-J55</f>
        <v>13.180000000000007</v>
      </c>
      <c r="O55" s="13">
        <f>ROUNDUP(N55,0)</f>
        <v>14</v>
      </c>
      <c r="P55" s="12">
        <v>110</v>
      </c>
    </row>
    <row r="56" spans="1:19" x14ac:dyDescent="0.25">
      <c r="N56" s="7">
        <f t="shared" si="1"/>
        <v>0</v>
      </c>
    </row>
    <row r="57" spans="1:19" x14ac:dyDescent="0.25">
      <c r="N57" s="7">
        <f t="shared" si="1"/>
        <v>0</v>
      </c>
    </row>
    <row r="58" spans="1:19" x14ac:dyDescent="0.25">
      <c r="A58" s="3" t="s">
        <v>2</v>
      </c>
      <c r="B58" s="3" t="s">
        <v>53</v>
      </c>
      <c r="C58" s="3" t="s">
        <v>178</v>
      </c>
      <c r="D58" s="49"/>
      <c r="E58" s="3" t="s">
        <v>224</v>
      </c>
      <c r="F58" s="3" t="s">
        <v>7</v>
      </c>
      <c r="G58" s="3" t="s">
        <v>149</v>
      </c>
      <c r="I58" s="8">
        <v>2.59</v>
      </c>
      <c r="K58" s="8">
        <f>0.79+1.65+0.16</f>
        <v>2.6</v>
      </c>
      <c r="L58" s="8">
        <f>SUM(K58)</f>
        <v>2.6</v>
      </c>
      <c r="M58" s="13">
        <f>ROUNDUP(L58,0)</f>
        <v>3</v>
      </c>
      <c r="N58" s="7">
        <f t="shared" si="1"/>
        <v>2.59</v>
      </c>
      <c r="O58" s="13">
        <f>ROUNDUP(N58,0)</f>
        <v>3</v>
      </c>
      <c r="P58" s="12">
        <v>120</v>
      </c>
      <c r="S58" s="59" t="s">
        <v>550</v>
      </c>
    </row>
    <row r="59" spans="1:19" x14ac:dyDescent="0.25">
      <c r="N59" s="7">
        <f t="shared" si="1"/>
        <v>0</v>
      </c>
    </row>
    <row r="60" spans="1:19" x14ac:dyDescent="0.25">
      <c r="A60" s="3" t="s">
        <v>2</v>
      </c>
      <c r="B60" s="3" t="s">
        <v>223</v>
      </c>
      <c r="C60" s="4" t="s">
        <v>458</v>
      </c>
      <c r="E60" s="4" t="s">
        <v>459</v>
      </c>
      <c r="F60" s="4" t="s">
        <v>460</v>
      </c>
      <c r="G60" s="4" t="s">
        <v>461</v>
      </c>
      <c r="H60" s="10">
        <v>4.62</v>
      </c>
      <c r="I60" s="8">
        <f>H60</f>
        <v>4.62</v>
      </c>
      <c r="K60" s="8">
        <f>0.61+3.87+0.57</f>
        <v>5.0500000000000007</v>
      </c>
      <c r="L60" s="8">
        <f>SUM(K60)</f>
        <v>5.0500000000000007</v>
      </c>
      <c r="M60" s="13">
        <f>ROUNDUP(L60,0)</f>
        <v>6</v>
      </c>
      <c r="N60" s="7">
        <f t="shared" si="1"/>
        <v>4.62</v>
      </c>
      <c r="O60" s="13">
        <f>ROUNDUP(N60,0)</f>
        <v>5</v>
      </c>
      <c r="P60" s="12">
        <v>120</v>
      </c>
    </row>
    <row r="61" spans="1:19" x14ac:dyDescent="0.25">
      <c r="A61" s="3"/>
    </row>
    <row r="62" spans="1:19" x14ac:dyDescent="0.25">
      <c r="A62" s="3" t="s">
        <v>2</v>
      </c>
      <c r="B62" s="3" t="s">
        <v>57</v>
      </c>
      <c r="C62" s="4" t="s">
        <v>498</v>
      </c>
      <c r="E62" s="4" t="s">
        <v>462</v>
      </c>
      <c r="F62" s="4" t="s">
        <v>463</v>
      </c>
      <c r="G62" s="4" t="s">
        <v>12</v>
      </c>
      <c r="H62" s="10">
        <v>1.33</v>
      </c>
      <c r="I62" s="8">
        <f>H62</f>
        <v>1.33</v>
      </c>
      <c r="K62" s="8">
        <f>1.11+0.29</f>
        <v>1.4000000000000001</v>
      </c>
      <c r="L62" s="8">
        <f>SUM(K62)</f>
        <v>1.4000000000000001</v>
      </c>
      <c r="M62" s="13">
        <f>ROUNDUP(L62,0)</f>
        <v>2</v>
      </c>
      <c r="N62" s="7">
        <f>I62-J62</f>
        <v>1.33</v>
      </c>
      <c r="O62" s="13">
        <f>ROUNDUP(N62,0)</f>
        <v>2</v>
      </c>
      <c r="P62" s="12">
        <v>199</v>
      </c>
    </row>
    <row r="63" spans="1:19" x14ac:dyDescent="0.25">
      <c r="A63" s="3"/>
    </row>
    <row r="64" spans="1:19" x14ac:dyDescent="0.25">
      <c r="A64" s="4" t="s">
        <v>2</v>
      </c>
      <c r="B64" s="3" t="s">
        <v>105</v>
      </c>
      <c r="C64" s="3" t="s">
        <v>390</v>
      </c>
      <c r="D64" s="49"/>
      <c r="E64" s="3" t="s">
        <v>186</v>
      </c>
      <c r="F64" s="3" t="s">
        <v>7</v>
      </c>
      <c r="G64" s="3" t="s">
        <v>149</v>
      </c>
      <c r="I64" s="8">
        <v>2.5</v>
      </c>
      <c r="K64" s="8">
        <v>2.64</v>
      </c>
      <c r="L64" s="8">
        <f>SUM(K64)</f>
        <v>2.64</v>
      </c>
      <c r="M64" s="13">
        <f>ROUNDUP(L64,0)</f>
        <v>3</v>
      </c>
      <c r="N64" s="7">
        <f t="shared" si="0"/>
        <v>2.5</v>
      </c>
      <c r="O64" s="13">
        <f>ROUNDUP(N64,0)</f>
        <v>3</v>
      </c>
      <c r="P64" s="12">
        <v>110</v>
      </c>
    </row>
    <row r="65" spans="1:23" ht="30" customHeight="1" x14ac:dyDescent="0.25"/>
    <row r="66" spans="1:23" x14ac:dyDescent="0.25">
      <c r="A66" s="3" t="s">
        <v>2</v>
      </c>
      <c r="B66" s="3" t="s">
        <v>55</v>
      </c>
      <c r="C66" s="3" t="s">
        <v>138</v>
      </c>
      <c r="D66" s="49"/>
      <c r="E66" s="3" t="s">
        <v>225</v>
      </c>
      <c r="F66" s="3" t="s">
        <v>7</v>
      </c>
      <c r="G66" s="3" t="s">
        <v>149</v>
      </c>
      <c r="I66" s="8">
        <v>7.24</v>
      </c>
      <c r="K66" s="8">
        <f>0.87+6.26</f>
        <v>7.13</v>
      </c>
      <c r="L66" s="8">
        <f>SUM(K66:K67)</f>
        <v>37.369999999999997</v>
      </c>
      <c r="M66" s="13">
        <f>ROUNDUP(L66,0)</f>
        <v>38</v>
      </c>
      <c r="N66" s="7">
        <f>SUM(I66:I67)</f>
        <v>37.549999999999997</v>
      </c>
      <c r="O66" s="13">
        <f>ROUNDUP(N66,0)</f>
        <v>38</v>
      </c>
      <c r="P66" s="12">
        <v>120</v>
      </c>
    </row>
    <row r="67" spans="1:23" x14ac:dyDescent="0.25">
      <c r="A67" s="3" t="s">
        <v>167</v>
      </c>
      <c r="B67" s="3" t="s">
        <v>9</v>
      </c>
      <c r="C67" s="3"/>
      <c r="D67" s="49"/>
      <c r="E67" s="3"/>
      <c r="F67" s="3"/>
      <c r="G67" s="3"/>
      <c r="I67" s="8">
        <v>30.31</v>
      </c>
      <c r="K67" s="8">
        <f>23.93+4.61+0.34+1.36</f>
        <v>30.24</v>
      </c>
    </row>
    <row r="68" spans="1:23" x14ac:dyDescent="0.25">
      <c r="N68" s="7">
        <f t="shared" si="0"/>
        <v>0</v>
      </c>
    </row>
    <row r="69" spans="1:23" x14ac:dyDescent="0.25">
      <c r="A69" s="3" t="s">
        <v>2</v>
      </c>
      <c r="B69" s="3" t="s">
        <v>56</v>
      </c>
      <c r="C69" s="3" t="s">
        <v>391</v>
      </c>
      <c r="D69" s="49"/>
      <c r="E69" s="3" t="s">
        <v>392</v>
      </c>
      <c r="F69" s="3" t="s">
        <v>394</v>
      </c>
      <c r="G69" s="3" t="s">
        <v>393</v>
      </c>
      <c r="I69" s="8">
        <v>7.84</v>
      </c>
      <c r="K69" s="8">
        <f>1.06+6.62</f>
        <v>7.68</v>
      </c>
      <c r="L69" s="8">
        <f>SUM(K69)</f>
        <v>7.68</v>
      </c>
      <c r="M69" s="13">
        <f>ROUNDUP(L69,0)</f>
        <v>8</v>
      </c>
      <c r="N69" s="7">
        <f t="shared" ref="N69:N77" si="2">I69-J69</f>
        <v>7.84</v>
      </c>
      <c r="O69" s="13">
        <f>ROUNDUP(N69,0)</f>
        <v>8</v>
      </c>
      <c r="P69" s="12">
        <v>120</v>
      </c>
    </row>
    <row r="70" spans="1:23" ht="15.6" x14ac:dyDescent="0.3">
      <c r="B70" s="1"/>
      <c r="C70" s="1"/>
      <c r="D70" s="52"/>
      <c r="E70" s="1"/>
      <c r="F70" s="2"/>
      <c r="G70" s="2"/>
      <c r="H70" s="16"/>
      <c r="I70" s="9"/>
      <c r="J70" s="9"/>
      <c r="K70" s="9"/>
      <c r="L70" s="9"/>
      <c r="M70" s="9"/>
      <c r="N70" s="7">
        <f>I70-J70</f>
        <v>0</v>
      </c>
      <c r="P70" s="6"/>
      <c r="Q70" s="6"/>
      <c r="R70" s="37"/>
    </row>
    <row r="71" spans="1:23" s="40" customFormat="1" x14ac:dyDescent="0.25">
      <c r="A71" s="39" t="s">
        <v>2</v>
      </c>
      <c r="B71" s="39" t="s">
        <v>25</v>
      </c>
      <c r="C71" s="39" t="s">
        <v>84</v>
      </c>
      <c r="D71" s="50"/>
      <c r="E71" s="39" t="s">
        <v>195</v>
      </c>
      <c r="F71" s="39" t="s">
        <v>7</v>
      </c>
      <c r="G71" s="39" t="s">
        <v>149</v>
      </c>
      <c r="H71" s="41"/>
      <c r="I71" s="42">
        <v>1.35</v>
      </c>
      <c r="J71" s="42"/>
      <c r="K71" s="42">
        <f>0.29+1.07</f>
        <v>1.36</v>
      </c>
      <c r="L71" s="42">
        <f>SUM(K71)</f>
        <v>1.36</v>
      </c>
      <c r="M71" s="44">
        <f>ROUNDUP(L71,0)</f>
        <v>2</v>
      </c>
      <c r="N71" s="43">
        <f>I71-J71</f>
        <v>1.35</v>
      </c>
      <c r="O71" s="44">
        <f>ROUNDUP(N71,0)</f>
        <v>2</v>
      </c>
      <c r="P71" s="45">
        <v>110</v>
      </c>
      <c r="Q71" s="45"/>
      <c r="R71" s="57"/>
      <c r="S71" s="56" t="s">
        <v>543</v>
      </c>
    </row>
    <row r="72" spans="1:23" x14ac:dyDescent="0.25">
      <c r="A72" s="3"/>
      <c r="C72" s="3"/>
      <c r="D72" s="49"/>
      <c r="E72" s="3"/>
      <c r="F72" s="3"/>
      <c r="G72" s="3"/>
    </row>
    <row r="73" spans="1:23" x14ac:dyDescent="0.25">
      <c r="A73" s="3" t="s">
        <v>2</v>
      </c>
      <c r="B73" s="3" t="s">
        <v>432</v>
      </c>
      <c r="C73" s="3" t="s">
        <v>3</v>
      </c>
      <c r="D73" s="49"/>
      <c r="E73" s="3" t="s">
        <v>226</v>
      </c>
      <c r="F73" s="3" t="s">
        <v>7</v>
      </c>
      <c r="G73" s="3" t="s">
        <v>149</v>
      </c>
      <c r="I73" s="11">
        <v>14</v>
      </c>
      <c r="K73" s="8">
        <v>13.89</v>
      </c>
      <c r="L73" s="8">
        <f>SUM(K73)</f>
        <v>13.89</v>
      </c>
      <c r="M73" s="13">
        <f>ROUNDUP(L73,0)</f>
        <v>14</v>
      </c>
      <c r="N73" s="7">
        <f t="shared" si="2"/>
        <v>14</v>
      </c>
      <c r="O73" s="13">
        <f>ROUNDUP(N73,0)</f>
        <v>14</v>
      </c>
      <c r="P73" s="12">
        <v>120</v>
      </c>
    </row>
    <row r="74" spans="1:23" x14ac:dyDescent="0.25">
      <c r="C74" s="4" t="s">
        <v>23</v>
      </c>
      <c r="E74" s="3" t="s">
        <v>226</v>
      </c>
      <c r="F74" s="3" t="s">
        <v>7</v>
      </c>
      <c r="G74" s="3" t="s">
        <v>149</v>
      </c>
      <c r="N74" s="7">
        <f t="shared" si="2"/>
        <v>0</v>
      </c>
    </row>
    <row r="75" spans="1:23" x14ac:dyDescent="0.25">
      <c r="C75" s="3" t="s">
        <v>60</v>
      </c>
      <c r="D75" s="49"/>
      <c r="E75" s="3" t="s">
        <v>227</v>
      </c>
      <c r="F75" s="3" t="s">
        <v>7</v>
      </c>
      <c r="G75" s="3" t="s">
        <v>149</v>
      </c>
      <c r="N75" s="7">
        <f t="shared" si="2"/>
        <v>0</v>
      </c>
    </row>
    <row r="76" spans="1:23" x14ac:dyDescent="0.25">
      <c r="A76" s="3"/>
      <c r="C76" s="3" t="s">
        <v>61</v>
      </c>
      <c r="D76" s="49"/>
      <c r="E76" s="3" t="s">
        <v>227</v>
      </c>
      <c r="F76" s="3" t="s">
        <v>7</v>
      </c>
      <c r="G76" s="3" t="s">
        <v>149</v>
      </c>
      <c r="N76" s="7">
        <f t="shared" si="2"/>
        <v>0</v>
      </c>
      <c r="O76" s="13">
        <f>ROUNDUP(N76,0)</f>
        <v>0</v>
      </c>
    </row>
    <row r="77" spans="1:23" ht="15.6" x14ac:dyDescent="0.3">
      <c r="N77" s="7">
        <f t="shared" si="2"/>
        <v>0</v>
      </c>
      <c r="R77" s="3" t="s">
        <v>399</v>
      </c>
      <c r="S77" s="1"/>
      <c r="T77" s="1"/>
      <c r="V77" s="7">
        <f>SUM(N1:N81)</f>
        <v>1692.3399999999997</v>
      </c>
      <c r="W77" s="15">
        <f>SUM(O1:O81)</f>
        <v>1708</v>
      </c>
    </row>
    <row r="78" spans="1:23" ht="15.6" x14ac:dyDescent="0.3">
      <c r="A78" s="3" t="s">
        <v>2</v>
      </c>
      <c r="B78" s="3" t="s">
        <v>111</v>
      </c>
      <c r="C78" s="3" t="s">
        <v>448</v>
      </c>
      <c r="D78" s="51"/>
      <c r="E78" s="3" t="s">
        <v>192</v>
      </c>
      <c r="F78" s="3" t="s">
        <v>7</v>
      </c>
      <c r="G78" s="3" t="s">
        <v>149</v>
      </c>
      <c r="I78" s="8" t="s">
        <v>180</v>
      </c>
      <c r="J78" s="8">
        <v>23</v>
      </c>
      <c r="K78" s="8">
        <f>80.18+0.21+5.01+3.26+36.87</f>
        <v>125.53</v>
      </c>
      <c r="L78" s="8">
        <f>SUM(K78)</f>
        <v>125.53</v>
      </c>
      <c r="M78" s="13">
        <f>ROUNDUP(L78,0)</f>
        <v>126</v>
      </c>
      <c r="N78" s="7">
        <f>I78-J78</f>
        <v>112.41</v>
      </c>
      <c r="O78" s="13">
        <f>ROUNDUP(N78,0)</f>
        <v>113</v>
      </c>
      <c r="P78" s="12">
        <v>110</v>
      </c>
      <c r="R78" s="3"/>
      <c r="S78" s="3"/>
      <c r="T78" s="1"/>
      <c r="V78" s="7"/>
      <c r="W78" s="15">
        <f>COUNT(O2:O81)</f>
        <v>32</v>
      </c>
    </row>
    <row r="79" spans="1:23" ht="15.6" x14ac:dyDescent="0.3">
      <c r="C79" s="3" t="s">
        <v>6</v>
      </c>
      <c r="D79" s="49"/>
      <c r="E79" s="3" t="s">
        <v>193</v>
      </c>
      <c r="F79" s="3" t="s">
        <v>7</v>
      </c>
      <c r="G79" s="3" t="s">
        <v>149</v>
      </c>
      <c r="N79" s="7">
        <f>I79-J79</f>
        <v>0</v>
      </c>
      <c r="R79" s="3"/>
      <c r="S79" s="3"/>
      <c r="T79" s="1"/>
      <c r="V79" s="7"/>
      <c r="W79" s="15">
        <f>AVERAGE(O2:O81)</f>
        <v>53.375</v>
      </c>
    </row>
    <row r="80" spans="1:23" x14ac:dyDescent="0.25">
      <c r="C80" s="3" t="s">
        <v>148</v>
      </c>
      <c r="D80" s="49"/>
      <c r="E80" s="3" t="s">
        <v>185</v>
      </c>
      <c r="F80" s="3" t="s">
        <v>7</v>
      </c>
      <c r="G80" s="3" t="s">
        <v>149</v>
      </c>
      <c r="N80" s="7">
        <f>I80-J80</f>
        <v>0</v>
      </c>
    </row>
    <row r="81" spans="1:18" s="3" customFormat="1" x14ac:dyDescent="0.25">
      <c r="A81" s="4"/>
      <c r="C81" s="4"/>
      <c r="D81" s="28"/>
      <c r="E81" s="4"/>
      <c r="F81" s="4"/>
      <c r="G81" s="4"/>
      <c r="H81" s="10"/>
      <c r="I81" s="8"/>
      <c r="J81" s="8"/>
      <c r="K81" s="8"/>
      <c r="L81" s="8"/>
      <c r="M81" s="8"/>
      <c r="N81" s="7"/>
      <c r="O81" s="13"/>
      <c r="P81" s="12"/>
      <c r="Q81" s="12"/>
      <c r="R81" s="31"/>
    </row>
    <row r="82" spans="1:18" x14ac:dyDescent="0.25">
      <c r="A82" s="3" t="s">
        <v>2</v>
      </c>
      <c r="B82" s="3" t="s">
        <v>360</v>
      </c>
      <c r="C82" s="3" t="s">
        <v>544</v>
      </c>
      <c r="D82" s="49"/>
      <c r="E82" s="3" t="s">
        <v>538</v>
      </c>
      <c r="F82" s="3" t="s">
        <v>539</v>
      </c>
      <c r="G82" s="3" t="s">
        <v>540</v>
      </c>
      <c r="H82" s="5"/>
      <c r="I82" s="3" t="s">
        <v>387</v>
      </c>
      <c r="K82" s="8">
        <v>3.92</v>
      </c>
      <c r="L82" s="8">
        <f>SUM(K82)</f>
        <v>3.92</v>
      </c>
      <c r="M82" s="13">
        <f>ROUNDUP(L82,0)</f>
        <v>4</v>
      </c>
      <c r="N82" s="7">
        <f>I82-J82</f>
        <v>3.92</v>
      </c>
      <c r="O82" s="13">
        <f>ROUNDUP(N82,0)</f>
        <v>4</v>
      </c>
      <c r="P82" s="12">
        <v>113</v>
      </c>
    </row>
    <row r="84" spans="1:18" x14ac:dyDescent="0.25">
      <c r="A84" s="3" t="s">
        <v>438</v>
      </c>
      <c r="B84" s="3" t="s">
        <v>72</v>
      </c>
      <c r="C84" s="3" t="s">
        <v>160</v>
      </c>
      <c r="D84" s="49"/>
      <c r="E84" s="3" t="s">
        <v>161</v>
      </c>
      <c r="F84" s="3" t="s">
        <v>233</v>
      </c>
      <c r="G84" s="3" t="s">
        <v>71</v>
      </c>
      <c r="I84" s="8">
        <v>1.21</v>
      </c>
      <c r="K84" s="8">
        <v>1.36</v>
      </c>
      <c r="L84" s="8">
        <f>SUM(K84)</f>
        <v>1.36</v>
      </c>
      <c r="M84" s="13">
        <f>ROUNDUP(L84,0)</f>
        <v>2</v>
      </c>
      <c r="N84" s="7">
        <f>I84-J84</f>
        <v>1.21</v>
      </c>
      <c r="O84" s="13">
        <f>ROUNDUP(N84,0)</f>
        <v>2</v>
      </c>
      <c r="P84" s="12">
        <v>110</v>
      </c>
    </row>
    <row r="85" spans="1:18" x14ac:dyDescent="0.25">
      <c r="N85" s="7">
        <f>I85-J85</f>
        <v>0</v>
      </c>
    </row>
    <row r="86" spans="1:18" x14ac:dyDescent="0.25">
      <c r="N86" s="7">
        <f t="shared" ref="N86:N112" si="3">I86-J86</f>
        <v>0</v>
      </c>
      <c r="R86" s="4"/>
    </row>
    <row r="87" spans="1:18" x14ac:dyDescent="0.25">
      <c r="A87" s="3" t="s">
        <v>438</v>
      </c>
      <c r="B87" s="3" t="s">
        <v>318</v>
      </c>
      <c r="C87" s="3" t="s">
        <v>537</v>
      </c>
      <c r="D87" s="49"/>
      <c r="E87" s="3" t="s">
        <v>52</v>
      </c>
      <c r="F87" s="3" t="s">
        <v>7</v>
      </c>
      <c r="G87" s="3" t="s">
        <v>149</v>
      </c>
      <c r="H87" s="10">
        <v>1.65</v>
      </c>
      <c r="I87" s="8">
        <f>SUM(H87:H88)</f>
        <v>38.659999999999997</v>
      </c>
      <c r="K87" s="8">
        <v>1.84</v>
      </c>
      <c r="L87" s="8">
        <f>SUM(K88)</f>
        <v>37.729999999999997</v>
      </c>
      <c r="M87" s="13">
        <f>ROUNDUP(L87,0)</f>
        <v>38</v>
      </c>
      <c r="N87" s="7">
        <f>I87-J87</f>
        <v>38.659999999999997</v>
      </c>
      <c r="O87" s="13">
        <f>ROUNDUP(N87,0)</f>
        <v>39</v>
      </c>
      <c r="P87" s="12">
        <v>220</v>
      </c>
      <c r="R87" s="4"/>
    </row>
    <row r="88" spans="1:18" x14ac:dyDescent="0.25">
      <c r="B88" s="3" t="s">
        <v>76</v>
      </c>
      <c r="C88" s="3"/>
      <c r="D88" s="49"/>
      <c r="E88" s="3"/>
      <c r="F88" s="3"/>
      <c r="G88" s="3"/>
      <c r="H88" s="10">
        <v>37.01</v>
      </c>
      <c r="K88" s="8">
        <f>0.76+0.39+26.85+3.75+1.41+4.57</f>
        <v>37.729999999999997</v>
      </c>
      <c r="N88" s="7">
        <f>I88-J88</f>
        <v>0</v>
      </c>
      <c r="P88" s="12">
        <v>110</v>
      </c>
      <c r="R88" s="4"/>
    </row>
    <row r="89" spans="1:18" x14ac:dyDescent="0.25">
      <c r="H89" s="4"/>
      <c r="I89" s="4"/>
      <c r="N89" s="4"/>
      <c r="O89" s="11"/>
      <c r="P89" s="4"/>
      <c r="Q89" s="4"/>
    </row>
    <row r="90" spans="1:18" x14ac:dyDescent="0.25">
      <c r="A90" s="3" t="s">
        <v>438</v>
      </c>
      <c r="B90" s="3" t="s">
        <v>28</v>
      </c>
      <c r="C90" s="3" t="s">
        <v>77</v>
      </c>
      <c r="D90" s="49"/>
      <c r="E90" s="3" t="s">
        <v>244</v>
      </c>
      <c r="F90" s="3" t="s">
        <v>7</v>
      </c>
      <c r="G90" s="3" t="s">
        <v>149</v>
      </c>
      <c r="H90" s="10">
        <v>117.53</v>
      </c>
      <c r="I90" s="8">
        <f>SUM(H90:H94)</f>
        <v>600.22</v>
      </c>
      <c r="K90" s="8">
        <f>25.8+1.35+18.25+2.14+31.8+0.66+22.99+13.63</f>
        <v>116.61999999999999</v>
      </c>
      <c r="L90" s="8">
        <f>SUM(K90:K94)</f>
        <v>598.58000000000004</v>
      </c>
      <c r="M90" s="13">
        <f>ROUNDUP(L90,0)</f>
        <v>599</v>
      </c>
      <c r="N90" s="7">
        <f t="shared" si="3"/>
        <v>600.22</v>
      </c>
      <c r="O90" s="13">
        <f>ROUNDUP(N90,0)</f>
        <v>601</v>
      </c>
      <c r="P90" s="12">
        <v>120</v>
      </c>
    </row>
    <row r="91" spans="1:18" x14ac:dyDescent="0.25">
      <c r="B91" s="3" t="s">
        <v>95</v>
      </c>
      <c r="H91" s="8">
        <v>30</v>
      </c>
      <c r="K91" s="8">
        <f>28.53+1.08</f>
        <v>29.61</v>
      </c>
      <c r="N91" s="7">
        <f t="shared" si="3"/>
        <v>0</v>
      </c>
      <c r="P91" s="12">
        <v>110</v>
      </c>
    </row>
    <row r="92" spans="1:18" x14ac:dyDescent="0.25">
      <c r="B92" s="3" t="s">
        <v>50</v>
      </c>
      <c r="C92" s="3"/>
      <c r="D92" s="49"/>
      <c r="E92" s="3"/>
      <c r="F92" s="3"/>
      <c r="G92" s="3"/>
      <c r="H92" s="10">
        <v>245.88</v>
      </c>
      <c r="K92" s="8">
        <f>0.9+74+1.02+4.74+8.62+67.87+93.35</f>
        <v>250.5</v>
      </c>
    </row>
    <row r="93" spans="1:18" x14ac:dyDescent="0.25">
      <c r="B93" s="3" t="s">
        <v>97</v>
      </c>
      <c r="C93" s="3"/>
      <c r="D93" s="49"/>
      <c r="E93" s="3"/>
      <c r="F93" s="3"/>
      <c r="G93" s="3"/>
      <c r="H93" s="10">
        <v>104.86</v>
      </c>
      <c r="K93" s="8">
        <f>13.44+1.09+1.12+26.43+31.87+2.65+5.03+3.47+16.21</f>
        <v>101.31</v>
      </c>
      <c r="P93" s="12">
        <v>110</v>
      </c>
    </row>
    <row r="94" spans="1:18" x14ac:dyDescent="0.25">
      <c r="A94" s="4" t="s">
        <v>404</v>
      </c>
      <c r="B94" s="3" t="s">
        <v>22</v>
      </c>
      <c r="C94" s="3"/>
      <c r="D94" s="49"/>
      <c r="E94" s="3"/>
      <c r="F94" s="3"/>
      <c r="G94" s="3"/>
      <c r="H94" s="10">
        <v>101.95</v>
      </c>
      <c r="K94" s="8">
        <f>0.92+13.79+68.77+1.61+15.45</f>
        <v>100.53999999999999</v>
      </c>
    </row>
    <row r="95" spans="1:18" x14ac:dyDescent="0.25">
      <c r="A95" s="3"/>
      <c r="C95" s="3"/>
      <c r="D95" s="49"/>
      <c r="E95" s="3"/>
      <c r="F95" s="3"/>
      <c r="G95" s="3"/>
      <c r="H95" s="4"/>
      <c r="I95" s="10"/>
      <c r="M95" s="13"/>
    </row>
    <row r="96" spans="1:18" x14ac:dyDescent="0.25">
      <c r="A96" s="3" t="s">
        <v>438</v>
      </c>
      <c r="B96" s="3" t="s">
        <v>405</v>
      </c>
      <c r="C96" s="3" t="s">
        <v>547</v>
      </c>
      <c r="D96" s="48" t="s">
        <v>471</v>
      </c>
      <c r="E96" s="58" t="s">
        <v>548</v>
      </c>
      <c r="F96" s="3" t="s">
        <v>79</v>
      </c>
      <c r="G96" s="3" t="s">
        <v>12</v>
      </c>
      <c r="H96" s="4">
        <v>193.69</v>
      </c>
      <c r="I96" s="10"/>
      <c r="K96" s="8">
        <f>109.12+83.43</f>
        <v>192.55</v>
      </c>
      <c r="L96" s="8">
        <f>SUM(K96)</f>
        <v>192.55</v>
      </c>
      <c r="M96" s="13">
        <f>ROUNDUP(L96,0)</f>
        <v>193</v>
      </c>
      <c r="P96" s="12">
        <v>110</v>
      </c>
    </row>
    <row r="97" spans="1:16" x14ac:dyDescent="0.25">
      <c r="A97" s="3"/>
      <c r="C97" s="3" t="s">
        <v>546</v>
      </c>
      <c r="D97" s="49"/>
      <c r="E97" s="3"/>
      <c r="F97" s="3"/>
      <c r="G97" s="3" t="s">
        <v>549</v>
      </c>
      <c r="H97" s="4"/>
      <c r="I97" s="10"/>
      <c r="M97" s="13"/>
    </row>
    <row r="98" spans="1:16" x14ac:dyDescent="0.25">
      <c r="A98" s="3"/>
      <c r="C98" s="3"/>
      <c r="D98" s="49"/>
      <c r="E98" s="3"/>
      <c r="F98" s="3"/>
      <c r="G98" s="3"/>
      <c r="H98" s="4"/>
      <c r="I98" s="10"/>
    </row>
    <row r="99" spans="1:16" x14ac:dyDescent="0.25">
      <c r="A99" s="3" t="s">
        <v>438</v>
      </c>
      <c r="B99" s="3" t="s">
        <v>78</v>
      </c>
      <c r="C99" s="3" t="s">
        <v>151</v>
      </c>
      <c r="D99" s="49"/>
      <c r="E99" s="3" t="s">
        <v>236</v>
      </c>
      <c r="F99" s="3" t="s">
        <v>79</v>
      </c>
      <c r="G99" s="3" t="s">
        <v>12</v>
      </c>
      <c r="I99" s="8">
        <v>11.91</v>
      </c>
      <c r="K99" s="8">
        <f>3.48+6.35+0.47+1.38+0.69</f>
        <v>12.37</v>
      </c>
      <c r="L99" s="8">
        <f>SUM(K99)</f>
        <v>12.37</v>
      </c>
      <c r="M99" s="13">
        <f>ROUNDUP(L99,0)</f>
        <v>13</v>
      </c>
      <c r="N99" s="7">
        <f>I99-J99</f>
        <v>11.91</v>
      </c>
      <c r="O99" s="13">
        <f>ROUNDUP(N99,0)</f>
        <v>12</v>
      </c>
      <c r="P99" s="12">
        <v>110</v>
      </c>
    </row>
    <row r="100" spans="1:16" x14ac:dyDescent="0.25">
      <c r="A100" s="3"/>
      <c r="C100" s="3"/>
      <c r="D100" s="49"/>
      <c r="E100" s="3"/>
      <c r="F100" s="3"/>
      <c r="G100" s="3"/>
    </row>
    <row r="101" spans="1:16" x14ac:dyDescent="0.25">
      <c r="A101" s="3" t="s">
        <v>438</v>
      </c>
      <c r="B101" s="3" t="s">
        <v>85</v>
      </c>
      <c r="C101" s="3" t="s">
        <v>86</v>
      </c>
      <c r="D101" s="49"/>
      <c r="E101" s="3" t="s">
        <v>237</v>
      </c>
      <c r="F101" s="3" t="s">
        <v>87</v>
      </c>
      <c r="G101" s="3" t="s">
        <v>238</v>
      </c>
      <c r="I101" s="8">
        <v>143.63</v>
      </c>
      <c r="K101" s="8">
        <f>50.49+24.37+59.27+11.02</f>
        <v>145.15</v>
      </c>
      <c r="L101" s="8">
        <f>SUM(K101)</f>
        <v>145.15</v>
      </c>
      <c r="M101" s="13">
        <f>ROUNDUP(L101,0)</f>
        <v>146</v>
      </c>
      <c r="N101" s="7">
        <f t="shared" si="3"/>
        <v>143.63</v>
      </c>
      <c r="O101" s="13">
        <f>ROUNDUP(N101,0)</f>
        <v>144</v>
      </c>
      <c r="P101" s="12">
        <v>110</v>
      </c>
    </row>
    <row r="102" spans="1:16" x14ac:dyDescent="0.25">
      <c r="N102" s="7">
        <f t="shared" si="3"/>
        <v>0</v>
      </c>
    </row>
    <row r="103" spans="1:16" x14ac:dyDescent="0.25">
      <c r="A103" s="3" t="s">
        <v>438</v>
      </c>
      <c r="B103" s="3" t="s">
        <v>89</v>
      </c>
      <c r="C103" s="3" t="s">
        <v>374</v>
      </c>
      <c r="D103" s="49"/>
      <c r="E103" s="3" t="s">
        <v>172</v>
      </c>
      <c r="F103" s="3" t="s">
        <v>90</v>
      </c>
      <c r="G103" s="3" t="s">
        <v>240</v>
      </c>
      <c r="I103" s="8">
        <v>74.47</v>
      </c>
      <c r="K103" s="8">
        <f>1.08+16.34+44.99+3.5+11.36</f>
        <v>77.27</v>
      </c>
      <c r="L103" s="8">
        <f>SUM(K103)</f>
        <v>77.27</v>
      </c>
      <c r="M103" s="13">
        <f>ROUNDUP(L103,0)</f>
        <v>78</v>
      </c>
      <c r="N103" s="7">
        <f t="shared" si="3"/>
        <v>74.47</v>
      </c>
      <c r="O103" s="13">
        <f>ROUNDUP(N103,0)</f>
        <v>75</v>
      </c>
      <c r="P103" s="12">
        <v>120</v>
      </c>
    </row>
    <row r="104" spans="1:16" x14ac:dyDescent="0.25">
      <c r="C104" s="3"/>
      <c r="D104" s="49"/>
      <c r="E104" s="3"/>
      <c r="F104" s="3"/>
      <c r="G104" s="3"/>
      <c r="N104" s="7">
        <f t="shared" si="3"/>
        <v>0</v>
      </c>
    </row>
    <row r="105" spans="1:16" x14ac:dyDescent="0.25">
      <c r="A105" s="3" t="s">
        <v>438</v>
      </c>
      <c r="B105" s="3" t="s">
        <v>91</v>
      </c>
      <c r="C105" s="3" t="s">
        <v>101</v>
      </c>
      <c r="D105" s="49"/>
      <c r="E105" s="3" t="s">
        <v>250</v>
      </c>
      <c r="F105" s="3" t="s">
        <v>251</v>
      </c>
      <c r="G105" s="3" t="s">
        <v>102</v>
      </c>
      <c r="I105" s="8">
        <v>60.98</v>
      </c>
      <c r="K105" s="8">
        <f>0.8+5.75+26.97+0.19+6.59+7.4+13.19</f>
        <v>60.889999999999993</v>
      </c>
      <c r="L105" s="8">
        <f>SUM(K105:K107)</f>
        <v>338.31</v>
      </c>
      <c r="M105" s="13">
        <f>ROUNDUP(L105,0)</f>
        <v>339</v>
      </c>
      <c r="N105" s="7">
        <f>SUM(I105:I107)</f>
        <v>346.78999999999996</v>
      </c>
      <c r="O105" s="13">
        <f>ROUNDUP(N105,0)</f>
        <v>347</v>
      </c>
      <c r="P105" s="12">
        <v>110</v>
      </c>
    </row>
    <row r="106" spans="1:16" x14ac:dyDescent="0.25">
      <c r="A106" s="3" t="s">
        <v>438</v>
      </c>
      <c r="B106" s="3" t="s">
        <v>100</v>
      </c>
      <c r="C106" s="3"/>
      <c r="D106" s="49"/>
      <c r="E106" s="3"/>
      <c r="F106" s="3"/>
      <c r="G106" s="3"/>
      <c r="I106" s="8">
        <v>220.96</v>
      </c>
      <c r="K106" s="8">
        <f>1.1+0.41+10.73+73.36+3.97+21.92+1.03+4.28+75.3+20.43</f>
        <v>212.53</v>
      </c>
      <c r="O106" s="13">
        <f>ROUNDUP(N106,0)</f>
        <v>0</v>
      </c>
    </row>
    <row r="107" spans="1:16" x14ac:dyDescent="0.25">
      <c r="A107" s="3" t="s">
        <v>108</v>
      </c>
      <c r="B107" s="3" t="s">
        <v>17</v>
      </c>
      <c r="C107" s="3"/>
      <c r="D107" s="49"/>
      <c r="E107" s="3"/>
      <c r="F107" s="3"/>
      <c r="G107" s="3"/>
      <c r="I107" s="8">
        <v>64.849999999999994</v>
      </c>
      <c r="K107" s="8">
        <f>40.51+0.47+11.5+0.69+2.26+9.46</f>
        <v>64.889999999999986</v>
      </c>
    </row>
    <row r="108" spans="1:16" x14ac:dyDescent="0.25">
      <c r="N108" s="7">
        <f t="shared" si="3"/>
        <v>0</v>
      </c>
    </row>
    <row r="109" spans="1:16" x14ac:dyDescent="0.25">
      <c r="A109" s="3" t="s">
        <v>438</v>
      </c>
      <c r="B109" s="3" t="s">
        <v>103</v>
      </c>
      <c r="C109" s="3" t="s">
        <v>535</v>
      </c>
      <c r="D109" s="49"/>
      <c r="E109" s="3" t="s">
        <v>536</v>
      </c>
      <c r="F109" s="3" t="s">
        <v>7</v>
      </c>
      <c r="G109" s="3" t="s">
        <v>149</v>
      </c>
      <c r="I109" s="8">
        <v>10.82</v>
      </c>
      <c r="K109" s="8">
        <f>0.84+2.16+6.98+1.09</f>
        <v>11.07</v>
      </c>
      <c r="L109" s="8">
        <f>SUM(K109)</f>
        <v>11.07</v>
      </c>
      <c r="M109" s="13">
        <f>ROUNDUP(L109,0)</f>
        <v>12</v>
      </c>
      <c r="N109" s="7">
        <f t="shared" si="3"/>
        <v>10.82</v>
      </c>
      <c r="O109" s="13">
        <f>ROUNDUP(N109,0)</f>
        <v>11</v>
      </c>
      <c r="P109" s="12">
        <v>120</v>
      </c>
    </row>
    <row r="110" spans="1:16" x14ac:dyDescent="0.25">
      <c r="N110" s="7">
        <f t="shared" si="3"/>
        <v>0</v>
      </c>
    </row>
    <row r="111" spans="1:16" x14ac:dyDescent="0.25">
      <c r="A111" s="3" t="s">
        <v>438</v>
      </c>
      <c r="B111" s="3" t="s">
        <v>104</v>
      </c>
      <c r="C111" s="3" t="s">
        <v>406</v>
      </c>
      <c r="D111" s="49"/>
      <c r="E111" s="3" t="s">
        <v>253</v>
      </c>
      <c r="F111" s="3" t="s">
        <v>4</v>
      </c>
      <c r="G111" s="3" t="s">
        <v>147</v>
      </c>
      <c r="I111" s="8">
        <v>74.8</v>
      </c>
      <c r="K111" s="8">
        <f>1.58+43.82+18.22+3.45+9.68</f>
        <v>76.75</v>
      </c>
      <c r="L111" s="8">
        <f>SUM(K111)</f>
        <v>76.75</v>
      </c>
      <c r="M111" s="13">
        <f>ROUNDUP(L111,0)</f>
        <v>77</v>
      </c>
      <c r="N111" s="7">
        <f t="shared" si="3"/>
        <v>74.8</v>
      </c>
      <c r="O111" s="13">
        <f>ROUNDUP(N111,0)</f>
        <v>75</v>
      </c>
      <c r="P111" s="12">
        <v>120</v>
      </c>
    </row>
    <row r="112" spans="1:16" x14ac:dyDescent="0.25">
      <c r="A112" s="3"/>
      <c r="C112" s="3" t="s">
        <v>252</v>
      </c>
      <c r="D112" s="49"/>
      <c r="E112" s="3" t="s">
        <v>253</v>
      </c>
      <c r="F112" s="3" t="s">
        <v>4</v>
      </c>
      <c r="G112" s="3" t="s">
        <v>147</v>
      </c>
      <c r="N112" s="7">
        <f t="shared" si="3"/>
        <v>0</v>
      </c>
    </row>
    <row r="113" spans="1:16" x14ac:dyDescent="0.25">
      <c r="N113" s="7">
        <f t="shared" ref="N113:N164" si="4">I113-J113</f>
        <v>0</v>
      </c>
    </row>
    <row r="114" spans="1:16" x14ac:dyDescent="0.25">
      <c r="A114" s="3" t="s">
        <v>438</v>
      </c>
      <c r="B114" s="3" t="s">
        <v>106</v>
      </c>
      <c r="C114" s="3" t="s">
        <v>451</v>
      </c>
      <c r="D114" s="49"/>
      <c r="E114" s="3"/>
      <c r="F114" s="3"/>
      <c r="G114" s="3"/>
      <c r="I114" s="8">
        <v>37.9</v>
      </c>
      <c r="K114" s="8">
        <f>3.35+1.66+25.97+3.73+4.65</f>
        <v>39.359999999999992</v>
      </c>
      <c r="L114" s="8">
        <f>SUM(K114)</f>
        <v>39.359999999999992</v>
      </c>
      <c r="M114" s="13">
        <f>ROUNDUP(L114,0)</f>
        <v>40</v>
      </c>
      <c r="N114" s="7">
        <f t="shared" si="4"/>
        <v>37.9</v>
      </c>
      <c r="O114" s="13">
        <f>ROUNDUP(N114,0)</f>
        <v>38</v>
      </c>
      <c r="P114" s="12">
        <v>120</v>
      </c>
    </row>
    <row r="115" spans="1:16" x14ac:dyDescent="0.25">
      <c r="N115" s="7">
        <f t="shared" si="4"/>
        <v>0</v>
      </c>
    </row>
    <row r="116" spans="1:16" x14ac:dyDescent="0.25">
      <c r="A116" s="3" t="s">
        <v>438</v>
      </c>
      <c r="B116" s="3" t="s">
        <v>25</v>
      </c>
      <c r="C116" s="3" t="s">
        <v>308</v>
      </c>
      <c r="D116" s="49"/>
      <c r="E116" s="3" t="s">
        <v>271</v>
      </c>
      <c r="F116" s="3" t="s">
        <v>272</v>
      </c>
      <c r="G116" s="3" t="s">
        <v>273</v>
      </c>
      <c r="I116" s="8">
        <v>1.86</v>
      </c>
      <c r="K116" s="8">
        <v>2.36</v>
      </c>
      <c r="L116" s="8">
        <f>SUM(K116)</f>
        <v>2.36</v>
      </c>
      <c r="M116" s="13">
        <f>ROUNDUP(L116,0)</f>
        <v>3</v>
      </c>
      <c r="N116" s="7">
        <f t="shared" si="4"/>
        <v>1.86</v>
      </c>
      <c r="O116" s="13">
        <f>ROUNDUP(N116,0)</f>
        <v>2</v>
      </c>
      <c r="P116" s="12">
        <v>220</v>
      </c>
    </row>
    <row r="117" spans="1:16" x14ac:dyDescent="0.25">
      <c r="A117" s="3"/>
      <c r="C117" s="3"/>
      <c r="D117" s="49"/>
      <c r="E117" s="3"/>
      <c r="F117" s="3"/>
      <c r="G117" s="3"/>
    </row>
    <row r="118" spans="1:16" x14ac:dyDescent="0.25">
      <c r="A118" s="3" t="s">
        <v>438</v>
      </c>
      <c r="B118" s="3" t="s">
        <v>107</v>
      </c>
      <c r="C118" s="3" t="s">
        <v>403</v>
      </c>
      <c r="D118" s="49"/>
      <c r="E118" s="3" t="s">
        <v>254</v>
      </c>
      <c r="F118" s="3" t="s">
        <v>7</v>
      </c>
      <c r="G118" s="3" t="s">
        <v>149</v>
      </c>
      <c r="I118" s="8">
        <v>126.99</v>
      </c>
      <c r="K118" s="8">
        <f>1.15+34.8+1.05+0.99+15.27+17.31+59.16</f>
        <v>129.72999999999999</v>
      </c>
      <c r="L118" s="8">
        <f>SUM(K118)</f>
        <v>129.72999999999999</v>
      </c>
      <c r="M118" s="13">
        <f>ROUNDUP(L118,0)</f>
        <v>130</v>
      </c>
      <c r="N118" s="7">
        <f t="shared" si="4"/>
        <v>126.99</v>
      </c>
      <c r="O118" s="13">
        <f>ROUNDUP(N118,0)</f>
        <v>127</v>
      </c>
      <c r="P118" s="12">
        <v>120</v>
      </c>
    </row>
    <row r="119" spans="1:16" x14ac:dyDescent="0.25">
      <c r="A119" s="3"/>
      <c r="C119" s="4" t="s">
        <v>255</v>
      </c>
      <c r="E119" s="4" t="s">
        <v>256</v>
      </c>
      <c r="F119" s="4" t="s">
        <v>257</v>
      </c>
      <c r="G119" s="4" t="s">
        <v>134</v>
      </c>
      <c r="N119" s="7">
        <f t="shared" si="4"/>
        <v>0</v>
      </c>
    </row>
    <row r="120" spans="1:16" x14ac:dyDescent="0.25">
      <c r="A120" s="3"/>
      <c r="C120" s="4" t="s">
        <v>258</v>
      </c>
      <c r="E120" s="4" t="s">
        <v>259</v>
      </c>
      <c r="F120" s="4" t="s">
        <v>260</v>
      </c>
      <c r="G120" s="4" t="s">
        <v>261</v>
      </c>
      <c r="N120" s="7">
        <f t="shared" si="4"/>
        <v>0</v>
      </c>
    </row>
    <row r="121" spans="1:16" x14ac:dyDescent="0.25">
      <c r="A121" s="3"/>
      <c r="C121" s="4" t="s">
        <v>262</v>
      </c>
      <c r="E121" s="4" t="s">
        <v>263</v>
      </c>
      <c r="F121" s="4" t="s">
        <v>264</v>
      </c>
      <c r="G121" s="4" t="s">
        <v>265</v>
      </c>
      <c r="N121" s="7">
        <f t="shared" si="4"/>
        <v>0</v>
      </c>
    </row>
    <row r="122" spans="1:16" x14ac:dyDescent="0.25">
      <c r="A122" s="3"/>
      <c r="C122" s="4" t="s">
        <v>266</v>
      </c>
      <c r="E122" s="4" t="s">
        <v>267</v>
      </c>
      <c r="F122" s="4" t="s">
        <v>7</v>
      </c>
      <c r="G122" s="4" t="s">
        <v>149</v>
      </c>
      <c r="N122" s="7">
        <f t="shared" si="4"/>
        <v>0</v>
      </c>
    </row>
    <row r="123" spans="1:16" x14ac:dyDescent="0.25">
      <c r="A123" s="3"/>
      <c r="C123" s="4" t="s">
        <v>268</v>
      </c>
      <c r="E123" s="4" t="s">
        <v>269</v>
      </c>
      <c r="F123" s="4" t="s">
        <v>270</v>
      </c>
      <c r="G123" s="4" t="s">
        <v>166</v>
      </c>
      <c r="N123" s="7">
        <f t="shared" si="4"/>
        <v>0</v>
      </c>
    </row>
    <row r="124" spans="1:16" x14ac:dyDescent="0.25">
      <c r="N124" s="7">
        <f t="shared" si="4"/>
        <v>0</v>
      </c>
    </row>
    <row r="125" spans="1:16" x14ac:dyDescent="0.25">
      <c r="A125" s="3" t="s">
        <v>438</v>
      </c>
      <c r="B125" s="3" t="s">
        <v>109</v>
      </c>
      <c r="C125" s="3" t="s">
        <v>450</v>
      </c>
      <c r="D125" s="49"/>
      <c r="E125" s="3"/>
      <c r="F125" s="3"/>
      <c r="G125" s="3"/>
      <c r="I125" s="8">
        <v>2.0099999999999998</v>
      </c>
      <c r="K125" s="8">
        <f>2.18</f>
        <v>2.1800000000000002</v>
      </c>
      <c r="L125" s="8">
        <f>SUM(K125)</f>
        <v>2.1800000000000002</v>
      </c>
      <c r="M125" s="13">
        <f>ROUNDUP(L125,0)</f>
        <v>3</v>
      </c>
      <c r="N125" s="7">
        <f t="shared" si="4"/>
        <v>2.0099999999999998</v>
      </c>
      <c r="O125" s="13">
        <f>ROUNDUP(N125,0)</f>
        <v>3</v>
      </c>
      <c r="P125" s="12">
        <v>120</v>
      </c>
    </row>
    <row r="126" spans="1:16" x14ac:dyDescent="0.25">
      <c r="A126" s="3"/>
      <c r="C126" s="3"/>
      <c r="D126" s="49"/>
      <c r="E126" s="3"/>
      <c r="F126" s="3"/>
      <c r="G126" s="3"/>
      <c r="N126" s="7">
        <f t="shared" si="4"/>
        <v>0</v>
      </c>
    </row>
    <row r="127" spans="1:16" x14ac:dyDescent="0.25">
      <c r="A127" s="3" t="s">
        <v>439</v>
      </c>
      <c r="B127" s="3" t="s">
        <v>58</v>
      </c>
      <c r="C127" s="3" t="s">
        <v>308</v>
      </c>
      <c r="D127" s="49"/>
      <c r="E127" s="3" t="s">
        <v>271</v>
      </c>
      <c r="F127" s="3" t="s">
        <v>272</v>
      </c>
      <c r="G127" s="3" t="s">
        <v>273</v>
      </c>
      <c r="I127" s="8">
        <v>15.48</v>
      </c>
      <c r="K127" s="8">
        <f>12.74+2.32</f>
        <v>15.06</v>
      </c>
      <c r="L127" s="8">
        <f>SUM(K127)</f>
        <v>15.06</v>
      </c>
      <c r="M127" s="13">
        <f>ROUNDUP(L127,0)</f>
        <v>16</v>
      </c>
      <c r="N127" s="7">
        <f t="shared" si="4"/>
        <v>15.48</v>
      </c>
      <c r="O127" s="13">
        <f>ROUNDUP(N127,0)</f>
        <v>16</v>
      </c>
      <c r="P127" s="12">
        <v>110</v>
      </c>
    </row>
    <row r="128" spans="1:16" x14ac:dyDescent="0.25">
      <c r="A128" s="3"/>
      <c r="C128" s="3" t="s">
        <v>274</v>
      </c>
      <c r="D128" s="49"/>
      <c r="E128" s="3" t="s">
        <v>271</v>
      </c>
      <c r="F128" s="3" t="s">
        <v>275</v>
      </c>
      <c r="G128" s="3" t="s">
        <v>273</v>
      </c>
      <c r="N128" s="7">
        <f t="shared" si="4"/>
        <v>0</v>
      </c>
    </row>
    <row r="130" spans="1:23" x14ac:dyDescent="0.25">
      <c r="A130" s="3" t="s">
        <v>438</v>
      </c>
      <c r="B130" s="3" t="s">
        <v>110</v>
      </c>
      <c r="C130" s="3" t="s">
        <v>386</v>
      </c>
      <c r="D130" s="49"/>
      <c r="E130" s="3" t="s">
        <v>407</v>
      </c>
      <c r="F130" s="3" t="s">
        <v>408</v>
      </c>
      <c r="G130" s="3" t="s">
        <v>409</v>
      </c>
      <c r="I130" s="8">
        <v>29.86</v>
      </c>
      <c r="K130" s="8">
        <f>0.64+20.65+5.12</f>
        <v>26.41</v>
      </c>
      <c r="L130" s="8">
        <f>SUM(K130)</f>
        <v>26.41</v>
      </c>
      <c r="M130" s="13">
        <f>ROUNDUP(L130,0)</f>
        <v>27</v>
      </c>
      <c r="N130" s="7">
        <f t="shared" si="4"/>
        <v>29.86</v>
      </c>
      <c r="O130" s="13">
        <f>ROUNDUP(N130,0)</f>
        <v>30</v>
      </c>
      <c r="P130" s="12">
        <v>120</v>
      </c>
    </row>
    <row r="131" spans="1:23" x14ac:dyDescent="0.25">
      <c r="F131" s="3"/>
      <c r="G131" s="3"/>
      <c r="N131" s="7">
        <f t="shared" si="4"/>
        <v>0</v>
      </c>
    </row>
    <row r="132" spans="1:23" x14ac:dyDescent="0.25">
      <c r="A132" s="39" t="s">
        <v>438</v>
      </c>
      <c r="B132" s="39" t="s">
        <v>111</v>
      </c>
      <c r="C132" s="39" t="s">
        <v>429</v>
      </c>
      <c r="D132" s="61" t="s">
        <v>471</v>
      </c>
      <c r="E132" s="39" t="s">
        <v>520</v>
      </c>
      <c r="F132" s="39" t="s">
        <v>521</v>
      </c>
      <c r="G132" s="39" t="s">
        <v>71</v>
      </c>
      <c r="H132" s="41"/>
      <c r="I132" s="42">
        <f>30.89+5.1</f>
        <v>35.99</v>
      </c>
      <c r="J132" s="42"/>
      <c r="K132" s="42">
        <f>0.94+15.39+7.51+8.15+3.72+1.09</f>
        <v>36.800000000000004</v>
      </c>
      <c r="L132" s="42">
        <f>SUM(K132:K135)</f>
        <v>157.04000000000002</v>
      </c>
      <c r="M132" s="44">
        <f>ROUNDUP(L132,0)</f>
        <v>158</v>
      </c>
      <c r="N132" s="43">
        <f t="shared" si="4"/>
        <v>35.99</v>
      </c>
      <c r="O132" s="44">
        <f>ROUNDUP(N132,0)</f>
        <v>36</v>
      </c>
      <c r="P132" s="45">
        <v>120</v>
      </c>
      <c r="S132" s="4" t="s">
        <v>475</v>
      </c>
    </row>
    <row r="133" spans="1:23" x14ac:dyDescent="0.25">
      <c r="A133" s="39" t="s">
        <v>438</v>
      </c>
      <c r="B133" s="39" t="s">
        <v>112</v>
      </c>
      <c r="C133" s="40" t="s">
        <v>430</v>
      </c>
      <c r="D133" s="62"/>
      <c r="E133" s="40" t="s">
        <v>522</v>
      </c>
      <c r="F133" s="40" t="s">
        <v>523</v>
      </c>
      <c r="G133" s="40" t="s">
        <v>524</v>
      </c>
      <c r="H133" s="41">
        <v>30.77</v>
      </c>
      <c r="I133" s="42">
        <f>SUM(H133:H134)</f>
        <v>52.370000000000005</v>
      </c>
      <c r="J133" s="42"/>
      <c r="K133" s="42">
        <f>0.64+8.25+9.09+3.62+2.42+5.72</f>
        <v>29.740000000000002</v>
      </c>
      <c r="L133" s="42"/>
      <c r="M133" s="44"/>
      <c r="N133" s="43">
        <f t="shared" si="4"/>
        <v>52.370000000000005</v>
      </c>
      <c r="O133" s="44">
        <f>ROUNDUP(N133,0)</f>
        <v>53</v>
      </c>
      <c r="P133" s="45">
        <v>110</v>
      </c>
    </row>
    <row r="134" spans="1:23" ht="15.6" x14ac:dyDescent="0.3">
      <c r="A134" s="39" t="s">
        <v>438</v>
      </c>
      <c r="B134" s="39" t="s">
        <v>113</v>
      </c>
      <c r="C134" s="39"/>
      <c r="D134" s="50"/>
      <c r="E134" s="39"/>
      <c r="F134" s="39"/>
      <c r="G134" s="39"/>
      <c r="H134" s="41">
        <v>21.6</v>
      </c>
      <c r="I134" s="42"/>
      <c r="J134" s="42"/>
      <c r="K134" s="42">
        <f>3.24+0.74+0.28+6.34+11.28</f>
        <v>21.880000000000003</v>
      </c>
      <c r="L134" s="42"/>
      <c r="M134" s="42"/>
      <c r="N134" s="43">
        <f t="shared" si="4"/>
        <v>0</v>
      </c>
      <c r="O134" s="44"/>
      <c r="P134" s="45"/>
      <c r="R134" s="1" t="s">
        <v>5</v>
      </c>
      <c r="S134" s="1"/>
      <c r="T134" s="1" t="s">
        <v>307</v>
      </c>
      <c r="V134" s="7">
        <f>SUM(N7:N162)</f>
        <v>3792.0700000000006</v>
      </c>
      <c r="W134" s="15">
        <f>SUM(O7:O162)</f>
        <v>3815</v>
      </c>
    </row>
    <row r="135" spans="1:23" ht="15.6" x14ac:dyDescent="0.3">
      <c r="A135" s="39" t="s">
        <v>108</v>
      </c>
      <c r="B135" s="39" t="s">
        <v>18</v>
      </c>
      <c r="C135" s="39"/>
      <c r="D135" s="50"/>
      <c r="E135" s="40"/>
      <c r="F135" s="40"/>
      <c r="G135" s="39"/>
      <c r="H135" s="41"/>
      <c r="I135" s="42">
        <v>68.78</v>
      </c>
      <c r="J135" s="42"/>
      <c r="K135" s="42">
        <f>13.25+42.93+0.54+2.12+0.34+9.44</f>
        <v>68.62</v>
      </c>
      <c r="L135" s="42"/>
      <c r="M135" s="44"/>
      <c r="N135" s="43">
        <f>I135-J135</f>
        <v>68.78</v>
      </c>
      <c r="O135" s="44">
        <f>ROUNDUP(N135,0)</f>
        <v>69</v>
      </c>
      <c r="P135" s="45">
        <v>110</v>
      </c>
      <c r="R135" s="3"/>
      <c r="S135" s="3"/>
      <c r="T135" s="1" t="s">
        <v>305</v>
      </c>
      <c r="V135" s="7"/>
      <c r="W135" s="15">
        <f>COUNT(O7:O162)</f>
        <v>55</v>
      </c>
    </row>
    <row r="136" spans="1:23" ht="15.6" x14ac:dyDescent="0.3">
      <c r="N136" s="7">
        <f t="shared" si="4"/>
        <v>0</v>
      </c>
      <c r="R136" s="3"/>
      <c r="S136" s="3"/>
      <c r="T136" s="1" t="s">
        <v>306</v>
      </c>
      <c r="V136" s="7"/>
      <c r="W136" s="15">
        <f>W134/W135</f>
        <v>69.36363636363636</v>
      </c>
    </row>
    <row r="137" spans="1:23" ht="15.6" x14ac:dyDescent="0.3">
      <c r="A137" s="3" t="s">
        <v>438</v>
      </c>
      <c r="B137" s="3" t="s">
        <v>114</v>
      </c>
      <c r="C137" s="3" t="s">
        <v>441</v>
      </c>
      <c r="D137" s="49"/>
      <c r="E137" s="3" t="s">
        <v>5</v>
      </c>
      <c r="F137" s="3" t="s">
        <v>7</v>
      </c>
      <c r="G137" s="3" t="s">
        <v>149</v>
      </c>
      <c r="I137" s="8">
        <v>443.33</v>
      </c>
      <c r="K137" s="8">
        <f>4.29+176.97+0.92+110.16+0.62+0.42+13.76+7.3+46.67+80.98</f>
        <v>442.09000000000003</v>
      </c>
      <c r="L137" s="8">
        <f>SUM(K137)</f>
        <v>442.09000000000003</v>
      </c>
      <c r="M137" s="13">
        <f>ROUNDUP(L137,0)</f>
        <v>443</v>
      </c>
      <c r="N137" s="7">
        <f t="shared" si="4"/>
        <v>443.33</v>
      </c>
      <c r="O137" s="13">
        <f>ROUNDUP(N137,0)</f>
        <v>444</v>
      </c>
      <c r="P137" s="12">
        <v>120</v>
      </c>
      <c r="R137" s="3"/>
      <c r="S137" s="3"/>
      <c r="T137" s="1"/>
      <c r="V137" s="7"/>
      <c r="W137" s="15"/>
    </row>
    <row r="138" spans="1:23" ht="15.6" x14ac:dyDescent="0.3">
      <c r="A138" s="3"/>
      <c r="C138" s="3"/>
      <c r="D138" s="49"/>
      <c r="E138" s="3"/>
      <c r="F138" s="3"/>
      <c r="G138" s="3"/>
      <c r="R138" s="3"/>
      <c r="S138" s="3"/>
      <c r="T138" s="1"/>
      <c r="V138" s="7"/>
      <c r="W138" s="15"/>
    </row>
    <row r="139" spans="1:23" ht="15.6" x14ac:dyDescent="0.3">
      <c r="A139" s="3" t="s">
        <v>439</v>
      </c>
      <c r="B139" s="3" t="s">
        <v>400</v>
      </c>
      <c r="C139" s="3" t="s">
        <v>545</v>
      </c>
      <c r="D139" s="49"/>
      <c r="E139" s="3" t="s">
        <v>288</v>
      </c>
      <c r="F139" s="3" t="s">
        <v>385</v>
      </c>
      <c r="G139" s="3" t="s">
        <v>149</v>
      </c>
      <c r="I139" s="8">
        <v>93</v>
      </c>
      <c r="J139" s="8">
        <v>0.6</v>
      </c>
      <c r="K139" s="8">
        <f>88.14+3.56+0.69+0.36+1.46</f>
        <v>94.21</v>
      </c>
      <c r="L139" s="8">
        <f>SUM(K139:K141)</f>
        <v>245.19</v>
      </c>
      <c r="M139" s="13">
        <f>ROUNDUP(L139,0)</f>
        <v>246</v>
      </c>
      <c r="N139" s="7">
        <f>I139-J139+I140-J140+I141-J141</f>
        <v>246.32</v>
      </c>
      <c r="O139" s="13">
        <f>ROUNDUP(N139,0)</f>
        <v>247</v>
      </c>
      <c r="P139" s="12">
        <v>120</v>
      </c>
      <c r="R139" s="3"/>
      <c r="S139" s="3"/>
      <c r="T139" s="1"/>
      <c r="V139" s="7"/>
      <c r="W139" s="15"/>
    </row>
    <row r="140" spans="1:23" ht="15.6" x14ac:dyDescent="0.3">
      <c r="A140" s="3"/>
      <c r="B140" s="3" t="s">
        <v>431</v>
      </c>
      <c r="C140" s="3"/>
      <c r="D140" s="49"/>
      <c r="E140" s="3"/>
      <c r="F140" s="3"/>
      <c r="G140" s="3"/>
      <c r="I140" s="8">
        <v>98.55</v>
      </c>
      <c r="K140" s="8">
        <f>45.99+46.88</f>
        <v>92.87</v>
      </c>
      <c r="R140" s="3"/>
      <c r="S140" s="3"/>
      <c r="T140" s="1"/>
      <c r="V140" s="7"/>
      <c r="W140" s="15"/>
    </row>
    <row r="141" spans="1:23" ht="15.6" x14ac:dyDescent="0.3">
      <c r="A141" s="3" t="s">
        <v>108</v>
      </c>
      <c r="B141" s="3" t="s">
        <v>27</v>
      </c>
      <c r="C141" s="3"/>
      <c r="D141" s="49"/>
      <c r="E141" s="3"/>
      <c r="F141" s="3"/>
      <c r="G141" s="3"/>
      <c r="I141" s="8">
        <v>55.37</v>
      </c>
      <c r="K141" s="8">
        <f>2.68+9.86+1.8+3.18+36.64+3.95</f>
        <v>58.11</v>
      </c>
      <c r="R141" s="3"/>
      <c r="S141" s="3"/>
      <c r="T141" s="1"/>
      <c r="V141" s="7"/>
      <c r="W141" s="15"/>
    </row>
    <row r="142" spans="1:23" ht="15.6" x14ac:dyDescent="0.3">
      <c r="A142" s="3"/>
      <c r="C142" s="3"/>
      <c r="D142" s="49"/>
      <c r="E142" s="3"/>
      <c r="F142" s="3"/>
      <c r="G142" s="3"/>
      <c r="R142" s="3"/>
      <c r="S142" s="3"/>
      <c r="T142" s="1"/>
      <c r="V142" s="7"/>
      <c r="W142" s="15"/>
    </row>
    <row r="143" spans="1:23" ht="15.6" x14ac:dyDescent="0.3">
      <c r="A143" s="3" t="s">
        <v>439</v>
      </c>
      <c r="B143" s="3" t="s">
        <v>410</v>
      </c>
      <c r="C143" s="3" t="s">
        <v>411</v>
      </c>
      <c r="D143" s="49"/>
      <c r="E143" s="3" t="s">
        <v>412</v>
      </c>
      <c r="F143" s="3" t="s">
        <v>231</v>
      </c>
      <c r="G143" s="3" t="s">
        <v>12</v>
      </c>
      <c r="K143" s="8">
        <f>17.58+3.59+21.17+250.15+4.13+2.13+1.66+10.25+0.1+163.03+0.98+3.23+9.2</f>
        <v>487.2000000000001</v>
      </c>
      <c r="L143" s="8">
        <f>SUM(K143:K156)</f>
        <v>503.61000000000013</v>
      </c>
      <c r="M143" s="13">
        <v>1</v>
      </c>
      <c r="N143" s="7">
        <f>SUM(I143:I156)</f>
        <v>415.30000000000007</v>
      </c>
      <c r="O143" s="13">
        <f>ROUNDUP(N143,0)</f>
        <v>416</v>
      </c>
      <c r="P143" s="12">
        <v>120</v>
      </c>
      <c r="R143" s="3"/>
      <c r="S143" s="3"/>
      <c r="T143" s="1"/>
      <c r="V143" s="7"/>
      <c r="W143" s="15"/>
    </row>
    <row r="144" spans="1:23" ht="15.6" x14ac:dyDescent="0.3">
      <c r="A144" s="55" t="s">
        <v>439</v>
      </c>
      <c r="B144" s="55" t="s">
        <v>70</v>
      </c>
      <c r="C144" s="30" t="s">
        <v>519</v>
      </c>
      <c r="D144" s="49"/>
      <c r="E144" s="3"/>
      <c r="F144" s="3"/>
      <c r="G144" s="3"/>
      <c r="I144" s="8">
        <f>14.51+2.65</f>
        <v>17.16</v>
      </c>
      <c r="R144" s="3"/>
      <c r="T144" s="1"/>
      <c r="V144" s="7"/>
      <c r="W144" s="15"/>
    </row>
    <row r="145" spans="1:23" ht="15.6" x14ac:dyDescent="0.3">
      <c r="A145" s="55" t="s">
        <v>439</v>
      </c>
      <c r="B145" s="55" t="s">
        <v>35</v>
      </c>
      <c r="C145" s="3"/>
      <c r="D145" s="49"/>
      <c r="E145" s="3"/>
      <c r="F145" s="3"/>
      <c r="G145" s="3"/>
      <c r="I145" s="8">
        <v>3.54</v>
      </c>
      <c r="R145" s="3"/>
      <c r="S145" s="30"/>
      <c r="T145" s="1"/>
      <c r="V145" s="7"/>
      <c r="W145" s="15"/>
    </row>
    <row r="146" spans="1:23" ht="15.6" x14ac:dyDescent="0.3">
      <c r="A146" s="55" t="s">
        <v>439</v>
      </c>
      <c r="B146" s="55" t="s">
        <v>405</v>
      </c>
      <c r="C146" s="3"/>
      <c r="D146" s="49"/>
      <c r="E146" s="3"/>
      <c r="F146" s="3"/>
      <c r="G146" s="3"/>
      <c r="I146" s="8">
        <v>17.649999999999999</v>
      </c>
      <c r="R146" s="3"/>
      <c r="S146" s="30"/>
      <c r="T146" s="1"/>
      <c r="V146" s="7"/>
      <c r="W146" s="15"/>
    </row>
    <row r="147" spans="1:23" ht="15.6" x14ac:dyDescent="0.3">
      <c r="A147" s="55" t="s">
        <v>164</v>
      </c>
      <c r="B147" s="55" t="s">
        <v>126</v>
      </c>
      <c r="C147" s="3"/>
      <c r="D147" s="49"/>
      <c r="E147" s="3"/>
      <c r="F147" s="3"/>
      <c r="G147" s="3"/>
      <c r="I147" s="8">
        <v>4.4000000000000004</v>
      </c>
      <c r="R147" s="3"/>
      <c r="S147" s="30"/>
      <c r="T147" s="1"/>
      <c r="V147" s="7"/>
      <c r="W147" s="15"/>
    </row>
    <row r="148" spans="1:23" ht="15.6" x14ac:dyDescent="0.3">
      <c r="A148" s="55" t="s">
        <v>164</v>
      </c>
      <c r="B148" s="55" t="s">
        <v>504</v>
      </c>
      <c r="C148" s="3"/>
      <c r="D148" s="49"/>
      <c r="E148" s="3"/>
      <c r="F148" s="3"/>
      <c r="G148" s="3"/>
      <c r="I148" s="8">
        <f>8.04-4.4</f>
        <v>3.6399999999999988</v>
      </c>
      <c r="R148" s="3"/>
      <c r="S148" s="30"/>
      <c r="T148" s="1"/>
      <c r="V148" s="7"/>
      <c r="W148" s="15"/>
    </row>
    <row r="149" spans="1:23" ht="15.6" x14ac:dyDescent="0.3">
      <c r="A149" s="55" t="s">
        <v>164</v>
      </c>
      <c r="B149" s="55" t="s">
        <v>124</v>
      </c>
      <c r="C149" s="3"/>
      <c r="D149" s="49"/>
      <c r="E149" s="3"/>
      <c r="F149" s="3"/>
      <c r="G149" s="3"/>
      <c r="I149" s="8">
        <v>11.5</v>
      </c>
      <c r="R149" s="3"/>
      <c r="S149" s="30"/>
      <c r="T149" s="1"/>
      <c r="V149" s="7"/>
      <c r="W149" s="15"/>
    </row>
    <row r="150" spans="1:23" ht="15.6" x14ac:dyDescent="0.3">
      <c r="A150" s="55" t="s">
        <v>164</v>
      </c>
      <c r="B150" s="55" t="s">
        <v>128</v>
      </c>
      <c r="C150" s="3"/>
      <c r="D150" s="49"/>
      <c r="E150" s="3"/>
      <c r="F150" s="3"/>
      <c r="G150" s="3"/>
      <c r="I150" s="8">
        <v>10.199999999999999</v>
      </c>
      <c r="R150" s="3"/>
      <c r="S150" s="30"/>
      <c r="T150" s="1"/>
      <c r="V150" s="7"/>
      <c r="W150" s="15"/>
    </row>
    <row r="151" spans="1:23" ht="15.6" x14ac:dyDescent="0.3">
      <c r="A151" s="55" t="s">
        <v>167</v>
      </c>
      <c r="B151" s="55" t="s">
        <v>512</v>
      </c>
      <c r="C151" s="54" t="s">
        <v>518</v>
      </c>
      <c r="D151" s="49"/>
      <c r="E151" s="3"/>
      <c r="F151" s="3"/>
      <c r="G151" s="3"/>
      <c r="I151" s="8">
        <v>144.08000000000001</v>
      </c>
      <c r="R151" s="3"/>
      <c r="T151" s="1"/>
      <c r="V151" s="7"/>
      <c r="W151" s="15"/>
    </row>
    <row r="152" spans="1:23" ht="15.6" x14ac:dyDescent="0.3">
      <c r="A152" s="55" t="s">
        <v>167</v>
      </c>
      <c r="B152" s="55" t="s">
        <v>67</v>
      </c>
      <c r="C152" s="54" t="s">
        <v>519</v>
      </c>
      <c r="D152" s="49"/>
      <c r="E152" s="3"/>
      <c r="F152" s="3"/>
      <c r="G152" s="3"/>
      <c r="I152" s="8">
        <v>21.16</v>
      </c>
      <c r="R152" s="3"/>
      <c r="S152" s="30"/>
      <c r="T152" s="1"/>
      <c r="V152" s="7"/>
      <c r="W152" s="15"/>
    </row>
    <row r="153" spans="1:23" ht="15.6" x14ac:dyDescent="0.3">
      <c r="A153" s="55" t="s">
        <v>167</v>
      </c>
      <c r="B153" s="55" t="s">
        <v>170</v>
      </c>
      <c r="C153" s="3"/>
      <c r="D153" s="49"/>
      <c r="E153" s="3"/>
      <c r="F153" s="3"/>
      <c r="G153" s="3"/>
      <c r="I153" s="8">
        <v>87.7</v>
      </c>
      <c r="R153" s="3"/>
      <c r="S153" s="3"/>
      <c r="T153" s="1"/>
      <c r="V153" s="7"/>
      <c r="W153" s="15"/>
    </row>
    <row r="154" spans="1:23" ht="15.6" x14ac:dyDescent="0.3">
      <c r="A154" s="55" t="s">
        <v>167</v>
      </c>
      <c r="B154" s="55" t="s">
        <v>139</v>
      </c>
      <c r="C154" s="3"/>
      <c r="D154" s="49"/>
      <c r="E154" s="3"/>
      <c r="F154" s="3"/>
      <c r="G154" s="3"/>
      <c r="I154" s="8">
        <v>20.100000000000001</v>
      </c>
      <c r="R154" s="3"/>
      <c r="S154" s="3"/>
      <c r="T154" s="1"/>
      <c r="V154" s="7"/>
      <c r="W154" s="15"/>
    </row>
    <row r="155" spans="1:23" ht="15.6" x14ac:dyDescent="0.3">
      <c r="A155" s="55" t="s">
        <v>433</v>
      </c>
      <c r="B155" s="55" t="s">
        <v>9</v>
      </c>
      <c r="C155" s="3"/>
      <c r="D155" s="49"/>
      <c r="E155" s="3"/>
      <c r="F155" s="3"/>
      <c r="G155" s="3"/>
      <c r="I155" s="8">
        <v>56.89</v>
      </c>
      <c r="R155" s="3"/>
      <c r="S155" s="3"/>
      <c r="T155" s="1"/>
      <c r="V155" s="7"/>
      <c r="W155" s="15"/>
    </row>
    <row r="156" spans="1:23" ht="15.6" x14ac:dyDescent="0.3">
      <c r="A156" s="3" t="s">
        <v>295</v>
      </c>
      <c r="B156" s="3" t="s">
        <v>437</v>
      </c>
      <c r="C156" s="54" t="s">
        <v>511</v>
      </c>
      <c r="D156" s="49"/>
      <c r="E156" s="3"/>
      <c r="F156" s="3"/>
      <c r="G156" s="3"/>
      <c r="I156" s="8">
        <f>14.62+2.66</f>
        <v>17.28</v>
      </c>
      <c r="K156" s="8">
        <f>16.41</f>
        <v>16.41</v>
      </c>
      <c r="R156" s="3"/>
      <c r="S156" s="3"/>
      <c r="T156" s="1"/>
      <c r="V156" s="7"/>
      <c r="W156" s="15"/>
    </row>
    <row r="157" spans="1:23" ht="15.6" x14ac:dyDescent="0.3">
      <c r="A157" s="3"/>
      <c r="C157" s="3"/>
      <c r="D157" s="49"/>
      <c r="E157" s="3"/>
      <c r="F157" s="3"/>
      <c r="G157" s="3"/>
      <c r="R157" s="3"/>
      <c r="S157" s="3"/>
      <c r="T157" s="1"/>
      <c r="V157" s="7"/>
      <c r="W157" s="15"/>
    </row>
    <row r="158" spans="1:23" ht="15.6" x14ac:dyDescent="0.3">
      <c r="A158" s="3" t="s">
        <v>439</v>
      </c>
      <c r="B158" s="3" t="s">
        <v>413</v>
      </c>
      <c r="C158" s="3" t="s">
        <v>495</v>
      </c>
      <c r="D158" s="49"/>
      <c r="E158" s="3" t="s">
        <v>494</v>
      </c>
      <c r="F158" s="3" t="s">
        <v>497</v>
      </c>
      <c r="G158" s="3" t="s">
        <v>496</v>
      </c>
      <c r="K158" s="8">
        <f>62.89+41.16</f>
        <v>104.05</v>
      </c>
      <c r="L158" s="8">
        <f>SUM(K158)</f>
        <v>104.05</v>
      </c>
      <c r="M158" s="13">
        <f>ROUNDUP(L158,0)</f>
        <v>105</v>
      </c>
      <c r="N158" s="7">
        <f>131.22-23.06-2.18</f>
        <v>105.97999999999999</v>
      </c>
      <c r="O158" s="13">
        <f>ROUNDUP(N158,0)</f>
        <v>106</v>
      </c>
      <c r="R158" s="3"/>
      <c r="S158" s="3" t="s">
        <v>506</v>
      </c>
      <c r="T158" s="1"/>
      <c r="V158" s="7"/>
      <c r="W158" s="15"/>
    </row>
    <row r="159" spans="1:23" ht="15.6" x14ac:dyDescent="0.3">
      <c r="A159" s="3"/>
      <c r="C159" s="3"/>
      <c r="D159" s="49"/>
      <c r="E159" s="3"/>
      <c r="F159" s="3"/>
      <c r="G159" s="3"/>
      <c r="R159" s="3"/>
      <c r="S159" s="3"/>
      <c r="T159" s="1"/>
      <c r="V159" s="7"/>
      <c r="W159" s="15"/>
    </row>
    <row r="160" spans="1:23" ht="15.6" x14ac:dyDescent="0.3">
      <c r="A160" s="3" t="s">
        <v>439</v>
      </c>
      <c r="B160" s="3" t="s">
        <v>414</v>
      </c>
      <c r="C160" s="3" t="s">
        <v>415</v>
      </c>
      <c r="D160" s="49"/>
      <c r="E160" s="3"/>
      <c r="F160" s="3"/>
      <c r="G160" s="3"/>
      <c r="K160" s="8">
        <f>5.42+34.65+31.45+23.25+2.74+22.01</f>
        <v>119.52</v>
      </c>
      <c r="L160" s="8">
        <f>SUM(K160)</f>
        <v>119.52</v>
      </c>
      <c r="M160" s="13">
        <f>ROUNDUP(L160,0)</f>
        <v>120</v>
      </c>
      <c r="N160" s="7">
        <f>90.55+23.06-1.91</f>
        <v>111.7</v>
      </c>
      <c r="O160" s="13">
        <f>ROUNDUP(N160,0)</f>
        <v>112</v>
      </c>
      <c r="R160" s="3"/>
      <c r="S160" s="3" t="s">
        <v>507</v>
      </c>
      <c r="T160" s="1"/>
      <c r="V160" s="7"/>
      <c r="W160" s="15"/>
    </row>
    <row r="161" spans="1:23" x14ac:dyDescent="0.25">
      <c r="A161" s="3"/>
      <c r="C161" s="3" t="s">
        <v>246</v>
      </c>
      <c r="D161" s="49"/>
      <c r="E161" s="3" t="s">
        <v>247</v>
      </c>
      <c r="F161" s="3" t="s">
        <v>248</v>
      </c>
      <c r="G161" s="3" t="s">
        <v>249</v>
      </c>
    </row>
    <row r="163" spans="1:23" x14ac:dyDescent="0.25">
      <c r="C163" s="3"/>
      <c r="D163" s="49"/>
      <c r="E163" s="3"/>
      <c r="F163" s="3"/>
      <c r="G163" s="3"/>
      <c r="N163" s="7">
        <f t="shared" si="4"/>
        <v>0</v>
      </c>
    </row>
    <row r="164" spans="1:23" ht="15.6" x14ac:dyDescent="0.3">
      <c r="A164" s="3" t="s">
        <v>433</v>
      </c>
      <c r="B164" s="3" t="s">
        <v>65</v>
      </c>
      <c r="C164" s="3" t="s">
        <v>179</v>
      </c>
      <c r="D164" s="49"/>
      <c r="E164" s="3" t="s">
        <v>434</v>
      </c>
      <c r="F164" s="3" t="s">
        <v>7</v>
      </c>
      <c r="G164" s="3" t="s">
        <v>149</v>
      </c>
      <c r="I164" s="8">
        <v>529.86</v>
      </c>
      <c r="J164" s="8">
        <v>471</v>
      </c>
      <c r="K164" s="8">
        <f>59.35</f>
        <v>59.35</v>
      </c>
      <c r="L164" s="8">
        <f>SUM(K164)</f>
        <v>59.35</v>
      </c>
      <c r="M164" s="13">
        <f>ROUNDUP(L164,0)</f>
        <v>60</v>
      </c>
      <c r="N164" s="7">
        <f t="shared" si="4"/>
        <v>58.860000000000014</v>
      </c>
      <c r="O164" s="13">
        <f>ROUNDUP(N164,0)</f>
        <v>59</v>
      </c>
      <c r="P164" s="12">
        <v>110</v>
      </c>
      <c r="R164" s="3"/>
      <c r="S164" s="3"/>
      <c r="T164" s="1" t="s">
        <v>306</v>
      </c>
      <c r="V164" s="7"/>
      <c r="W164" s="15" t="e">
        <f>#REF!/#REF!</f>
        <v>#REF!</v>
      </c>
    </row>
    <row r="165" spans="1:23" x14ac:dyDescent="0.25">
      <c r="C165" s="3"/>
      <c r="D165" s="49"/>
      <c r="E165" s="3"/>
      <c r="F165" s="3"/>
      <c r="G165" s="3"/>
    </row>
    <row r="166" spans="1:23" x14ac:dyDescent="0.25">
      <c r="C166" s="3"/>
      <c r="D166" s="49"/>
    </row>
    <row r="167" spans="1:23" x14ac:dyDescent="0.25">
      <c r="A167" s="3" t="s">
        <v>164</v>
      </c>
      <c r="B167" s="3" t="s">
        <v>118</v>
      </c>
      <c r="C167" s="3" t="s">
        <v>285</v>
      </c>
      <c r="D167" s="48" t="s">
        <v>471</v>
      </c>
      <c r="E167" s="3" t="s">
        <v>513</v>
      </c>
      <c r="F167" s="3" t="s">
        <v>46</v>
      </c>
      <c r="G167" s="3" t="s">
        <v>173</v>
      </c>
      <c r="I167" s="8">
        <v>59.9</v>
      </c>
      <c r="J167" s="8">
        <f>I167-N167</f>
        <v>55.8</v>
      </c>
      <c r="K167" s="8">
        <v>3.9</v>
      </c>
      <c r="L167" s="8">
        <f>SUM(K167)</f>
        <v>3.9</v>
      </c>
      <c r="M167" s="13">
        <f>ROUNDUP(L167,0)</f>
        <v>4</v>
      </c>
      <c r="N167" s="7">
        <v>4.0999999999999996</v>
      </c>
      <c r="O167" s="13">
        <f>ROUNDUP(N167,0)</f>
        <v>5</v>
      </c>
      <c r="P167" s="12">
        <v>120</v>
      </c>
    </row>
    <row r="168" spans="1:23" x14ac:dyDescent="0.25">
      <c r="A168" s="3"/>
      <c r="C168" s="30" t="s">
        <v>514</v>
      </c>
      <c r="D168" s="49"/>
      <c r="E168" s="3" t="s">
        <v>515</v>
      </c>
      <c r="F168" s="3" t="s">
        <v>517</v>
      </c>
      <c r="G168" s="3" t="s">
        <v>516</v>
      </c>
    </row>
    <row r="169" spans="1:23" ht="25.5" customHeight="1" x14ac:dyDescent="0.25">
      <c r="J169" s="8">
        <f>I169-N169</f>
        <v>0</v>
      </c>
    </row>
    <row r="170" spans="1:23" x14ac:dyDescent="0.25">
      <c r="A170" s="3" t="s">
        <v>164</v>
      </c>
      <c r="B170" s="3" t="s">
        <v>120</v>
      </c>
      <c r="C170" s="3" t="s">
        <v>122</v>
      </c>
      <c r="D170" s="49"/>
      <c r="E170" s="5" t="s">
        <v>165</v>
      </c>
      <c r="F170" s="3" t="s">
        <v>123</v>
      </c>
      <c r="G170" s="3" t="s">
        <v>12</v>
      </c>
      <c r="H170" s="10">
        <v>8.1999999999999993</v>
      </c>
      <c r="I170" s="8">
        <v>117.87</v>
      </c>
      <c r="J170" s="8">
        <f>I170+I171-N170</f>
        <v>158.07000000000002</v>
      </c>
      <c r="K170" s="8">
        <f>5.68+1.34</f>
        <v>7.02</v>
      </c>
      <c r="L170" s="8">
        <f>SUM(K170:K171)</f>
        <v>12.969999999999999</v>
      </c>
      <c r="M170" s="13">
        <f>ROUNDUP(L170,0)</f>
        <v>13</v>
      </c>
      <c r="N170" s="7">
        <f>SUM(H170:H171)</f>
        <v>13.6</v>
      </c>
      <c r="O170" s="13">
        <f>ROUNDUP(N170,0)</f>
        <v>14</v>
      </c>
      <c r="P170" s="12">
        <v>120</v>
      </c>
    </row>
    <row r="171" spans="1:23" x14ac:dyDescent="0.25">
      <c r="B171" s="3" t="s">
        <v>121</v>
      </c>
      <c r="C171" s="3"/>
      <c r="D171" s="49"/>
      <c r="E171" s="3"/>
      <c r="F171" s="3"/>
      <c r="G171" s="3"/>
      <c r="H171" s="10">
        <v>5.4</v>
      </c>
      <c r="I171" s="8">
        <v>53.8</v>
      </c>
      <c r="K171" s="8">
        <f>5.43+0.52</f>
        <v>5.9499999999999993</v>
      </c>
      <c r="P171" s="12">
        <v>120</v>
      </c>
    </row>
    <row r="172" spans="1:23" x14ac:dyDescent="0.25">
      <c r="C172" s="3"/>
      <c r="D172" s="49"/>
      <c r="E172" s="3"/>
      <c r="F172" s="3"/>
      <c r="G172" s="3"/>
    </row>
    <row r="173" spans="1:23" x14ac:dyDescent="0.25">
      <c r="A173" s="3" t="s">
        <v>164</v>
      </c>
      <c r="B173" s="3" t="s">
        <v>124</v>
      </c>
      <c r="C173" s="3" t="s">
        <v>284</v>
      </c>
      <c r="D173" s="49"/>
      <c r="F173" s="4" t="s">
        <v>283</v>
      </c>
      <c r="G173" s="3" t="s">
        <v>125</v>
      </c>
      <c r="I173" s="8">
        <v>2.1</v>
      </c>
      <c r="K173" s="8">
        <f>2.31</f>
        <v>2.31</v>
      </c>
      <c r="L173" s="8">
        <f>SUM(K173:K175)</f>
        <v>61.36</v>
      </c>
      <c r="M173" s="13">
        <f>ROUNDUP(L173,0)</f>
        <v>62</v>
      </c>
      <c r="N173" s="7">
        <f>I173-J173+I245+I174</f>
        <v>60.599999999999994</v>
      </c>
      <c r="O173" s="13">
        <f>ROUNDUP(N173,0)</f>
        <v>61</v>
      </c>
      <c r="P173" s="12">
        <v>120</v>
      </c>
      <c r="S173" s="4" t="s">
        <v>505</v>
      </c>
    </row>
    <row r="174" spans="1:23" x14ac:dyDescent="0.25">
      <c r="A174" s="3" t="s">
        <v>167</v>
      </c>
      <c r="B174" s="3" t="s">
        <v>170</v>
      </c>
      <c r="C174" s="3"/>
      <c r="D174" s="49"/>
      <c r="G174" s="3"/>
      <c r="H174" s="10">
        <v>131.79</v>
      </c>
      <c r="I174" s="8">
        <v>49.16</v>
      </c>
      <c r="K174" s="8">
        <f>41.98+6.73</f>
        <v>48.709999999999994</v>
      </c>
      <c r="O174" s="13">
        <f>ROUNDUP(N174,0)</f>
        <v>0</v>
      </c>
      <c r="P174" s="12">
        <v>120</v>
      </c>
      <c r="S174" s="4" t="s">
        <v>508</v>
      </c>
    </row>
    <row r="175" spans="1:23" x14ac:dyDescent="0.25">
      <c r="A175" s="3" t="s">
        <v>167</v>
      </c>
      <c r="B175" s="3" t="s">
        <v>139</v>
      </c>
      <c r="H175" s="10">
        <v>30.33</v>
      </c>
      <c r="I175" s="8">
        <f>H175-20.1</f>
        <v>10.229999999999997</v>
      </c>
      <c r="K175" s="8">
        <f>9.03+0.05+1.26</f>
        <v>10.34</v>
      </c>
      <c r="P175" s="12">
        <v>120</v>
      </c>
      <c r="S175" s="4" t="s">
        <v>509</v>
      </c>
    </row>
    <row r="176" spans="1:23" x14ac:dyDescent="0.25">
      <c r="J176" s="8">
        <f>I176-N176</f>
        <v>0</v>
      </c>
    </row>
    <row r="177" spans="1:23" x14ac:dyDescent="0.25">
      <c r="C177" s="3"/>
      <c r="D177" s="49"/>
      <c r="E177" s="3"/>
      <c r="F177" s="3"/>
      <c r="G177" s="3"/>
      <c r="J177" s="8">
        <f>I177-N177</f>
        <v>0</v>
      </c>
    </row>
    <row r="178" spans="1:23" x14ac:dyDescent="0.25">
      <c r="A178" s="3" t="s">
        <v>164</v>
      </c>
      <c r="B178" s="3" t="s">
        <v>119</v>
      </c>
      <c r="C178" s="3" t="s">
        <v>285</v>
      </c>
      <c r="D178" s="49"/>
      <c r="E178" s="3" t="s">
        <v>286</v>
      </c>
      <c r="F178" s="3" t="s">
        <v>46</v>
      </c>
      <c r="G178" s="3" t="s">
        <v>173</v>
      </c>
      <c r="I178" s="8">
        <v>113.17</v>
      </c>
      <c r="J178" s="8">
        <f>I178-N178</f>
        <v>107.17</v>
      </c>
      <c r="K178" s="8">
        <f>2.31+4.76+1.18</f>
        <v>8.25</v>
      </c>
      <c r="L178" s="8">
        <f>SUM(K178)</f>
        <v>8.25</v>
      </c>
      <c r="M178" s="13">
        <f>ROUNDUP(L178,0)</f>
        <v>9</v>
      </c>
      <c r="N178" s="7">
        <v>6</v>
      </c>
      <c r="O178" s="13">
        <f>ROUNDUP(N178,0)</f>
        <v>6</v>
      </c>
      <c r="P178" s="12">
        <v>120</v>
      </c>
    </row>
    <row r="180" spans="1:23" x14ac:dyDescent="0.25">
      <c r="A180" s="3" t="s">
        <v>164</v>
      </c>
      <c r="B180" s="3" t="s">
        <v>129</v>
      </c>
      <c r="C180" s="3" t="s">
        <v>417</v>
      </c>
      <c r="D180" s="49"/>
      <c r="E180" s="3" t="s">
        <v>418</v>
      </c>
      <c r="F180" s="3"/>
      <c r="G180" s="3"/>
      <c r="I180" s="8">
        <v>1</v>
      </c>
      <c r="K180" s="8">
        <v>1.04</v>
      </c>
      <c r="L180" s="8">
        <f>SUM(K180)</f>
        <v>1.04</v>
      </c>
      <c r="M180" s="13">
        <f>ROUNDUP(L180,0)</f>
        <v>2</v>
      </c>
      <c r="N180" s="7">
        <f>I180-J180</f>
        <v>1</v>
      </c>
      <c r="O180" s="13">
        <f>ROUNDUP(N180,0)</f>
        <v>1</v>
      </c>
      <c r="P180" s="12">
        <v>211</v>
      </c>
    </row>
    <row r="182" spans="1:23" x14ac:dyDescent="0.25">
      <c r="A182" s="3" t="s">
        <v>164</v>
      </c>
      <c r="B182" s="3" t="s">
        <v>130</v>
      </c>
      <c r="C182" s="3" t="s">
        <v>464</v>
      </c>
      <c r="D182" s="49"/>
      <c r="E182" s="3"/>
      <c r="F182" s="3"/>
      <c r="G182" s="3" t="s">
        <v>12</v>
      </c>
      <c r="I182" s="8">
        <v>89.89</v>
      </c>
      <c r="J182" s="8">
        <v>86</v>
      </c>
      <c r="K182" s="8">
        <f>3</f>
        <v>3</v>
      </c>
      <c r="L182" s="8">
        <f>SUM(K182:K183)</f>
        <v>32.11</v>
      </c>
      <c r="M182" s="13">
        <f>ROUNDUP(L182,0)</f>
        <v>33</v>
      </c>
      <c r="N182" s="7">
        <f>I182-J182+I183-J183</f>
        <v>34.360000000000014</v>
      </c>
      <c r="O182" s="13">
        <f>ROUNDUP(N182,0)</f>
        <v>35</v>
      </c>
      <c r="P182" s="12">
        <v>120</v>
      </c>
    </row>
    <row r="183" spans="1:23" x14ac:dyDescent="0.25">
      <c r="B183" s="3" t="s">
        <v>420</v>
      </c>
      <c r="I183" s="8">
        <v>338.47</v>
      </c>
      <c r="J183" s="8">
        <v>308</v>
      </c>
      <c r="K183" s="8">
        <f>13.31+12.18+3.62</f>
        <v>29.110000000000003</v>
      </c>
      <c r="O183" s="13">
        <f>ROUNDUP(N183,0)</f>
        <v>0</v>
      </c>
      <c r="P183" s="12">
        <v>120</v>
      </c>
    </row>
    <row r="185" spans="1:23" ht="15.6" x14ac:dyDescent="0.3">
      <c r="A185" s="3" t="s">
        <v>164</v>
      </c>
      <c r="B185" s="3" t="s">
        <v>131</v>
      </c>
      <c r="C185" s="3" t="s">
        <v>449</v>
      </c>
      <c r="D185" s="49"/>
      <c r="E185" s="3" t="s">
        <v>158</v>
      </c>
      <c r="F185" s="3" t="s">
        <v>132</v>
      </c>
      <c r="G185" s="3" t="s">
        <v>133</v>
      </c>
      <c r="I185" s="8">
        <v>222.11</v>
      </c>
      <c r="J185" s="8">
        <v>196</v>
      </c>
      <c r="K185" s="8">
        <f>6.03+5.89+8.66+3.76+1.1</f>
        <v>25.439999999999998</v>
      </c>
      <c r="L185" s="8">
        <f>SUM(K185)</f>
        <v>25.439999999999998</v>
      </c>
      <c r="M185" s="13">
        <f>ROUNDUP(L185,0)</f>
        <v>26</v>
      </c>
      <c r="N185" s="7">
        <v>26.2</v>
      </c>
      <c r="O185" s="13">
        <f>ROUNDUP(N185,0)</f>
        <v>27</v>
      </c>
      <c r="P185" s="12">
        <v>120</v>
      </c>
      <c r="R185" s="1" t="s">
        <v>164</v>
      </c>
      <c r="S185" s="1"/>
      <c r="T185" s="1" t="s">
        <v>307</v>
      </c>
      <c r="V185" s="7">
        <f>SUM(N167:N188)</f>
        <v>155.76000000000002</v>
      </c>
      <c r="W185" s="15">
        <f>SUM(O167:O188)</f>
        <v>159</v>
      </c>
    </row>
    <row r="186" spans="1:23" ht="15.6" x14ac:dyDescent="0.3">
      <c r="R186" s="3"/>
      <c r="S186" s="3"/>
      <c r="T186" s="1" t="s">
        <v>305</v>
      </c>
      <c r="V186" s="7"/>
      <c r="W186" s="15">
        <f>COUNT(O167:O188)</f>
        <v>10</v>
      </c>
    </row>
    <row r="187" spans="1:23" ht="15.6" x14ac:dyDescent="0.3">
      <c r="A187" s="3" t="s">
        <v>164</v>
      </c>
      <c r="B187" s="3" t="s">
        <v>421</v>
      </c>
      <c r="C187" s="3" t="s">
        <v>422</v>
      </c>
      <c r="D187" s="49"/>
      <c r="E187" s="3"/>
      <c r="F187" s="3"/>
      <c r="G187" s="3"/>
      <c r="I187" s="8">
        <v>19.03</v>
      </c>
      <c r="J187" s="8">
        <f>I187-N187</f>
        <v>9.1300000000000008</v>
      </c>
      <c r="K187" s="8">
        <f>3.01+4.69+2.55</f>
        <v>10.25</v>
      </c>
      <c r="L187" s="8">
        <f>SUM(K187)</f>
        <v>10.25</v>
      </c>
      <c r="M187" s="13">
        <f>ROUNDUP(L187,0)</f>
        <v>11</v>
      </c>
      <c r="N187" s="7">
        <v>9.9</v>
      </c>
      <c r="O187" s="13">
        <f>ROUNDUP(N187,0)</f>
        <v>10</v>
      </c>
      <c r="P187" s="12">
        <v>113</v>
      </c>
      <c r="R187" s="3"/>
      <c r="S187" s="3"/>
      <c r="T187" s="1"/>
      <c r="V187" s="7"/>
      <c r="W187" s="15"/>
    </row>
    <row r="188" spans="1:23" x14ac:dyDescent="0.25">
      <c r="A188" s="3"/>
      <c r="C188" s="3"/>
      <c r="D188" s="49"/>
      <c r="E188" s="3"/>
      <c r="F188" s="3"/>
      <c r="G188" s="3"/>
    </row>
    <row r="189" spans="1:23" x14ac:dyDescent="0.25">
      <c r="A189" s="3" t="s">
        <v>164</v>
      </c>
      <c r="B189" s="3" t="s">
        <v>419</v>
      </c>
      <c r="C189" s="3" t="s">
        <v>163</v>
      </c>
      <c r="D189" s="49"/>
      <c r="E189" s="3" t="s">
        <v>287</v>
      </c>
      <c r="F189" s="3" t="s">
        <v>7</v>
      </c>
      <c r="G189" s="3" t="s">
        <v>149</v>
      </c>
      <c r="I189" s="8">
        <v>215.51</v>
      </c>
      <c r="J189" s="8">
        <v>202</v>
      </c>
      <c r="K189" s="8">
        <v>14.8</v>
      </c>
      <c r="L189" s="8">
        <f>SUM(K189)</f>
        <v>14.8</v>
      </c>
      <c r="M189" s="13">
        <f>ROUNDUP(L189,0)</f>
        <v>15</v>
      </c>
      <c r="N189" s="7">
        <f>I189-J189</f>
        <v>13.509999999999991</v>
      </c>
      <c r="O189" s="13">
        <f>ROUNDUP(N189,0)</f>
        <v>14</v>
      </c>
      <c r="P189" s="12">
        <v>120</v>
      </c>
    </row>
    <row r="190" spans="1:23" x14ac:dyDescent="0.25">
      <c r="A190" s="3"/>
      <c r="C190" s="3"/>
      <c r="D190" s="49"/>
      <c r="E190" s="3"/>
      <c r="F190" s="3"/>
      <c r="G190" s="3"/>
    </row>
    <row r="191" spans="1:23" x14ac:dyDescent="0.25">
      <c r="A191" s="3" t="s">
        <v>167</v>
      </c>
      <c r="B191" s="3" t="s">
        <v>140</v>
      </c>
      <c r="C191" s="3" t="s">
        <v>499</v>
      </c>
      <c r="D191" s="49"/>
      <c r="E191" s="3" t="s">
        <v>500</v>
      </c>
      <c r="F191" s="3" t="s">
        <v>501</v>
      </c>
      <c r="G191" s="3" t="s">
        <v>300</v>
      </c>
      <c r="I191" s="8">
        <v>80.319999999999993</v>
      </c>
      <c r="K191" s="8">
        <f>0.37+0.86+6.53+61.06+5.34+2.88</f>
        <v>77.040000000000006</v>
      </c>
      <c r="L191" s="8">
        <f>SUM(K191)</f>
        <v>77.040000000000006</v>
      </c>
      <c r="M191" s="13">
        <f>ROUNDUP(L191,0)</f>
        <v>78</v>
      </c>
      <c r="N191" s="7">
        <f t="shared" ref="N191:N218" si="5">I191-J191</f>
        <v>80.319999999999993</v>
      </c>
      <c r="O191" s="13">
        <f>ROUNDUP(N191,0)</f>
        <v>81</v>
      </c>
      <c r="P191" s="12">
        <v>110</v>
      </c>
      <c r="S191" s="4" t="s">
        <v>502</v>
      </c>
    </row>
    <row r="192" spans="1:23" x14ac:dyDescent="0.25">
      <c r="N192" s="7">
        <f t="shared" si="5"/>
        <v>0</v>
      </c>
    </row>
    <row r="193" spans="1:23" x14ac:dyDescent="0.25">
      <c r="A193" s="3" t="s">
        <v>167</v>
      </c>
      <c r="B193" s="3" t="s">
        <v>171</v>
      </c>
      <c r="C193" s="3" t="s">
        <v>136</v>
      </c>
      <c r="D193" s="49"/>
      <c r="E193" s="4" t="s">
        <v>288</v>
      </c>
      <c r="F193" s="3" t="s">
        <v>7</v>
      </c>
      <c r="G193" s="3" t="s">
        <v>149</v>
      </c>
      <c r="I193" s="8">
        <v>64.52</v>
      </c>
      <c r="K193" s="8">
        <f>49.53+3.14+7.3+0.94</f>
        <v>60.91</v>
      </c>
      <c r="L193" s="8">
        <f>SUM(K193)</f>
        <v>60.91</v>
      </c>
      <c r="M193" s="13">
        <f>ROUNDUP(L193,0)</f>
        <v>61</v>
      </c>
      <c r="N193" s="7">
        <f t="shared" si="5"/>
        <v>64.52</v>
      </c>
      <c r="O193" s="13">
        <f>ROUNDUP(N193,0)</f>
        <v>65</v>
      </c>
      <c r="P193" s="12">
        <v>110</v>
      </c>
    </row>
    <row r="194" spans="1:23" x14ac:dyDescent="0.25">
      <c r="C194" s="3" t="s">
        <v>137</v>
      </c>
      <c r="D194" s="49"/>
      <c r="E194" s="4" t="s">
        <v>289</v>
      </c>
      <c r="F194" s="3" t="s">
        <v>290</v>
      </c>
      <c r="G194" s="3" t="s">
        <v>291</v>
      </c>
      <c r="N194" s="7">
        <f t="shared" si="5"/>
        <v>0</v>
      </c>
    </row>
    <row r="195" spans="1:23" x14ac:dyDescent="0.25">
      <c r="C195" s="3" t="s">
        <v>423</v>
      </c>
      <c r="D195" s="49"/>
      <c r="E195" s="4" t="s">
        <v>288</v>
      </c>
      <c r="F195" s="3" t="s">
        <v>7</v>
      </c>
      <c r="G195" s="3" t="s">
        <v>149</v>
      </c>
      <c r="N195" s="7">
        <f t="shared" si="5"/>
        <v>0</v>
      </c>
    </row>
    <row r="196" spans="1:23" ht="4.05" customHeight="1" x14ac:dyDescent="0.25">
      <c r="A196" s="3"/>
      <c r="C196" s="30"/>
      <c r="D196" s="48"/>
      <c r="E196" s="3"/>
      <c r="F196" s="3"/>
      <c r="G196" s="3"/>
      <c r="M196" s="13"/>
    </row>
    <row r="197" spans="1:23" x14ac:dyDescent="0.25">
      <c r="A197" s="3" t="s">
        <v>401</v>
      </c>
      <c r="B197" s="3" t="s">
        <v>64</v>
      </c>
      <c r="C197" s="30" t="s">
        <v>468</v>
      </c>
      <c r="D197" s="48" t="s">
        <v>529</v>
      </c>
      <c r="E197" s="3" t="s">
        <v>234</v>
      </c>
      <c r="F197" s="3" t="s">
        <v>7</v>
      </c>
      <c r="G197" s="3" t="s">
        <v>149</v>
      </c>
      <c r="I197" s="8">
        <v>67.709999999999994</v>
      </c>
      <c r="K197" s="8">
        <f>0.25+0.39+65.69+0.12</f>
        <v>66.45</v>
      </c>
      <c r="L197" s="8">
        <f>SUM(K197)</f>
        <v>66.45</v>
      </c>
      <c r="M197" s="13">
        <f>ROUNDUP(L197,0)</f>
        <v>67</v>
      </c>
    </row>
    <row r="198" spans="1:23" x14ac:dyDescent="0.25">
      <c r="N198" s="7">
        <f t="shared" si="5"/>
        <v>0</v>
      </c>
    </row>
    <row r="199" spans="1:23" x14ac:dyDescent="0.25">
      <c r="N199" s="7">
        <f t="shared" si="5"/>
        <v>0</v>
      </c>
    </row>
    <row r="200" spans="1:23" x14ac:dyDescent="0.25">
      <c r="A200" s="3" t="s">
        <v>167</v>
      </c>
      <c r="B200" s="3" t="s">
        <v>14</v>
      </c>
      <c r="C200" s="3" t="s">
        <v>168</v>
      </c>
      <c r="D200" s="49"/>
      <c r="E200" s="3" t="s">
        <v>172</v>
      </c>
      <c r="F200" s="3" t="s">
        <v>293</v>
      </c>
      <c r="G200" s="3" t="s">
        <v>292</v>
      </c>
      <c r="H200" s="10">
        <v>33.44</v>
      </c>
      <c r="I200" s="8">
        <f>SUM(H200:H201)</f>
        <v>41.209999999999994</v>
      </c>
      <c r="K200" s="8">
        <f>1.36+33.49</f>
        <v>34.85</v>
      </c>
      <c r="L200" s="8">
        <f>SUM(K200:K201)</f>
        <v>43.54</v>
      </c>
      <c r="M200" s="13">
        <f>ROUNDUP(L200,0)</f>
        <v>44</v>
      </c>
      <c r="N200" s="7">
        <f t="shared" si="5"/>
        <v>41.209999999999994</v>
      </c>
      <c r="O200" s="13">
        <f>ROUNDUP(N200,0)</f>
        <v>42</v>
      </c>
      <c r="P200" s="12">
        <v>110</v>
      </c>
    </row>
    <row r="201" spans="1:23" x14ac:dyDescent="0.25">
      <c r="B201" s="3" t="s">
        <v>69</v>
      </c>
      <c r="C201" s="3" t="s">
        <v>294</v>
      </c>
      <c r="D201" s="49"/>
      <c r="E201" s="3" t="s">
        <v>295</v>
      </c>
      <c r="F201" s="3" t="s">
        <v>4</v>
      </c>
      <c r="G201" s="3" t="s">
        <v>147</v>
      </c>
      <c r="H201" s="10">
        <v>7.77</v>
      </c>
      <c r="K201" s="8">
        <f>8.35+0.34</f>
        <v>8.69</v>
      </c>
      <c r="N201" s="7">
        <f t="shared" si="5"/>
        <v>0</v>
      </c>
      <c r="P201" s="12">
        <v>110</v>
      </c>
    </row>
    <row r="202" spans="1:23" x14ac:dyDescent="0.25">
      <c r="C202" s="3" t="s">
        <v>169</v>
      </c>
      <c r="D202" s="49"/>
      <c r="E202" s="3" t="s">
        <v>296</v>
      </c>
      <c r="F202" s="3" t="s">
        <v>4</v>
      </c>
      <c r="G202" s="3" t="s">
        <v>147</v>
      </c>
      <c r="N202" s="7">
        <f t="shared" si="5"/>
        <v>0</v>
      </c>
    </row>
    <row r="203" spans="1:23" x14ac:dyDescent="0.25">
      <c r="C203" s="3"/>
      <c r="D203" s="49"/>
      <c r="E203" s="3"/>
      <c r="F203" s="3"/>
      <c r="G203" s="3"/>
      <c r="N203" s="7">
        <f t="shared" si="5"/>
        <v>0</v>
      </c>
    </row>
    <row r="204" spans="1:23" x14ac:dyDescent="0.25">
      <c r="A204" s="3" t="s">
        <v>167</v>
      </c>
      <c r="B204" s="3" t="s">
        <v>15</v>
      </c>
      <c r="C204" s="3" t="s">
        <v>389</v>
      </c>
      <c r="D204" s="49"/>
      <c r="E204" s="3" t="s">
        <v>388</v>
      </c>
      <c r="F204" s="3" t="s">
        <v>29</v>
      </c>
      <c r="G204" s="3" t="s">
        <v>30</v>
      </c>
      <c r="I204" s="8">
        <v>215.3</v>
      </c>
      <c r="K204" s="8">
        <f>113.83+94.79</f>
        <v>208.62</v>
      </c>
      <c r="L204" s="8">
        <f>SUM(K204)</f>
        <v>208.62</v>
      </c>
      <c r="M204" s="13">
        <f>ROUNDUP(L204,0)</f>
        <v>209</v>
      </c>
      <c r="N204" s="7">
        <f t="shared" si="5"/>
        <v>215.3</v>
      </c>
      <c r="O204" s="13">
        <f>ROUNDUP(N204,0)</f>
        <v>216</v>
      </c>
      <c r="P204" s="12">
        <v>110</v>
      </c>
    </row>
    <row r="205" spans="1:23" ht="15.6" x14ac:dyDescent="0.3">
      <c r="N205" s="7">
        <f t="shared" si="5"/>
        <v>0</v>
      </c>
      <c r="R205" s="1" t="s">
        <v>167</v>
      </c>
      <c r="S205" s="1"/>
      <c r="T205" s="1" t="s">
        <v>307</v>
      </c>
      <c r="V205" s="7">
        <f>SUM(N191:N208)</f>
        <v>404.17999999999995</v>
      </c>
      <c r="W205" s="15">
        <f>SUM(O191:O208)</f>
        <v>407</v>
      </c>
    </row>
    <row r="206" spans="1:23" ht="15.6" x14ac:dyDescent="0.3">
      <c r="N206" s="7">
        <f t="shared" si="5"/>
        <v>0</v>
      </c>
      <c r="R206" s="3"/>
      <c r="S206" s="3"/>
      <c r="T206" s="1" t="s">
        <v>305</v>
      </c>
      <c r="V206" s="7"/>
      <c r="W206" s="15">
        <f>COUNT(O191:O208)</f>
        <v>5</v>
      </c>
    </row>
    <row r="207" spans="1:23" ht="15.6" x14ac:dyDescent="0.3">
      <c r="A207" s="3" t="s">
        <v>167</v>
      </c>
      <c r="B207" s="3" t="s">
        <v>143</v>
      </c>
      <c r="C207" s="3" t="s">
        <v>452</v>
      </c>
      <c r="D207" s="49"/>
      <c r="E207" s="3" t="s">
        <v>453</v>
      </c>
      <c r="F207" s="3"/>
      <c r="G207" s="3"/>
      <c r="I207" s="8">
        <v>2.83</v>
      </c>
      <c r="K207" s="8">
        <f>0.38+2.72</f>
        <v>3.1</v>
      </c>
      <c r="L207" s="8">
        <f>SUM(K207)</f>
        <v>3.1</v>
      </c>
      <c r="M207" s="13">
        <f>ROUNDUP(L207,0)</f>
        <v>4</v>
      </c>
      <c r="N207" s="7">
        <f t="shared" si="5"/>
        <v>2.83</v>
      </c>
      <c r="O207" s="13">
        <f>ROUNDUP(N207,0)</f>
        <v>3</v>
      </c>
      <c r="P207" s="12">
        <v>120</v>
      </c>
      <c r="R207" s="3"/>
      <c r="S207" s="3"/>
      <c r="T207" s="1" t="s">
        <v>306</v>
      </c>
      <c r="V207" s="7"/>
      <c r="W207" s="15">
        <f>W205/W206</f>
        <v>81.400000000000006</v>
      </c>
    </row>
    <row r="208" spans="1:23" x14ac:dyDescent="0.25">
      <c r="A208" s="3"/>
      <c r="C208" s="3"/>
      <c r="D208" s="49"/>
      <c r="E208" s="3"/>
      <c r="F208" s="3"/>
      <c r="G208" s="3"/>
    </row>
    <row r="209" spans="1:23" x14ac:dyDescent="0.25">
      <c r="A209" s="3" t="s">
        <v>108</v>
      </c>
      <c r="B209" s="3" t="s">
        <v>139</v>
      </c>
      <c r="C209" s="3" t="s">
        <v>424</v>
      </c>
      <c r="D209" s="49"/>
      <c r="E209" s="3" t="s">
        <v>425</v>
      </c>
      <c r="F209" s="3" t="s">
        <v>426</v>
      </c>
      <c r="G209" s="3" t="s">
        <v>12</v>
      </c>
      <c r="I209" s="8">
        <v>32.32</v>
      </c>
      <c r="K209" s="8">
        <f>32.83+0.16</f>
        <v>32.989999999999995</v>
      </c>
      <c r="L209" s="8">
        <f>SUM(K209)</f>
        <v>32.989999999999995</v>
      </c>
      <c r="M209" s="13">
        <f>ROUNDUP(L209,0)</f>
        <v>33</v>
      </c>
      <c r="N209" s="7">
        <f t="shared" si="5"/>
        <v>32.32</v>
      </c>
      <c r="O209" s="13">
        <f>ROUNDUP(N209,0)</f>
        <v>33</v>
      </c>
      <c r="P209" s="12">
        <v>110</v>
      </c>
    </row>
    <row r="210" spans="1:23" x14ac:dyDescent="0.25">
      <c r="N210" s="7">
        <f t="shared" si="5"/>
        <v>0</v>
      </c>
    </row>
    <row r="211" spans="1:23" x14ac:dyDescent="0.25">
      <c r="A211" s="3" t="s">
        <v>108</v>
      </c>
      <c r="B211" s="3" t="s">
        <v>15</v>
      </c>
      <c r="C211" s="3" t="s">
        <v>152</v>
      </c>
      <c r="D211" s="49"/>
      <c r="E211" s="4" t="s">
        <v>297</v>
      </c>
      <c r="F211" s="4" t="s">
        <v>298</v>
      </c>
      <c r="G211" s="3" t="s">
        <v>299</v>
      </c>
      <c r="I211" s="8">
        <v>10.73</v>
      </c>
      <c r="K211" s="8">
        <f>7.53+0.43+3.68+0.24+2.05</f>
        <v>13.93</v>
      </c>
      <c r="L211" s="8">
        <f>SUM(K211)</f>
        <v>13.93</v>
      </c>
      <c r="M211" s="13">
        <f>ROUNDUP(L211,0)</f>
        <v>14</v>
      </c>
      <c r="N211" s="7">
        <f t="shared" si="5"/>
        <v>10.73</v>
      </c>
      <c r="O211" s="13">
        <f>ROUNDUP(N211,0)</f>
        <v>11</v>
      </c>
      <c r="P211" s="12">
        <v>110</v>
      </c>
    </row>
    <row r="212" spans="1:23" x14ac:dyDescent="0.25">
      <c r="A212" s="3"/>
      <c r="C212" s="3"/>
      <c r="D212" s="49"/>
      <c r="G212" s="3"/>
    </row>
    <row r="213" spans="1:23" s="40" customFormat="1" x14ac:dyDescent="0.25">
      <c r="A213" s="39" t="s">
        <v>174</v>
      </c>
      <c r="B213" s="39" t="s">
        <v>532</v>
      </c>
      <c r="C213" s="39" t="s">
        <v>531</v>
      </c>
      <c r="D213" s="50"/>
      <c r="E213" s="39" t="s">
        <v>533</v>
      </c>
      <c r="F213" s="39" t="s">
        <v>534</v>
      </c>
      <c r="G213" s="39" t="s">
        <v>527</v>
      </c>
      <c r="H213" s="41"/>
      <c r="I213" s="42">
        <v>76.48</v>
      </c>
      <c r="J213" s="42"/>
      <c r="K213" s="42">
        <f>0.56+17.87+43.41+0.21+2.95+10.78-1.24+87.1</f>
        <v>161.63999999999999</v>
      </c>
      <c r="L213" s="42">
        <f>SUM(K213)</f>
        <v>161.63999999999999</v>
      </c>
      <c r="M213" s="44">
        <f>ROUNDUP(L213,0)</f>
        <v>162</v>
      </c>
      <c r="N213" s="43">
        <f t="shared" si="5"/>
        <v>76.48</v>
      </c>
      <c r="O213" s="44">
        <f>ROUNDUP(N213,0)</f>
        <v>77</v>
      </c>
      <c r="P213" s="45">
        <v>110</v>
      </c>
      <c r="Q213" s="45"/>
      <c r="R213" s="56" t="s">
        <v>542</v>
      </c>
      <c r="S213" s="46"/>
    </row>
    <row r="214" spans="1:23" x14ac:dyDescent="0.25">
      <c r="A214" s="3"/>
      <c r="C214" s="3"/>
      <c r="D214" s="49"/>
      <c r="E214" s="3"/>
      <c r="F214" s="3"/>
      <c r="G214" s="3"/>
    </row>
    <row r="215" spans="1:23" x14ac:dyDescent="0.25">
      <c r="A215" s="3" t="s">
        <v>108</v>
      </c>
      <c r="B215" s="3" t="s">
        <v>75</v>
      </c>
      <c r="C215" s="3" t="s">
        <v>99</v>
      </c>
      <c r="D215" s="49"/>
      <c r="E215" s="3" t="s">
        <v>245</v>
      </c>
      <c r="F215" s="3" t="s">
        <v>7</v>
      </c>
      <c r="G215" s="3" t="s">
        <v>149</v>
      </c>
      <c r="I215" s="8">
        <v>69.33</v>
      </c>
      <c r="K215" s="8">
        <f>1.78+12.53+40.46+0.39+0.73+8+0.31+4.3</f>
        <v>68.499999999999986</v>
      </c>
      <c r="L215" s="8">
        <f>SUM(K215)</f>
        <v>68.499999999999986</v>
      </c>
      <c r="M215" s="13">
        <f>ROUNDUP(L215,0)</f>
        <v>69</v>
      </c>
      <c r="N215" s="7">
        <f>I215-J215</f>
        <v>69.33</v>
      </c>
      <c r="O215" s="13">
        <f>ROUNDUP(N215,0)</f>
        <v>70</v>
      </c>
      <c r="P215" s="12">
        <v>110</v>
      </c>
    </row>
    <row r="216" spans="1:23" x14ac:dyDescent="0.25">
      <c r="A216" s="3"/>
      <c r="C216" s="3"/>
      <c r="D216" s="49"/>
      <c r="E216" s="3"/>
      <c r="F216" s="3"/>
      <c r="G216" s="3"/>
    </row>
    <row r="217" spans="1:23" ht="15.6" x14ac:dyDescent="0.3">
      <c r="A217" s="3" t="s">
        <v>108</v>
      </c>
      <c r="B217" s="3" t="s">
        <v>301</v>
      </c>
      <c r="C217" s="3" t="s">
        <v>145</v>
      </c>
      <c r="D217" s="49"/>
      <c r="E217" s="3" t="s">
        <v>302</v>
      </c>
      <c r="F217" s="3" t="s">
        <v>303</v>
      </c>
      <c r="G217" s="3" t="s">
        <v>146</v>
      </c>
      <c r="I217" s="8">
        <v>252</v>
      </c>
      <c r="K217" s="8">
        <f>0.27+2.06+1.65+57.8+193.9</f>
        <v>255.68</v>
      </c>
      <c r="L217" s="8">
        <f>SUM(K217)</f>
        <v>255.68</v>
      </c>
      <c r="M217" s="13">
        <f>ROUNDUP(L217,0)</f>
        <v>256</v>
      </c>
      <c r="N217" s="7">
        <f t="shared" si="5"/>
        <v>252</v>
      </c>
      <c r="O217" s="13">
        <f>ROUNDUP(N217,0)</f>
        <v>252</v>
      </c>
      <c r="P217" s="12">
        <v>110</v>
      </c>
      <c r="R217" s="1" t="s">
        <v>108</v>
      </c>
      <c r="S217" s="1"/>
      <c r="T217" s="1" t="s">
        <v>307</v>
      </c>
      <c r="V217" s="13">
        <f>SUM(N209:N220)</f>
        <v>559.14</v>
      </c>
      <c r="W217" s="15">
        <f>SUM(O209:O220)</f>
        <v>562</v>
      </c>
    </row>
    <row r="218" spans="1:23" ht="15.6" x14ac:dyDescent="0.3">
      <c r="N218" s="7">
        <f t="shared" si="5"/>
        <v>0</v>
      </c>
      <c r="R218" s="3"/>
      <c r="S218" s="3"/>
      <c r="T218" s="1" t="s">
        <v>305</v>
      </c>
      <c r="V218" s="7"/>
      <c r="W218" s="15">
        <f>COUNT(O209:O220)</f>
        <v>6</v>
      </c>
    </row>
    <row r="219" spans="1:23" ht="15.6" x14ac:dyDescent="0.3">
      <c r="A219" s="4" t="s">
        <v>108</v>
      </c>
      <c r="B219" s="3" t="s">
        <v>304</v>
      </c>
      <c r="C219" s="3" t="s">
        <v>427</v>
      </c>
      <c r="D219" s="49"/>
      <c r="E219" s="3"/>
      <c r="F219" s="3"/>
      <c r="G219" s="3" t="s">
        <v>71</v>
      </c>
      <c r="I219" s="8">
        <v>118.28</v>
      </c>
      <c r="K219" s="8">
        <v>121.95</v>
      </c>
      <c r="L219" s="8">
        <f>SUM(K219)</f>
        <v>121.95</v>
      </c>
      <c r="M219" s="13">
        <f>ROUNDUP(L219,0)</f>
        <v>122</v>
      </c>
      <c r="N219" s="7">
        <f>I219-J219</f>
        <v>118.28</v>
      </c>
      <c r="O219" s="13">
        <f>ROUNDUP(N219,0)</f>
        <v>119</v>
      </c>
      <c r="P219" s="12">
        <v>110</v>
      </c>
      <c r="R219" s="3"/>
      <c r="S219" s="3"/>
      <c r="T219" s="1" t="s">
        <v>306</v>
      </c>
      <c r="V219" s="7"/>
      <c r="W219" s="15">
        <f>W217/W218</f>
        <v>93.666666666666671</v>
      </c>
    </row>
    <row r="220" spans="1:23" x14ac:dyDescent="0.25">
      <c r="C220" s="3" t="s">
        <v>428</v>
      </c>
      <c r="D220" s="49"/>
      <c r="E220" s="3"/>
      <c r="F220" s="3"/>
      <c r="G220" s="3" t="s">
        <v>71</v>
      </c>
    </row>
    <row r="221" spans="1:23" x14ac:dyDescent="0.25">
      <c r="C221" s="3"/>
      <c r="D221" s="49"/>
      <c r="E221" s="3"/>
      <c r="F221" s="3"/>
      <c r="G221" s="3"/>
    </row>
    <row r="222" spans="1:23" ht="15.6" x14ac:dyDescent="0.3">
      <c r="A222" s="3"/>
      <c r="C222" s="3"/>
      <c r="D222" s="49"/>
      <c r="F222" s="3"/>
      <c r="G222" s="3"/>
      <c r="R222" s="1" t="s">
        <v>49</v>
      </c>
      <c r="S222" s="1"/>
      <c r="T222" s="1" t="s">
        <v>307</v>
      </c>
      <c r="V222" s="7">
        <f>SUM(N222:N223)</f>
        <v>0</v>
      </c>
      <c r="W222" s="15">
        <f>SUM(O222:O223)</f>
        <v>0</v>
      </c>
    </row>
    <row r="223" spans="1:23" ht="15.6" x14ac:dyDescent="0.3">
      <c r="A223" s="3"/>
      <c r="C223" s="3"/>
      <c r="D223" s="49"/>
      <c r="F223" s="3"/>
      <c r="G223" s="3"/>
      <c r="R223" s="3"/>
      <c r="S223" s="3"/>
      <c r="T223" s="1" t="s">
        <v>305</v>
      </c>
      <c r="V223" s="7"/>
      <c r="W223" s="15">
        <v>1</v>
      </c>
    </row>
    <row r="225" spans="1:19" ht="15.6" x14ac:dyDescent="0.3">
      <c r="A225" s="2" t="s">
        <v>309</v>
      </c>
      <c r="C225" s="1" t="s">
        <v>307</v>
      </c>
      <c r="D225" s="52"/>
      <c r="N225" s="7">
        <f>SUM(N2:N224)</f>
        <v>5884.0899999999983</v>
      </c>
      <c r="O225" s="15">
        <f>SUMIF(O3:O222,"&gt;0")</f>
        <v>5918</v>
      </c>
    </row>
    <row r="226" spans="1:19" ht="15.6" x14ac:dyDescent="0.3">
      <c r="C226" s="1" t="s">
        <v>305</v>
      </c>
      <c r="D226" s="52"/>
      <c r="O226" s="15">
        <f>COUNTIF(O3:O222,"&gt;0")</f>
        <v>73</v>
      </c>
    </row>
    <row r="227" spans="1:19" ht="15.6" x14ac:dyDescent="0.3">
      <c r="C227" s="1" t="s">
        <v>306</v>
      </c>
      <c r="D227" s="52"/>
      <c r="O227" s="15">
        <f>O225/O226</f>
        <v>81.06849315068493</v>
      </c>
    </row>
    <row r="229" spans="1:19" ht="15.6" x14ac:dyDescent="0.3">
      <c r="C229" s="2" t="s">
        <v>371</v>
      </c>
      <c r="D229" s="53"/>
      <c r="O229" s="15">
        <f>COUNTIF(O3:O222,"&gt;100")</f>
        <v>16</v>
      </c>
      <c r="P229" s="24">
        <f>O229/O226</f>
        <v>0.21917808219178081</v>
      </c>
      <c r="Q229" s="24"/>
    </row>
    <row r="230" spans="1:19" ht="15.6" x14ac:dyDescent="0.3">
      <c r="C230" s="2" t="s">
        <v>372</v>
      </c>
      <c r="D230" s="53"/>
      <c r="O230" s="15">
        <f>SUMIF(O3:O222,"&gt;100")</f>
        <v>4477</v>
      </c>
      <c r="P230" s="24">
        <f>O230/O225</f>
        <v>0.75650557620817849</v>
      </c>
      <c r="Q230" s="24"/>
    </row>
    <row r="231" spans="1:19" ht="15.6" x14ac:dyDescent="0.3">
      <c r="C231" s="2" t="s">
        <v>306</v>
      </c>
      <c r="D231" s="53"/>
      <c r="O231" s="15">
        <f>O230/O229</f>
        <v>279.8125</v>
      </c>
    </row>
    <row r="232" spans="1:19" ht="15.6" x14ac:dyDescent="0.3">
      <c r="C232" s="2"/>
      <c r="D232" s="53"/>
      <c r="O232" s="15"/>
    </row>
    <row r="233" spans="1:19" ht="15.6" x14ac:dyDescent="0.3">
      <c r="C233" s="2" t="s">
        <v>373</v>
      </c>
      <c r="D233" s="53"/>
      <c r="H233" s="4"/>
      <c r="I233" s="4"/>
      <c r="N233" s="4"/>
      <c r="O233" s="15">
        <f>COUNTIF(O3:O222,"&gt;75")</f>
        <v>19</v>
      </c>
      <c r="P233" s="24">
        <f>O233/O226</f>
        <v>0.26027397260273971</v>
      </c>
      <c r="Q233" s="24"/>
      <c r="R233" s="4"/>
      <c r="S233" s="4" t="s">
        <v>316</v>
      </c>
    </row>
    <row r="234" spans="1:19" ht="15.6" x14ac:dyDescent="0.3">
      <c r="C234" s="2" t="s">
        <v>372</v>
      </c>
      <c r="D234" s="53"/>
      <c r="H234" s="4"/>
      <c r="I234" s="4"/>
      <c r="N234" s="4"/>
      <c r="O234" s="15">
        <f>SUMIF(O3:O222,"&gt;75")</f>
        <v>4722</v>
      </c>
      <c r="P234" s="25">
        <f>O234/O225</f>
        <v>0.79790469753295035</v>
      </c>
      <c r="Q234" s="25"/>
      <c r="R234" s="4"/>
      <c r="S234" s="4" t="s">
        <v>321</v>
      </c>
    </row>
    <row r="235" spans="1:19" ht="15.6" x14ac:dyDescent="0.3">
      <c r="C235" s="2" t="s">
        <v>306</v>
      </c>
      <c r="D235" s="53"/>
      <c r="H235" s="4"/>
      <c r="I235" s="4"/>
      <c r="N235" s="4"/>
      <c r="O235" s="15">
        <f>O234/O233</f>
        <v>248.52631578947367</v>
      </c>
      <c r="P235" s="4"/>
      <c r="Q235" s="4"/>
      <c r="R235" s="4"/>
    </row>
    <row r="236" spans="1:19" ht="15.6" x14ac:dyDescent="0.3">
      <c r="C236" s="2"/>
      <c r="D236" s="53"/>
      <c r="O236" s="15"/>
    </row>
    <row r="237" spans="1:19" ht="15.6" x14ac:dyDescent="0.3">
      <c r="C237" s="2" t="s">
        <v>474</v>
      </c>
      <c r="D237" s="53"/>
      <c r="H237" s="4"/>
      <c r="I237" s="4"/>
      <c r="N237" s="4"/>
      <c r="O237" s="15">
        <f>COUNTIF(O3:O219,"&lt;=2")</f>
        <v>14</v>
      </c>
      <c r="P237" s="24">
        <f>O237/O230</f>
        <v>3.1270940361849452E-3</v>
      </c>
      <c r="Q237" s="24"/>
      <c r="R237" s="4"/>
    </row>
    <row r="238" spans="1:19" ht="15.6" x14ac:dyDescent="0.3">
      <c r="C238" s="2" t="s">
        <v>372</v>
      </c>
      <c r="D238" s="53"/>
      <c r="H238" s="4"/>
      <c r="I238" s="4"/>
      <c r="N238" s="4"/>
      <c r="O238" s="15">
        <f>SUMIF(N3:N222,"&lt;=2")</f>
        <v>9.1300000000000008</v>
      </c>
      <c r="P238" s="25">
        <f>O238/O225</f>
        <v>1.5427509293680299E-3</v>
      </c>
      <c r="Q238" s="25"/>
      <c r="R238" s="4"/>
    </row>
    <row r="239" spans="1:19" ht="15.6" x14ac:dyDescent="0.3">
      <c r="C239" s="2" t="s">
        <v>306</v>
      </c>
      <c r="D239" s="53"/>
      <c r="H239" s="4"/>
      <c r="I239" s="4"/>
      <c r="N239" s="4"/>
      <c r="O239" s="15">
        <f>O238/O237</f>
        <v>0.65214285714285725</v>
      </c>
      <c r="P239" s="4"/>
      <c r="Q239" s="4"/>
      <c r="R239" s="4"/>
    </row>
    <row r="244" spans="1:16" x14ac:dyDescent="0.25">
      <c r="A244" s="3" t="s">
        <v>164</v>
      </c>
      <c r="B244" s="3" t="s">
        <v>126</v>
      </c>
      <c r="C244" s="3" t="s">
        <v>416</v>
      </c>
      <c r="D244" s="49"/>
      <c r="E244" s="3"/>
      <c r="F244" s="3"/>
      <c r="G244" s="3"/>
      <c r="I244" s="8">
        <v>35.22</v>
      </c>
      <c r="J244" s="8">
        <f>I244-N244</f>
        <v>30.82</v>
      </c>
      <c r="N244" s="7">
        <v>4.4000000000000004</v>
      </c>
      <c r="O244" s="13">
        <f>ROUNDUP(N244,0)</f>
        <v>5</v>
      </c>
    </row>
    <row r="245" spans="1:16" x14ac:dyDescent="0.25">
      <c r="A245" s="3" t="s">
        <v>164</v>
      </c>
      <c r="B245" s="3" t="s">
        <v>128</v>
      </c>
      <c r="C245" s="3"/>
      <c r="D245" s="49"/>
      <c r="G245" s="3"/>
      <c r="I245" s="8">
        <v>9.34</v>
      </c>
      <c r="O245" s="13">
        <f>ROUNDUP(N245,0)</f>
        <v>0</v>
      </c>
      <c r="P245" s="12">
        <v>120</v>
      </c>
    </row>
    <row r="246" spans="1:16" x14ac:dyDescent="0.25">
      <c r="A246" s="3" t="s">
        <v>433</v>
      </c>
      <c r="B246" s="3" t="s">
        <v>9</v>
      </c>
      <c r="C246" s="3" t="s">
        <v>442</v>
      </c>
      <c r="D246" s="49"/>
      <c r="E246" s="3" t="s">
        <v>443</v>
      </c>
      <c r="F246" s="3" t="s">
        <v>444</v>
      </c>
      <c r="G246" s="3" t="s">
        <v>38</v>
      </c>
      <c r="I246" s="8">
        <v>56.89</v>
      </c>
      <c r="N246" s="7">
        <f>I163:I163</f>
        <v>0</v>
      </c>
      <c r="O246" s="13">
        <f>ROUNDUP(N246,0)</f>
        <v>0</v>
      </c>
      <c r="P246" s="12">
        <v>110</v>
      </c>
    </row>
  </sheetData>
  <phoneticPr fontId="8" type="noConversion"/>
  <printOptions gridLines="1"/>
  <pageMargins left="0.4" right="0.21" top="0.98425196850393704" bottom="0.98425196850393704" header="0.51181102362204722" footer="0.51181102362204722"/>
  <pageSetup paperSize="9" scale="68" fitToHeight="0" orientation="landscape" r:id="rId1"/>
  <headerFooter alignWithMargins="0">
    <oddHeader>&amp;C&amp;D&amp;F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21"/>
  <sheetViews>
    <sheetView showZeros="0" view="pageBreakPreview" topLeftCell="A130" zoomScale="75" zoomScaleNormal="75" zoomScaleSheetLayoutView="75" workbookViewId="0">
      <selection activeCell="C137" sqref="C137"/>
    </sheetView>
  </sheetViews>
  <sheetFormatPr defaultColWidth="9.21875" defaultRowHeight="15" x14ac:dyDescent="0.25"/>
  <cols>
    <col min="1" max="1" width="14" style="4" bestFit="1" customWidth="1"/>
    <col min="2" max="2" width="7.21875" style="4" bestFit="1" customWidth="1"/>
    <col min="3" max="3" width="24.77734375" style="4" customWidth="1"/>
    <col min="4" max="4" width="22.5546875" style="4" customWidth="1"/>
    <col min="5" max="5" width="8.77734375" style="4" customWidth="1"/>
    <col min="6" max="6" width="16.21875" style="4" customWidth="1"/>
    <col min="7" max="7" width="8.21875" style="10" hidden="1" customWidth="1"/>
    <col min="8" max="8" width="8.21875" style="8" hidden="1" customWidth="1"/>
    <col min="9" max="9" width="5.21875" style="11" hidden="1" customWidth="1"/>
    <col min="10" max="10" width="11.21875" style="7" hidden="1" customWidth="1"/>
    <col min="11" max="11" width="13.5546875" style="13" customWidth="1"/>
    <col min="12" max="12" width="6" style="26" customWidth="1"/>
    <col min="13" max="16" width="5.21875" style="26" hidden="1" customWidth="1"/>
    <col min="17" max="16384" width="9.21875" style="4"/>
  </cols>
  <sheetData>
    <row r="1" spans="1:16" x14ac:dyDescent="0.25">
      <c r="A1" s="3" t="str">
        <f>FEMTL!A1</f>
        <v>Hemman</v>
      </c>
      <c r="B1" s="3" t="str">
        <f>FEMTL!B1</f>
        <v>Littr.</v>
      </c>
      <c r="C1" s="3" t="str">
        <f>FEMTL!C1</f>
        <v>Namn</v>
      </c>
      <c r="D1" s="3" t="str">
        <f>FEMTL!E1</f>
        <v>Adress</v>
      </c>
      <c r="E1" s="3" t="str">
        <f>FEMTL!F1</f>
        <v>Postnr.</v>
      </c>
      <c r="F1" s="3" t="str">
        <f>FEMTL!G1</f>
        <v>Ort</v>
      </c>
      <c r="G1" s="10" t="str">
        <f>FEMTL!H1</f>
        <v>Del</v>
      </c>
      <c r="H1" s="32" t="str">
        <f>FEMTL!I1</f>
        <v>Tot,ha</v>
      </c>
      <c r="I1" s="11" t="str">
        <f>FEMTL!J1</f>
        <v>B-H</v>
      </c>
      <c r="J1" s="33" t="str">
        <f>FEMTL!N1</f>
        <v>Femt ha</v>
      </c>
      <c r="K1" s="34" t="str">
        <f>FEMTL!O1</f>
        <v>avrund ha</v>
      </c>
      <c r="L1" s="35">
        <v>100</v>
      </c>
      <c r="M1" s="35">
        <v>90</v>
      </c>
      <c r="N1" s="35">
        <v>80</v>
      </c>
      <c r="O1" s="35">
        <v>75</v>
      </c>
      <c r="P1" s="35">
        <v>25</v>
      </c>
    </row>
    <row r="2" spans="1:16" x14ac:dyDescent="0.25">
      <c r="A2" s="3">
        <f>FEMTL!A2</f>
        <v>0</v>
      </c>
      <c r="B2" s="3">
        <f>FEMTL!B2</f>
        <v>0</v>
      </c>
      <c r="C2" s="3">
        <f>FEMTL!C2</f>
        <v>0</v>
      </c>
      <c r="D2" s="3">
        <f>FEMTL!E2</f>
        <v>0</v>
      </c>
      <c r="E2" s="3">
        <f>FEMTL!F2</f>
        <v>0</v>
      </c>
      <c r="F2" s="3">
        <f>FEMTL!G2</f>
        <v>0</v>
      </c>
      <c r="G2" s="10">
        <f>FEMTL!H2</f>
        <v>0</v>
      </c>
      <c r="H2" s="8">
        <f>FEMTL!I2</f>
        <v>0</v>
      </c>
      <c r="I2" s="11">
        <f>FEMTL!J2</f>
        <v>0</v>
      </c>
      <c r="J2" s="7">
        <f>FEMTL!N2</f>
        <v>0</v>
      </c>
      <c r="K2" s="13">
        <f>FEMTL!O2</f>
        <v>0</v>
      </c>
    </row>
    <row r="3" spans="1:16" x14ac:dyDescent="0.25">
      <c r="A3" s="3" t="str">
        <f>FEMTL!A3</f>
        <v>Amnerud</v>
      </c>
      <c r="B3" s="3" t="str">
        <f>FEMTL!B3</f>
        <v>1:11</v>
      </c>
      <c r="C3" s="3" t="str">
        <f>FEMTL!C3</f>
        <v>Maria&amp;Christer Tillberg</v>
      </c>
      <c r="D3" s="3" t="str">
        <f>FEMTL!E3</f>
        <v>Backa 3</v>
      </c>
      <c r="E3" s="3" t="str">
        <f>FEMTL!F3</f>
        <v>680 63</v>
      </c>
      <c r="F3" s="3" t="str">
        <f>FEMTL!G3</f>
        <v>Likenäs</v>
      </c>
      <c r="G3" s="10">
        <f>FEMTL!H3</f>
        <v>0</v>
      </c>
      <c r="H3" s="8">
        <f>FEMTL!I3</f>
        <v>18.39</v>
      </c>
      <c r="I3" s="11">
        <f>FEMTL!J3</f>
        <v>0</v>
      </c>
      <c r="J3" s="7">
        <f>FEMTL!N3</f>
        <v>86.1</v>
      </c>
      <c r="K3" s="13">
        <f>FEMTL!O3</f>
        <v>87</v>
      </c>
      <c r="L3" s="26">
        <f>ROUNDUP((K3/100),0)</f>
        <v>1</v>
      </c>
      <c r="M3" s="26">
        <f>ROUNDUP((K3/90),0)</f>
        <v>1</v>
      </c>
      <c r="N3" s="26">
        <f>ROUNDUP((K3/80),0)</f>
        <v>2</v>
      </c>
      <c r="O3" s="26">
        <f>ROUNDUP((K3/75),0)</f>
        <v>2</v>
      </c>
      <c r="P3" s="26">
        <f>ROUNDUP((K3/25),0)</f>
        <v>4</v>
      </c>
    </row>
    <row r="4" spans="1:16" x14ac:dyDescent="0.25">
      <c r="A4" s="3" t="e">
        <f>FEMTL!#REF!</f>
        <v>#REF!</v>
      </c>
      <c r="B4" s="3" t="e">
        <f>FEMTL!#REF!</f>
        <v>#REF!</v>
      </c>
      <c r="C4" s="3" t="e">
        <f>FEMTL!#REF!</f>
        <v>#REF!</v>
      </c>
      <c r="D4" s="3" t="e">
        <f>FEMTL!#REF!</f>
        <v>#REF!</v>
      </c>
      <c r="E4" s="3" t="e">
        <f>FEMTL!#REF!</f>
        <v>#REF!</v>
      </c>
      <c r="F4" s="3" t="e">
        <f>FEMTL!#REF!</f>
        <v>#REF!</v>
      </c>
      <c r="G4" s="10" t="e">
        <f>FEMTL!#REF!</f>
        <v>#REF!</v>
      </c>
      <c r="H4" s="8" t="e">
        <f>FEMTL!#REF!</f>
        <v>#REF!</v>
      </c>
      <c r="I4" s="11" t="e">
        <f>FEMTL!#REF!</f>
        <v>#REF!</v>
      </c>
      <c r="J4" s="7" t="e">
        <f>FEMTL!#REF!</f>
        <v>#REF!</v>
      </c>
      <c r="K4" s="13" t="e">
        <f>FEMTL!#REF!</f>
        <v>#REF!</v>
      </c>
      <c r="L4" s="26" t="e">
        <f t="shared" ref="L4:L67" si="0">ROUNDUP((K4/100),0)</f>
        <v>#REF!</v>
      </c>
      <c r="M4" s="26" t="e">
        <f t="shared" ref="M4:M67" si="1">ROUNDUP((K4/90),0)</f>
        <v>#REF!</v>
      </c>
      <c r="N4" s="26" t="e">
        <f t="shared" ref="N4:N67" si="2">ROUNDUP((K4/80),0)</f>
        <v>#REF!</v>
      </c>
      <c r="O4" s="26" t="e">
        <f t="shared" ref="O4:O67" si="3">ROUNDUP((K4/75),0)</f>
        <v>#REF!</v>
      </c>
      <c r="P4" s="26" t="e">
        <f t="shared" ref="P4:P63" si="4">ROUNDUP((K4/25),0)</f>
        <v>#REF!</v>
      </c>
    </row>
    <row r="5" spans="1:16" x14ac:dyDescent="0.25">
      <c r="A5" s="3" t="str">
        <f>FEMTL!A15</f>
        <v>Amnerud</v>
      </c>
      <c r="B5" s="3" t="str">
        <f>FEMTL!B15</f>
        <v>1:12</v>
      </c>
      <c r="C5" s="3" t="str">
        <f>FEMTL!C15</f>
        <v>Allan Mattsson</v>
      </c>
      <c r="D5" s="3" t="str">
        <f>FEMTL!E15</f>
        <v>Horsensgatan 28</v>
      </c>
      <c r="E5" s="3" t="str">
        <f>FEMTL!F15</f>
        <v>654 67</v>
      </c>
      <c r="F5" s="3" t="str">
        <f>FEMTL!G15</f>
        <v>Karlstad</v>
      </c>
      <c r="G5" s="10">
        <f>FEMTL!H15</f>
        <v>0</v>
      </c>
      <c r="H5" s="8" t="str">
        <f>FEMTL!I15</f>
        <v>39,07</v>
      </c>
      <c r="I5" s="11" t="str">
        <f>FEMTL!J15</f>
        <v>18</v>
      </c>
      <c r="J5" s="7">
        <f>FEMTL!N15</f>
        <v>21.07</v>
      </c>
      <c r="K5" s="13">
        <f>FEMTL!O15</f>
        <v>22</v>
      </c>
      <c r="L5" s="26">
        <f t="shared" si="0"/>
        <v>1</v>
      </c>
      <c r="M5" s="26">
        <f t="shared" si="1"/>
        <v>1</v>
      </c>
      <c r="N5" s="26">
        <f t="shared" si="2"/>
        <v>1</v>
      </c>
      <c r="O5" s="26">
        <f t="shared" si="3"/>
        <v>1</v>
      </c>
      <c r="P5" s="26">
        <f t="shared" si="4"/>
        <v>1</v>
      </c>
    </row>
    <row r="6" spans="1:16" x14ac:dyDescent="0.25">
      <c r="A6" s="3">
        <f>FEMTL!A16</f>
        <v>0</v>
      </c>
      <c r="B6" s="3">
        <f>FEMTL!B16</f>
        <v>0</v>
      </c>
      <c r="C6" s="3">
        <f>FEMTL!C16</f>
        <v>0</v>
      </c>
      <c r="D6" s="3">
        <f>FEMTL!E16</f>
        <v>0</v>
      </c>
      <c r="E6" s="3">
        <f>FEMTL!F16</f>
        <v>0</v>
      </c>
      <c r="F6" s="3">
        <f>FEMTL!G16</f>
        <v>0</v>
      </c>
      <c r="G6" s="10">
        <f>FEMTL!H16</f>
        <v>0</v>
      </c>
      <c r="H6" s="8">
        <f>FEMTL!I16</f>
        <v>0</v>
      </c>
      <c r="I6" s="11">
        <f>FEMTL!J16</f>
        <v>0</v>
      </c>
      <c r="J6" s="7">
        <f>FEMTL!N16</f>
        <v>0</v>
      </c>
      <c r="K6" s="13">
        <f>FEMTL!O16</f>
        <v>0</v>
      </c>
      <c r="L6" s="26">
        <f t="shared" si="0"/>
        <v>0</v>
      </c>
      <c r="M6" s="26">
        <f t="shared" si="1"/>
        <v>0</v>
      </c>
      <c r="N6" s="26">
        <f t="shared" si="2"/>
        <v>0</v>
      </c>
      <c r="O6" s="26">
        <f t="shared" si="3"/>
        <v>0</v>
      </c>
      <c r="P6" s="26">
        <f t="shared" si="4"/>
        <v>0</v>
      </c>
    </row>
    <row r="7" spans="1:16" x14ac:dyDescent="0.25">
      <c r="A7" s="3" t="str">
        <f>FEMTL!A17</f>
        <v>Amnerud</v>
      </c>
      <c r="B7" s="3" t="str">
        <f>FEMTL!B17</f>
        <v>1:13</v>
      </c>
      <c r="C7" s="3" t="str">
        <f>FEMTL!C17</f>
        <v>Anna Melin-Nyström</v>
      </c>
      <c r="D7" s="3" t="str">
        <f>FEMTL!E17</f>
        <v>Vestby Bryggeri</v>
      </c>
      <c r="E7" s="3" t="str">
        <f>FEMTL!F17</f>
        <v>680 63</v>
      </c>
      <c r="F7" s="3" t="str">
        <f>FEMTL!G17</f>
        <v>Likenäs</v>
      </c>
      <c r="G7" s="10">
        <f>FEMTL!H17</f>
        <v>0</v>
      </c>
      <c r="H7" s="8">
        <f>FEMTL!I17</f>
        <v>430.58</v>
      </c>
      <c r="I7" s="11">
        <f>FEMTL!J17</f>
        <v>231</v>
      </c>
      <c r="J7" s="7">
        <f>FEMTL!N17</f>
        <v>273.37</v>
      </c>
      <c r="K7" s="13">
        <f>FEMTL!O17</f>
        <v>274</v>
      </c>
      <c r="L7" s="26">
        <f t="shared" si="0"/>
        <v>3</v>
      </c>
      <c r="M7" s="26">
        <f t="shared" si="1"/>
        <v>4</v>
      </c>
      <c r="N7" s="26">
        <f t="shared" si="2"/>
        <v>4</v>
      </c>
      <c r="O7" s="26">
        <f t="shared" si="3"/>
        <v>4</v>
      </c>
      <c r="P7" s="26">
        <f t="shared" si="4"/>
        <v>11</v>
      </c>
    </row>
    <row r="8" spans="1:16" x14ac:dyDescent="0.25">
      <c r="A8" s="3" t="str">
        <f>FEMTL!A18</f>
        <v>Bänteby</v>
      </c>
      <c r="B8" s="3" t="str">
        <f>FEMTL!B18</f>
        <v>1:38</v>
      </c>
      <c r="C8" s="3">
        <f>FEMTL!C18</f>
        <v>0</v>
      </c>
      <c r="D8" s="3">
        <f>FEMTL!E18</f>
        <v>0</v>
      </c>
      <c r="E8" s="3">
        <f>FEMTL!F18</f>
        <v>0</v>
      </c>
      <c r="F8" s="3">
        <f>FEMTL!G18</f>
        <v>0</v>
      </c>
      <c r="G8" s="10">
        <f>FEMTL!H18</f>
        <v>0</v>
      </c>
      <c r="H8" s="8">
        <f>FEMTL!I18</f>
        <v>16.37</v>
      </c>
      <c r="I8" s="11">
        <f>FEMTL!J18</f>
        <v>1.71</v>
      </c>
      <c r="J8" s="7">
        <f>FEMTL!N18</f>
        <v>0</v>
      </c>
      <c r="K8" s="13">
        <f>FEMTL!O18</f>
        <v>0</v>
      </c>
      <c r="L8" s="26">
        <f t="shared" si="0"/>
        <v>0</v>
      </c>
      <c r="M8" s="26">
        <f t="shared" si="1"/>
        <v>0</v>
      </c>
      <c r="N8" s="26">
        <f t="shared" si="2"/>
        <v>0</v>
      </c>
      <c r="O8" s="26">
        <f t="shared" si="3"/>
        <v>0</v>
      </c>
      <c r="P8" s="26">
        <f t="shared" si="4"/>
        <v>0</v>
      </c>
    </row>
    <row r="9" spans="1:16" x14ac:dyDescent="0.25">
      <c r="A9" s="3">
        <f>FEMTL!A21</f>
        <v>0</v>
      </c>
      <c r="B9" s="3">
        <f>FEMTL!B21</f>
        <v>0</v>
      </c>
      <c r="C9" s="3">
        <f>FEMTL!C21</f>
        <v>0</v>
      </c>
      <c r="D9" s="3">
        <f>FEMTL!E21</f>
        <v>0</v>
      </c>
      <c r="E9" s="3">
        <f>FEMTL!F21</f>
        <v>0</v>
      </c>
      <c r="F9" s="3">
        <f>FEMTL!G21</f>
        <v>0</v>
      </c>
      <c r="G9" s="10">
        <f>FEMTL!H21</f>
        <v>0</v>
      </c>
      <c r="H9" s="8">
        <f>FEMTL!I21</f>
        <v>0</v>
      </c>
      <c r="I9" s="11">
        <f>FEMTL!J21</f>
        <v>0</v>
      </c>
      <c r="J9" s="7">
        <f>FEMTL!N21</f>
        <v>0</v>
      </c>
      <c r="K9" s="13">
        <f>FEMTL!O21</f>
        <v>0</v>
      </c>
      <c r="L9" s="26">
        <f t="shared" si="0"/>
        <v>0</v>
      </c>
      <c r="M9" s="26">
        <f t="shared" si="1"/>
        <v>0</v>
      </c>
      <c r="N9" s="26">
        <f t="shared" si="2"/>
        <v>0</v>
      </c>
      <c r="O9" s="26">
        <f t="shared" si="3"/>
        <v>0</v>
      </c>
      <c r="P9" s="26">
        <f t="shared" si="4"/>
        <v>0</v>
      </c>
    </row>
    <row r="10" spans="1:16" x14ac:dyDescent="0.25">
      <c r="A10" s="3" t="str">
        <f>FEMTL!A24</f>
        <v>Amnerud</v>
      </c>
      <c r="B10" s="3" t="str">
        <f>FEMTL!B24</f>
        <v>1:19</v>
      </c>
      <c r="C10" s="3" t="str">
        <f>FEMTL!C24</f>
        <v>Helena Bäckström</v>
      </c>
      <c r="D10" s="3" t="str">
        <f>FEMTL!E24</f>
        <v>Tuvanäsvägen 1405</v>
      </c>
      <c r="E10" s="3" t="str">
        <f>FEMTL!F24</f>
        <v xml:space="preserve">352 52 </v>
      </c>
      <c r="F10" s="3" t="str">
        <f>FEMTL!G24</f>
        <v>Växjö</v>
      </c>
      <c r="G10" s="10">
        <f>FEMTL!H24</f>
        <v>0</v>
      </c>
      <c r="H10" s="8" t="str">
        <f>FEMTL!I24</f>
        <v>112,32</v>
      </c>
      <c r="I10" s="11" t="str">
        <f>FEMTL!J24</f>
        <v>47</v>
      </c>
      <c r="J10" s="7">
        <f>FEMTL!N24</f>
        <v>65.19</v>
      </c>
      <c r="K10" s="13">
        <f>FEMTL!O24</f>
        <v>66</v>
      </c>
      <c r="L10" s="26">
        <f t="shared" si="0"/>
        <v>1</v>
      </c>
      <c r="M10" s="26">
        <f t="shared" si="1"/>
        <v>1</v>
      </c>
      <c r="N10" s="26">
        <f t="shared" si="2"/>
        <v>1</v>
      </c>
      <c r="O10" s="26">
        <f t="shared" si="3"/>
        <v>1</v>
      </c>
      <c r="P10" s="26">
        <f t="shared" si="4"/>
        <v>3</v>
      </c>
    </row>
    <row r="11" spans="1:16" x14ac:dyDescent="0.25">
      <c r="A11" s="3">
        <f>FEMTL!A25</f>
        <v>0</v>
      </c>
      <c r="B11" s="3">
        <f>FEMTL!B25</f>
        <v>0</v>
      </c>
      <c r="C11" s="3" t="str">
        <f>FEMTL!C25</f>
        <v>Fredrik Bäckström</v>
      </c>
      <c r="D11" s="3" t="str">
        <f>FEMTL!E25</f>
        <v>Polarisvägen 19</v>
      </c>
      <c r="E11" s="3" t="str">
        <f>FEMTL!F25</f>
        <v>175 65</v>
      </c>
      <c r="F11" s="3" t="str">
        <f>FEMTL!G25</f>
        <v>Järfälla</v>
      </c>
      <c r="G11" s="10">
        <f>FEMTL!H25</f>
        <v>0</v>
      </c>
      <c r="H11" s="8">
        <f>FEMTL!I25</f>
        <v>0</v>
      </c>
      <c r="I11" s="11">
        <f>FEMTL!J25</f>
        <v>0</v>
      </c>
      <c r="J11" s="7">
        <f>FEMTL!N25</f>
        <v>0</v>
      </c>
      <c r="K11" s="13">
        <f>FEMTL!O25</f>
        <v>0</v>
      </c>
      <c r="L11" s="26">
        <f t="shared" si="0"/>
        <v>0</v>
      </c>
      <c r="M11" s="26">
        <f t="shared" si="1"/>
        <v>0</v>
      </c>
      <c r="N11" s="26">
        <f t="shared" si="2"/>
        <v>0</v>
      </c>
      <c r="O11" s="26">
        <f t="shared" si="3"/>
        <v>0</v>
      </c>
      <c r="P11" s="26">
        <f t="shared" si="4"/>
        <v>0</v>
      </c>
    </row>
    <row r="12" spans="1:16" x14ac:dyDescent="0.25">
      <c r="A12" s="3">
        <f>FEMTL!A26</f>
        <v>0</v>
      </c>
      <c r="B12" s="3">
        <f>FEMTL!B26</f>
        <v>0</v>
      </c>
      <c r="C12" s="3" t="str">
        <f>FEMTL!C26</f>
        <v>Katarina Bäckström</v>
      </c>
      <c r="D12" s="3" t="str">
        <f>FEMTL!E26</f>
        <v>Kosmosgränd 39</v>
      </c>
      <c r="E12" s="3" t="str">
        <f>FEMTL!F26</f>
        <v>175 66</v>
      </c>
      <c r="F12" s="3" t="str">
        <f>FEMTL!G26</f>
        <v>Järfälla</v>
      </c>
      <c r="G12" s="10">
        <f>FEMTL!H26</f>
        <v>0</v>
      </c>
      <c r="H12" s="8">
        <f>FEMTL!I26</f>
        <v>0</v>
      </c>
      <c r="I12" s="11">
        <f>FEMTL!J26</f>
        <v>0</v>
      </c>
      <c r="J12" s="7">
        <f>FEMTL!N26</f>
        <v>0</v>
      </c>
      <c r="K12" s="13">
        <f>FEMTL!O26</f>
        <v>0</v>
      </c>
      <c r="L12" s="26">
        <f t="shared" si="0"/>
        <v>0</v>
      </c>
      <c r="M12" s="26">
        <f t="shared" si="1"/>
        <v>0</v>
      </c>
      <c r="N12" s="26">
        <f t="shared" si="2"/>
        <v>0</v>
      </c>
      <c r="O12" s="26">
        <f t="shared" si="3"/>
        <v>0</v>
      </c>
      <c r="P12" s="26">
        <f t="shared" si="4"/>
        <v>0</v>
      </c>
    </row>
    <row r="13" spans="1:16" x14ac:dyDescent="0.25">
      <c r="A13" s="3">
        <f>FEMTL!A27</f>
        <v>0</v>
      </c>
      <c r="B13" s="3">
        <f>FEMTL!B27</f>
        <v>0</v>
      </c>
      <c r="C13" s="3" t="str">
        <f>FEMTL!C27</f>
        <v>Kurt Bäckström</v>
      </c>
      <c r="D13" s="3" t="str">
        <f>FEMTL!E27</f>
        <v>Polarisvägen 19</v>
      </c>
      <c r="E13" s="3" t="str">
        <f>FEMTL!F27</f>
        <v>175 65</v>
      </c>
      <c r="F13" s="3" t="str">
        <f>FEMTL!G27</f>
        <v>Järfälla</v>
      </c>
      <c r="G13" s="10">
        <f>FEMTL!H27</f>
        <v>0</v>
      </c>
      <c r="H13" s="8">
        <f>FEMTL!I27</f>
        <v>0</v>
      </c>
      <c r="I13" s="11">
        <f>FEMTL!J27</f>
        <v>0</v>
      </c>
      <c r="J13" s="7">
        <f>FEMTL!N27</f>
        <v>0</v>
      </c>
      <c r="K13" s="13">
        <f>FEMTL!O27</f>
        <v>0</v>
      </c>
      <c r="L13" s="26">
        <f t="shared" si="0"/>
        <v>0</v>
      </c>
      <c r="M13" s="26">
        <f t="shared" si="1"/>
        <v>0</v>
      </c>
      <c r="N13" s="26">
        <f t="shared" si="2"/>
        <v>0</v>
      </c>
      <c r="O13" s="26">
        <f t="shared" si="3"/>
        <v>0</v>
      </c>
      <c r="P13" s="26">
        <f t="shared" si="4"/>
        <v>0</v>
      </c>
    </row>
    <row r="14" spans="1:16" x14ac:dyDescent="0.25">
      <c r="A14" s="3">
        <f>FEMTL!A28</f>
        <v>0</v>
      </c>
      <c r="B14" s="3">
        <f>FEMTL!B28</f>
        <v>0</v>
      </c>
      <c r="C14" s="3">
        <f>FEMTL!C28</f>
        <v>0</v>
      </c>
      <c r="D14" s="3">
        <f>FEMTL!E28</f>
        <v>0</v>
      </c>
      <c r="E14" s="3">
        <f>FEMTL!F28</f>
        <v>0</v>
      </c>
      <c r="F14" s="3">
        <f>FEMTL!G28</f>
        <v>0</v>
      </c>
      <c r="G14" s="10">
        <f>FEMTL!H28</f>
        <v>0</v>
      </c>
      <c r="H14" s="8">
        <f>FEMTL!I28</f>
        <v>0</v>
      </c>
      <c r="I14" s="11">
        <f>FEMTL!J28</f>
        <v>0</v>
      </c>
      <c r="J14" s="7">
        <f>FEMTL!N28</f>
        <v>0</v>
      </c>
      <c r="K14" s="13">
        <f>FEMTL!O28</f>
        <v>0</v>
      </c>
      <c r="L14" s="26">
        <f t="shared" si="0"/>
        <v>0</v>
      </c>
      <c r="M14" s="26">
        <f t="shared" si="1"/>
        <v>0</v>
      </c>
      <c r="N14" s="26">
        <f t="shared" si="2"/>
        <v>0</v>
      </c>
      <c r="O14" s="26">
        <f t="shared" si="3"/>
        <v>0</v>
      </c>
      <c r="P14" s="26">
        <f t="shared" si="4"/>
        <v>0</v>
      </c>
    </row>
    <row r="15" spans="1:16" x14ac:dyDescent="0.25">
      <c r="A15" s="3" t="str">
        <f>FEMTL!A29</f>
        <v>Amnerud</v>
      </c>
      <c r="B15" s="3" t="str">
        <f>FEMTL!B29</f>
        <v>1:23</v>
      </c>
      <c r="C15" s="3" t="str">
        <f>FEMTL!C29</f>
        <v>Hans Halvarsson</v>
      </c>
      <c r="D15" s="3" t="str">
        <f>FEMTL!E29</f>
        <v>Amnerud 23</v>
      </c>
      <c r="E15" s="3" t="str">
        <f>FEMTL!F29</f>
        <v>680 63</v>
      </c>
      <c r="F15" s="3" t="str">
        <f>FEMTL!G29</f>
        <v>Likenäs</v>
      </c>
      <c r="G15" s="10">
        <f>FEMTL!H29</f>
        <v>0</v>
      </c>
      <c r="H15" s="8" t="str">
        <f>FEMTL!I29</f>
        <v>216,74</v>
      </c>
      <c r="I15" s="11" t="str">
        <f>FEMTL!J29</f>
        <v>87</v>
      </c>
      <c r="J15" s="7">
        <f>FEMTL!N29</f>
        <v>143.12</v>
      </c>
      <c r="K15" s="13">
        <f>FEMTL!O29</f>
        <v>144</v>
      </c>
      <c r="L15" s="26">
        <f t="shared" si="0"/>
        <v>2</v>
      </c>
      <c r="M15" s="26">
        <f t="shared" si="1"/>
        <v>2</v>
      </c>
      <c r="N15" s="26">
        <f t="shared" si="2"/>
        <v>2</v>
      </c>
      <c r="O15" s="26">
        <f t="shared" si="3"/>
        <v>2</v>
      </c>
      <c r="P15" s="26">
        <f t="shared" si="4"/>
        <v>6</v>
      </c>
    </row>
    <row r="16" spans="1:16" x14ac:dyDescent="0.25">
      <c r="A16" s="3" t="str">
        <f>FEMTL!A30</f>
        <v>Hjällstad</v>
      </c>
      <c r="B16" s="3" t="str">
        <f>FEMTL!B30</f>
        <v>3:24</v>
      </c>
      <c r="C16" s="3">
        <f>FEMTL!C30</f>
        <v>0</v>
      </c>
      <c r="D16" s="3">
        <f>FEMTL!E30</f>
        <v>0</v>
      </c>
      <c r="E16" s="3">
        <f>FEMTL!F30</f>
        <v>0</v>
      </c>
      <c r="F16" s="3">
        <f>FEMTL!G30</f>
        <v>0</v>
      </c>
      <c r="G16" s="10">
        <f>FEMTL!H30</f>
        <v>0</v>
      </c>
      <c r="H16" s="8">
        <f>FEMTL!I30</f>
        <v>245.38</v>
      </c>
      <c r="I16" s="11">
        <f>FEMTL!J30</f>
        <v>232</v>
      </c>
      <c r="J16" s="7">
        <f>FEMTL!N30</f>
        <v>0</v>
      </c>
      <c r="K16" s="13">
        <f>FEMTL!O30</f>
        <v>0</v>
      </c>
      <c r="L16" s="26">
        <f t="shared" si="0"/>
        <v>0</v>
      </c>
      <c r="M16" s="26">
        <f t="shared" si="1"/>
        <v>0</v>
      </c>
      <c r="N16" s="26">
        <f t="shared" si="2"/>
        <v>0</v>
      </c>
      <c r="O16" s="26">
        <f t="shared" si="3"/>
        <v>0</v>
      </c>
      <c r="P16" s="26">
        <f t="shared" si="4"/>
        <v>0</v>
      </c>
    </row>
    <row r="17" spans="1:16" x14ac:dyDescent="0.25">
      <c r="A17" s="3">
        <f>FEMTL!A31</f>
        <v>0</v>
      </c>
      <c r="B17" s="3">
        <f>FEMTL!B31</f>
        <v>0</v>
      </c>
      <c r="C17" s="3">
        <f>FEMTL!C31</f>
        <v>0</v>
      </c>
      <c r="D17" s="3">
        <f>FEMTL!E31</f>
        <v>0</v>
      </c>
      <c r="E17" s="3">
        <f>FEMTL!F31</f>
        <v>0</v>
      </c>
      <c r="F17" s="3">
        <f>FEMTL!G31</f>
        <v>0</v>
      </c>
      <c r="G17" s="10">
        <f>FEMTL!H31</f>
        <v>0</v>
      </c>
      <c r="H17" s="8">
        <f>FEMTL!I31</f>
        <v>0</v>
      </c>
      <c r="I17" s="11">
        <f>FEMTL!J31</f>
        <v>0</v>
      </c>
      <c r="J17" s="7">
        <f>FEMTL!N31</f>
        <v>0</v>
      </c>
      <c r="K17" s="13">
        <f>FEMTL!O31</f>
        <v>0</v>
      </c>
      <c r="L17" s="26">
        <f t="shared" si="0"/>
        <v>0</v>
      </c>
      <c r="M17" s="26">
        <f t="shared" si="1"/>
        <v>0</v>
      </c>
      <c r="N17" s="26">
        <f t="shared" si="2"/>
        <v>0</v>
      </c>
      <c r="O17" s="26">
        <f t="shared" si="3"/>
        <v>0</v>
      </c>
      <c r="P17" s="26">
        <f t="shared" si="4"/>
        <v>0</v>
      </c>
    </row>
    <row r="18" spans="1:16" x14ac:dyDescent="0.25">
      <c r="A18" s="3" t="str">
        <f>FEMTL!A32</f>
        <v>Amnerud</v>
      </c>
      <c r="B18" s="3" t="str">
        <f>FEMTL!B32</f>
        <v>1:29</v>
      </c>
      <c r="C18" s="3" t="str">
        <f>FEMTL!C32</f>
        <v>Marianne Rasset</v>
      </c>
      <c r="D18" s="3">
        <f>FEMTL!E32</f>
        <v>0</v>
      </c>
      <c r="E18" s="3">
        <f>FEMTL!F32</f>
        <v>0</v>
      </c>
      <c r="F18" s="3" t="str">
        <f>FEMTL!G32</f>
        <v>Norrköping</v>
      </c>
      <c r="G18" s="10">
        <f>FEMTL!H32</f>
        <v>0</v>
      </c>
      <c r="H18" s="8">
        <f>FEMTL!I32</f>
        <v>4.4400000000000048</v>
      </c>
      <c r="I18" s="11">
        <f>FEMTL!J32</f>
        <v>0</v>
      </c>
      <c r="J18" s="7">
        <f>FEMTL!N32</f>
        <v>4.4400000000000048</v>
      </c>
      <c r="K18" s="13">
        <f>FEMTL!O32</f>
        <v>5</v>
      </c>
      <c r="L18" s="26">
        <f t="shared" si="0"/>
        <v>1</v>
      </c>
      <c r="M18" s="26">
        <f t="shared" si="1"/>
        <v>1</v>
      </c>
      <c r="N18" s="26">
        <f t="shared" si="2"/>
        <v>1</v>
      </c>
      <c r="O18" s="26">
        <f t="shared" si="3"/>
        <v>1</v>
      </c>
      <c r="P18" s="26">
        <f t="shared" si="4"/>
        <v>1</v>
      </c>
    </row>
    <row r="19" spans="1:16" x14ac:dyDescent="0.25">
      <c r="A19" s="3" t="e">
        <f>FEMTL!#REF!</f>
        <v>#REF!</v>
      </c>
      <c r="B19" s="3" t="e">
        <f>FEMTL!#REF!</f>
        <v>#REF!</v>
      </c>
      <c r="C19" s="3" t="e">
        <f>FEMTL!#REF!</f>
        <v>#REF!</v>
      </c>
      <c r="D19" s="3" t="e">
        <f>FEMTL!#REF!</f>
        <v>#REF!</v>
      </c>
      <c r="E19" s="3" t="e">
        <f>FEMTL!#REF!</f>
        <v>#REF!</v>
      </c>
      <c r="F19" s="3" t="e">
        <f>FEMTL!#REF!</f>
        <v>#REF!</v>
      </c>
      <c r="G19" s="10" t="e">
        <f>FEMTL!#REF!</f>
        <v>#REF!</v>
      </c>
      <c r="H19" s="8" t="e">
        <f>FEMTL!#REF!</f>
        <v>#REF!</v>
      </c>
      <c r="I19" s="11" t="e">
        <f>FEMTL!#REF!</f>
        <v>#REF!</v>
      </c>
      <c r="J19" s="7" t="e">
        <f>FEMTL!#REF!</f>
        <v>#REF!</v>
      </c>
      <c r="K19" s="13" t="e">
        <f>FEMTL!#REF!</f>
        <v>#REF!</v>
      </c>
      <c r="L19" s="26" t="e">
        <f t="shared" si="0"/>
        <v>#REF!</v>
      </c>
      <c r="M19" s="26" t="e">
        <f t="shared" si="1"/>
        <v>#REF!</v>
      </c>
      <c r="N19" s="26" t="e">
        <f t="shared" si="2"/>
        <v>#REF!</v>
      </c>
      <c r="O19" s="26" t="e">
        <f t="shared" si="3"/>
        <v>#REF!</v>
      </c>
      <c r="P19" s="26" t="e">
        <f t="shared" si="4"/>
        <v>#REF!</v>
      </c>
    </row>
    <row r="20" spans="1:16" x14ac:dyDescent="0.25">
      <c r="A20" s="3" t="e">
        <f>FEMTL!#REF!</f>
        <v>#REF!</v>
      </c>
      <c r="B20" s="3" t="e">
        <f>FEMTL!#REF!</f>
        <v>#REF!</v>
      </c>
      <c r="C20" s="3" t="e">
        <f>FEMTL!#REF!</f>
        <v>#REF!</v>
      </c>
      <c r="D20" s="3" t="e">
        <f>FEMTL!#REF!</f>
        <v>#REF!</v>
      </c>
      <c r="E20" s="3" t="e">
        <f>FEMTL!#REF!</f>
        <v>#REF!</v>
      </c>
      <c r="F20" s="3" t="e">
        <f>FEMTL!#REF!</f>
        <v>#REF!</v>
      </c>
      <c r="G20" s="10" t="e">
        <f>FEMTL!#REF!</f>
        <v>#REF!</v>
      </c>
      <c r="H20" s="8" t="e">
        <f>FEMTL!#REF!</f>
        <v>#REF!</v>
      </c>
      <c r="I20" s="11" t="e">
        <f>FEMTL!#REF!</f>
        <v>#REF!</v>
      </c>
      <c r="J20" s="7" t="e">
        <f>FEMTL!#REF!</f>
        <v>#REF!</v>
      </c>
      <c r="K20" s="13" t="e">
        <f>FEMTL!#REF!</f>
        <v>#REF!</v>
      </c>
      <c r="L20" s="26" t="e">
        <f t="shared" si="0"/>
        <v>#REF!</v>
      </c>
      <c r="M20" s="26" t="e">
        <f t="shared" si="1"/>
        <v>#REF!</v>
      </c>
      <c r="N20" s="26" t="e">
        <f t="shared" si="2"/>
        <v>#REF!</v>
      </c>
      <c r="O20" s="26" t="e">
        <f t="shared" si="3"/>
        <v>#REF!</v>
      </c>
      <c r="P20" s="26" t="e">
        <f t="shared" si="4"/>
        <v>#REF!</v>
      </c>
    </row>
    <row r="21" spans="1:16" x14ac:dyDescent="0.25">
      <c r="A21" s="3">
        <f>FEMTL!A33</f>
        <v>0</v>
      </c>
      <c r="B21" s="3">
        <f>FEMTL!B33</f>
        <v>0</v>
      </c>
      <c r="C21" s="3">
        <f>FEMTL!C33</f>
        <v>0</v>
      </c>
      <c r="D21" s="3">
        <f>FEMTL!E33</f>
        <v>0</v>
      </c>
      <c r="E21" s="3">
        <f>FEMTL!F33</f>
        <v>0</v>
      </c>
      <c r="F21" s="3">
        <f>FEMTL!G33</f>
        <v>0</v>
      </c>
      <c r="G21" s="10">
        <f>FEMTL!H33</f>
        <v>0</v>
      </c>
      <c r="H21" s="8">
        <f>FEMTL!I33</f>
        <v>0</v>
      </c>
      <c r="I21" s="11">
        <f>FEMTL!J33</f>
        <v>0</v>
      </c>
      <c r="J21" s="7">
        <f>FEMTL!N33</f>
        <v>0</v>
      </c>
      <c r="K21" s="13">
        <f>FEMTL!O33</f>
        <v>0</v>
      </c>
      <c r="L21" s="26">
        <f t="shared" si="0"/>
        <v>0</v>
      </c>
      <c r="M21" s="26">
        <f t="shared" si="1"/>
        <v>0</v>
      </c>
      <c r="N21" s="26">
        <f t="shared" si="2"/>
        <v>0</v>
      </c>
      <c r="O21" s="26">
        <f t="shared" si="3"/>
        <v>0</v>
      </c>
      <c r="P21" s="26">
        <f t="shared" si="4"/>
        <v>0</v>
      </c>
    </row>
    <row r="22" spans="1:16" x14ac:dyDescent="0.25">
      <c r="A22" s="3" t="str">
        <f>FEMTL!A34</f>
        <v xml:space="preserve">Amnerud </v>
      </c>
      <c r="B22" s="3" t="str">
        <f>FEMTL!B34</f>
        <v>1:33</v>
      </c>
      <c r="C22" s="3" t="str">
        <f>FEMTL!C34</f>
        <v>Dan Norström</v>
      </c>
      <c r="D22" s="3" t="str">
        <f>FEMTL!E34</f>
        <v>Amnerud 22</v>
      </c>
      <c r="E22" s="3" t="str">
        <f>FEMTL!F34</f>
        <v>680 63</v>
      </c>
      <c r="F22" s="3" t="str">
        <f>FEMTL!G34</f>
        <v>Likenäs</v>
      </c>
      <c r="G22" s="10">
        <f>FEMTL!H34</f>
        <v>0</v>
      </c>
      <c r="H22" s="8" t="str">
        <f>FEMTL!I34</f>
        <v>55,72</v>
      </c>
      <c r="I22" s="11" t="str">
        <f>FEMTL!J34</f>
        <v>43</v>
      </c>
      <c r="J22" s="7">
        <f>FEMTL!N34</f>
        <v>12.719999999999999</v>
      </c>
      <c r="K22" s="13">
        <f>FEMTL!O34</f>
        <v>13</v>
      </c>
      <c r="L22" s="26">
        <f t="shared" si="0"/>
        <v>1</v>
      </c>
      <c r="M22" s="26">
        <f t="shared" si="1"/>
        <v>1</v>
      </c>
      <c r="N22" s="26">
        <f t="shared" si="2"/>
        <v>1</v>
      </c>
      <c r="O22" s="26">
        <f t="shared" si="3"/>
        <v>1</v>
      </c>
      <c r="P22" s="26">
        <f t="shared" si="4"/>
        <v>1</v>
      </c>
    </row>
    <row r="23" spans="1:16" x14ac:dyDescent="0.25">
      <c r="A23" s="3">
        <f>FEMTL!A35</f>
        <v>0</v>
      </c>
      <c r="B23" s="3">
        <f>FEMTL!B35</f>
        <v>0</v>
      </c>
      <c r="C23" s="3" t="str">
        <f>FEMTL!C35</f>
        <v>Anna Greta Norström dbo</v>
      </c>
      <c r="D23" s="3" t="str">
        <f>FEMTL!E35</f>
        <v>Mattsgården Backa</v>
      </c>
      <c r="E23" s="3" t="str">
        <f>FEMTL!F35</f>
        <v>680 63</v>
      </c>
      <c r="F23" s="3" t="str">
        <f>FEMTL!G35</f>
        <v>Likenäs</v>
      </c>
      <c r="G23" s="10">
        <f>FEMTL!H35</f>
        <v>0</v>
      </c>
      <c r="H23" s="8">
        <f>FEMTL!I35</f>
        <v>0</v>
      </c>
      <c r="I23" s="11">
        <f>FEMTL!J35</f>
        <v>0</v>
      </c>
      <c r="J23" s="7">
        <f>FEMTL!N35</f>
        <v>0</v>
      </c>
      <c r="K23" s="13">
        <f>FEMTL!O35</f>
        <v>0</v>
      </c>
      <c r="L23" s="26">
        <f>ROUNDUP((K23/100),0)</f>
        <v>0</v>
      </c>
      <c r="M23" s="26">
        <f>ROUNDUP((K23/90),0)</f>
        <v>0</v>
      </c>
      <c r="N23" s="26">
        <f>ROUNDUP((K23/80),0)</f>
        <v>0</v>
      </c>
      <c r="O23" s="26">
        <f>ROUNDUP((K23/75),0)</f>
        <v>0</v>
      </c>
      <c r="P23" s="26">
        <f t="shared" si="4"/>
        <v>0</v>
      </c>
    </row>
    <row r="24" spans="1:16" x14ac:dyDescent="0.25">
      <c r="A24" s="3">
        <f>FEMTL!A36</f>
        <v>0</v>
      </c>
      <c r="B24" s="3">
        <f>FEMTL!B36</f>
        <v>0</v>
      </c>
      <c r="C24" s="3" t="str">
        <f>FEMTL!C36</f>
        <v>Gunde Matshag</v>
      </c>
      <c r="D24" s="3" t="str">
        <f>FEMTL!E36</f>
        <v>Amnerud 15</v>
      </c>
      <c r="E24" s="3" t="str">
        <f>FEMTL!F36</f>
        <v>680 63</v>
      </c>
      <c r="F24" s="3" t="str">
        <f>FEMTL!G36</f>
        <v>Likenäs</v>
      </c>
      <c r="G24" s="10">
        <f>FEMTL!H36</f>
        <v>0</v>
      </c>
      <c r="H24" s="8">
        <f>FEMTL!I36</f>
        <v>0</v>
      </c>
      <c r="I24" s="11">
        <f>FEMTL!J36</f>
        <v>0</v>
      </c>
      <c r="J24" s="7">
        <f>FEMTL!N36</f>
        <v>0</v>
      </c>
      <c r="K24" s="13">
        <f>FEMTL!O36</f>
        <v>0</v>
      </c>
      <c r="L24" s="26">
        <f>ROUNDUP((K24/100),0)</f>
        <v>0</v>
      </c>
      <c r="M24" s="26">
        <f>ROUNDUP((K24/90),0)</f>
        <v>0</v>
      </c>
      <c r="N24" s="26">
        <f>ROUNDUP((K24/80),0)</f>
        <v>0</v>
      </c>
      <c r="O24" s="26">
        <f>ROUNDUP((K24/75),0)</f>
        <v>0</v>
      </c>
      <c r="P24" s="26">
        <f t="shared" si="4"/>
        <v>0</v>
      </c>
    </row>
    <row r="25" spans="1:16" x14ac:dyDescent="0.25">
      <c r="A25" s="3">
        <f>FEMTL!A37</f>
        <v>0</v>
      </c>
      <c r="B25" s="3">
        <f>FEMTL!B37</f>
        <v>0</v>
      </c>
      <c r="C25" s="3">
        <f>FEMTL!C37</f>
        <v>0</v>
      </c>
      <c r="D25" s="3">
        <f>FEMTL!E37</f>
        <v>0</v>
      </c>
      <c r="E25" s="3">
        <f>FEMTL!F37</f>
        <v>0</v>
      </c>
      <c r="F25" s="3">
        <f>FEMTL!G37</f>
        <v>0</v>
      </c>
      <c r="G25" s="10">
        <f>FEMTL!H37</f>
        <v>0</v>
      </c>
      <c r="H25" s="8">
        <f>FEMTL!I37</f>
        <v>0</v>
      </c>
      <c r="I25" s="11">
        <f>FEMTL!J37</f>
        <v>0</v>
      </c>
      <c r="J25" s="7">
        <f>FEMTL!N37</f>
        <v>0</v>
      </c>
      <c r="K25" s="13">
        <f>FEMTL!O37</f>
        <v>0</v>
      </c>
      <c r="L25" s="26">
        <f>ROUNDUP((K25/100),0)</f>
        <v>0</v>
      </c>
      <c r="M25" s="26">
        <f>ROUNDUP((K25/90),0)</f>
        <v>0</v>
      </c>
      <c r="N25" s="26">
        <f>ROUNDUP((K25/80),0)</f>
        <v>0</v>
      </c>
      <c r="O25" s="26">
        <f>ROUNDUP((K25/75),0)</f>
        <v>0</v>
      </c>
      <c r="P25" s="26">
        <f t="shared" si="4"/>
        <v>0</v>
      </c>
    </row>
    <row r="26" spans="1:16" x14ac:dyDescent="0.25">
      <c r="A26" s="3" t="e">
        <f>FEMTL!#REF!</f>
        <v>#REF!</v>
      </c>
      <c r="B26" s="3" t="e">
        <f>FEMTL!#REF!</f>
        <v>#REF!</v>
      </c>
      <c r="C26" s="3" t="e">
        <f>FEMTL!#REF!</f>
        <v>#REF!</v>
      </c>
      <c r="D26" s="3" t="e">
        <f>FEMTL!#REF!</f>
        <v>#REF!</v>
      </c>
      <c r="E26" s="3" t="e">
        <f>FEMTL!#REF!</f>
        <v>#REF!</v>
      </c>
      <c r="F26" s="3" t="e">
        <f>FEMTL!#REF!</f>
        <v>#REF!</v>
      </c>
      <c r="G26" s="10" t="e">
        <f>FEMTL!#REF!</f>
        <v>#REF!</v>
      </c>
      <c r="H26" s="8" t="e">
        <f>FEMTL!#REF!</f>
        <v>#REF!</v>
      </c>
      <c r="I26" s="11" t="e">
        <f>FEMTL!#REF!</f>
        <v>#REF!</v>
      </c>
      <c r="J26" s="7" t="e">
        <f>FEMTL!#REF!</f>
        <v>#REF!</v>
      </c>
      <c r="K26" s="13" t="e">
        <f>FEMTL!#REF!</f>
        <v>#REF!</v>
      </c>
      <c r="L26" s="26" t="e">
        <f t="shared" si="0"/>
        <v>#REF!</v>
      </c>
      <c r="M26" s="26" t="e">
        <f t="shared" si="1"/>
        <v>#REF!</v>
      </c>
      <c r="N26" s="26" t="e">
        <f t="shared" si="2"/>
        <v>#REF!</v>
      </c>
      <c r="O26" s="26" t="e">
        <f t="shared" si="3"/>
        <v>#REF!</v>
      </c>
      <c r="P26" s="26" t="e">
        <f t="shared" si="4"/>
        <v>#REF!</v>
      </c>
    </row>
    <row r="27" spans="1:16" x14ac:dyDescent="0.25">
      <c r="A27" s="3" t="e">
        <f>FEMTL!#REF!</f>
        <v>#REF!</v>
      </c>
      <c r="B27" s="3" t="e">
        <f>FEMTL!#REF!</f>
        <v>#REF!</v>
      </c>
      <c r="C27" s="3" t="e">
        <f>FEMTL!#REF!</f>
        <v>#REF!</v>
      </c>
      <c r="D27" s="3" t="e">
        <f>FEMTL!#REF!</f>
        <v>#REF!</v>
      </c>
      <c r="E27" s="3" t="e">
        <f>FEMTL!#REF!</f>
        <v>#REF!</v>
      </c>
      <c r="F27" s="3" t="e">
        <f>FEMTL!#REF!</f>
        <v>#REF!</v>
      </c>
      <c r="G27" s="10" t="e">
        <f>FEMTL!#REF!</f>
        <v>#REF!</v>
      </c>
      <c r="H27" s="8" t="e">
        <f>FEMTL!#REF!</f>
        <v>#REF!</v>
      </c>
      <c r="I27" s="11" t="e">
        <f>FEMTL!#REF!</f>
        <v>#REF!</v>
      </c>
      <c r="J27" s="7" t="e">
        <f>FEMTL!#REF!</f>
        <v>#REF!</v>
      </c>
      <c r="K27" s="13" t="e">
        <f>FEMTL!#REF!</f>
        <v>#REF!</v>
      </c>
      <c r="L27" s="26" t="e">
        <f t="shared" si="0"/>
        <v>#REF!</v>
      </c>
      <c r="M27" s="26" t="e">
        <f t="shared" si="1"/>
        <v>#REF!</v>
      </c>
      <c r="N27" s="26" t="e">
        <f t="shared" si="2"/>
        <v>#REF!</v>
      </c>
      <c r="O27" s="26" t="e">
        <f t="shared" si="3"/>
        <v>#REF!</v>
      </c>
      <c r="P27" s="26" t="e">
        <f t="shared" si="4"/>
        <v>#REF!</v>
      </c>
    </row>
    <row r="28" spans="1:16" x14ac:dyDescent="0.25">
      <c r="A28" s="3" t="str">
        <f>FEMTL!A22</f>
        <v>Amnerud</v>
      </c>
      <c r="B28" s="3" t="str">
        <f>FEMTL!B22</f>
        <v>1:55</v>
      </c>
      <c r="C28" s="3" t="str">
        <f>FEMTL!C22</f>
        <v xml:space="preserve">Anna&amp;Dag Nyström </v>
      </c>
      <c r="D28" s="3" t="str">
        <f>FEMTL!E22</f>
        <v>Vestby Bryggeri</v>
      </c>
      <c r="E28" s="3" t="str">
        <f>FEMTL!F22</f>
        <v>680 63</v>
      </c>
      <c r="F28" s="3" t="str">
        <f>FEMTL!G22</f>
        <v>Likenäs</v>
      </c>
      <c r="G28" s="10">
        <f>FEMTL!H22</f>
        <v>0</v>
      </c>
      <c r="H28" s="8">
        <f>FEMTL!I22</f>
        <v>12.43</v>
      </c>
      <c r="I28" s="11">
        <f>FEMTL!J22</f>
        <v>0</v>
      </c>
      <c r="J28" s="7">
        <f>FEMTL!N22</f>
        <v>12.43</v>
      </c>
      <c r="K28" s="13">
        <f>FEMTL!O22</f>
        <v>13</v>
      </c>
      <c r="L28" s="26">
        <f t="shared" si="0"/>
        <v>1</v>
      </c>
      <c r="M28" s="26">
        <f t="shared" si="1"/>
        <v>1</v>
      </c>
      <c r="N28" s="26">
        <f t="shared" si="2"/>
        <v>1</v>
      </c>
      <c r="O28" s="26">
        <f t="shared" si="3"/>
        <v>1</v>
      </c>
      <c r="P28" s="26">
        <f t="shared" si="4"/>
        <v>1</v>
      </c>
    </row>
    <row r="29" spans="1:16" x14ac:dyDescent="0.25">
      <c r="A29" s="3">
        <f>FEMTL!A23</f>
        <v>0</v>
      </c>
      <c r="B29" s="3">
        <f>FEMTL!B23</f>
        <v>0</v>
      </c>
      <c r="C29" s="3">
        <f>FEMTL!C23</f>
        <v>0</v>
      </c>
      <c r="D29" s="3">
        <f>FEMTL!E23</f>
        <v>0</v>
      </c>
      <c r="E29" s="3">
        <f>FEMTL!F23</f>
        <v>0</v>
      </c>
      <c r="F29" s="3">
        <f>FEMTL!G23</f>
        <v>0</v>
      </c>
      <c r="G29" s="10">
        <f>FEMTL!H23</f>
        <v>0</v>
      </c>
      <c r="H29" s="8">
        <f>FEMTL!I23</f>
        <v>0</v>
      </c>
      <c r="I29" s="11">
        <f>FEMTL!J23</f>
        <v>0</v>
      </c>
      <c r="J29" s="7">
        <f>FEMTL!N23</f>
        <v>0</v>
      </c>
      <c r="K29" s="13">
        <f>FEMTL!O23</f>
        <v>0</v>
      </c>
      <c r="L29" s="26">
        <f t="shared" si="0"/>
        <v>0</v>
      </c>
      <c r="M29" s="26">
        <f t="shared" si="1"/>
        <v>0</v>
      </c>
      <c r="N29" s="26">
        <f t="shared" si="2"/>
        <v>0</v>
      </c>
      <c r="O29" s="26">
        <f t="shared" si="3"/>
        <v>0</v>
      </c>
      <c r="P29" s="26">
        <f t="shared" si="4"/>
        <v>0</v>
      </c>
    </row>
    <row r="30" spans="1:16" x14ac:dyDescent="0.25">
      <c r="A30" s="3" t="str">
        <f>FEMTL!A40</f>
        <v>Amnerud</v>
      </c>
      <c r="B30" s="3" t="str">
        <f>FEMTL!B40</f>
        <v>1:58</v>
      </c>
      <c r="C30" s="3" t="str">
        <f>FEMTL!C40</f>
        <v>Olov Ingvar Halvarsson</v>
      </c>
      <c r="D30" s="3" t="str">
        <f>FEMTL!E40</f>
        <v>Amnerud 36</v>
      </c>
      <c r="E30" s="3" t="str">
        <f>FEMTL!F40</f>
        <v>680 63</v>
      </c>
      <c r="F30" s="3" t="str">
        <f>FEMTL!G40</f>
        <v>Likenäs</v>
      </c>
      <c r="G30" s="10">
        <f>FEMTL!H40</f>
        <v>0</v>
      </c>
      <c r="H30" s="8">
        <f>FEMTL!I40</f>
        <v>2.0299999999999998</v>
      </c>
      <c r="I30" s="11">
        <f>FEMTL!J40</f>
        <v>0</v>
      </c>
      <c r="J30" s="7">
        <f>FEMTL!N40</f>
        <v>2.0299999999999998</v>
      </c>
      <c r="K30" s="13">
        <f>FEMTL!O40</f>
        <v>3</v>
      </c>
      <c r="L30" s="26">
        <f t="shared" si="0"/>
        <v>1</v>
      </c>
      <c r="M30" s="26">
        <f t="shared" si="1"/>
        <v>1</v>
      </c>
      <c r="N30" s="26">
        <f t="shared" si="2"/>
        <v>1</v>
      </c>
      <c r="O30" s="26">
        <f t="shared" si="3"/>
        <v>1</v>
      </c>
      <c r="P30" s="26">
        <f t="shared" si="4"/>
        <v>1</v>
      </c>
    </row>
    <row r="31" spans="1:16" x14ac:dyDescent="0.25">
      <c r="A31" s="3">
        <f>FEMTL!A41</f>
        <v>0</v>
      </c>
      <c r="B31" s="3">
        <f>FEMTL!B41</f>
        <v>0</v>
      </c>
      <c r="C31" s="3">
        <f>FEMTL!C41</f>
        <v>0</v>
      </c>
      <c r="D31" s="3">
        <f>FEMTL!E41</f>
        <v>0</v>
      </c>
      <c r="E31" s="3">
        <f>FEMTL!F41</f>
        <v>0</v>
      </c>
      <c r="F31" s="3">
        <f>FEMTL!G41</f>
        <v>0</v>
      </c>
      <c r="G31" s="10">
        <f>FEMTL!H41</f>
        <v>0</v>
      </c>
      <c r="H31" s="8">
        <f>FEMTL!I41</f>
        <v>0</v>
      </c>
      <c r="I31" s="11">
        <f>FEMTL!J41</f>
        <v>0</v>
      </c>
      <c r="J31" s="7">
        <f>FEMTL!N41</f>
        <v>0</v>
      </c>
      <c r="K31" s="13">
        <f>FEMTL!O41</f>
        <v>0</v>
      </c>
      <c r="L31" s="26">
        <f t="shared" si="0"/>
        <v>0</v>
      </c>
      <c r="M31" s="26">
        <f t="shared" si="1"/>
        <v>0</v>
      </c>
      <c r="N31" s="26">
        <f t="shared" si="2"/>
        <v>0</v>
      </c>
      <c r="O31" s="26">
        <f t="shared" si="3"/>
        <v>0</v>
      </c>
      <c r="P31" s="26">
        <f t="shared" si="4"/>
        <v>0</v>
      </c>
    </row>
    <row r="32" spans="1:16" x14ac:dyDescent="0.25">
      <c r="A32" s="3" t="str">
        <f>FEMTL!A6</f>
        <v>Amnerud</v>
      </c>
      <c r="B32" s="3" t="str">
        <f>FEMTL!B6</f>
        <v>1:60</v>
      </c>
      <c r="C32" s="3">
        <f>FEMTL!C6</f>
        <v>0</v>
      </c>
      <c r="D32" s="3">
        <f>FEMTL!E6</f>
        <v>0</v>
      </c>
      <c r="E32" s="3">
        <f>FEMTL!F6</f>
        <v>0</v>
      </c>
      <c r="F32" s="3">
        <f>FEMTL!G6</f>
        <v>0</v>
      </c>
      <c r="G32" s="10">
        <f>FEMTL!H6</f>
        <v>0</v>
      </c>
      <c r="H32" s="8">
        <f>FEMTL!I6</f>
        <v>11.53</v>
      </c>
      <c r="I32" s="11">
        <f>FEMTL!J6</f>
        <v>0</v>
      </c>
      <c r="J32" s="7">
        <f>FEMTL!N6</f>
        <v>0</v>
      </c>
      <c r="K32" s="13">
        <f>FEMTL!O6</f>
        <v>0</v>
      </c>
      <c r="L32" s="26">
        <f t="shared" si="0"/>
        <v>0</v>
      </c>
      <c r="M32" s="26">
        <f t="shared" si="1"/>
        <v>0</v>
      </c>
      <c r="N32" s="26">
        <f t="shared" si="2"/>
        <v>0</v>
      </c>
      <c r="O32" s="26">
        <f t="shared" si="3"/>
        <v>0</v>
      </c>
      <c r="P32" s="26">
        <f t="shared" si="4"/>
        <v>0</v>
      </c>
    </row>
    <row r="33" spans="1:16" x14ac:dyDescent="0.25">
      <c r="A33" s="3" t="e">
        <f>FEMTL!#REF!</f>
        <v>#REF!</v>
      </c>
      <c r="B33" s="3" t="e">
        <f>FEMTL!#REF!</f>
        <v>#REF!</v>
      </c>
      <c r="C33" s="3" t="e">
        <f>FEMTL!#REF!</f>
        <v>#REF!</v>
      </c>
      <c r="D33" s="3" t="e">
        <f>FEMTL!#REF!</f>
        <v>#REF!</v>
      </c>
      <c r="E33" s="3" t="e">
        <f>FEMTL!#REF!</f>
        <v>#REF!</v>
      </c>
      <c r="F33" s="3" t="e">
        <f>FEMTL!#REF!</f>
        <v>#REF!</v>
      </c>
      <c r="G33" s="10" t="e">
        <f>FEMTL!#REF!</f>
        <v>#REF!</v>
      </c>
      <c r="H33" s="8" t="e">
        <f>FEMTL!#REF!</f>
        <v>#REF!</v>
      </c>
      <c r="I33" s="11" t="e">
        <f>FEMTL!#REF!</f>
        <v>#REF!</v>
      </c>
      <c r="J33" s="7" t="e">
        <f>FEMTL!#REF!</f>
        <v>#REF!</v>
      </c>
      <c r="K33" s="13" t="e">
        <f>FEMTL!#REF!</f>
        <v>#REF!</v>
      </c>
      <c r="P33" s="26" t="e">
        <f t="shared" si="4"/>
        <v>#REF!</v>
      </c>
    </row>
    <row r="34" spans="1:16" x14ac:dyDescent="0.25">
      <c r="A34" s="3" t="e">
        <f>FEMTL!#REF!</f>
        <v>#REF!</v>
      </c>
      <c r="B34" s="3" t="e">
        <f>FEMTL!#REF!</f>
        <v>#REF!</v>
      </c>
      <c r="C34" s="3" t="e">
        <f>FEMTL!#REF!</f>
        <v>#REF!</v>
      </c>
      <c r="D34" s="3" t="e">
        <f>FEMTL!#REF!</f>
        <v>#REF!</v>
      </c>
      <c r="E34" s="3" t="e">
        <f>FEMTL!#REF!</f>
        <v>#REF!</v>
      </c>
      <c r="F34" s="3" t="e">
        <f>FEMTL!#REF!</f>
        <v>#REF!</v>
      </c>
      <c r="G34" s="10" t="e">
        <f>FEMTL!#REF!</f>
        <v>#REF!</v>
      </c>
      <c r="H34" s="8" t="e">
        <f>FEMTL!#REF!</f>
        <v>#REF!</v>
      </c>
      <c r="I34" s="11" t="e">
        <f>FEMTL!#REF!</f>
        <v>#REF!</v>
      </c>
      <c r="J34" s="7" t="e">
        <f>FEMTL!#REF!</f>
        <v>#REF!</v>
      </c>
      <c r="K34" s="13" t="e">
        <f>FEMTL!#REF!</f>
        <v>#REF!</v>
      </c>
      <c r="L34" s="26" t="e">
        <f t="shared" si="0"/>
        <v>#REF!</v>
      </c>
      <c r="M34" s="26" t="e">
        <f t="shared" si="1"/>
        <v>#REF!</v>
      </c>
      <c r="N34" s="26" t="e">
        <f t="shared" si="2"/>
        <v>#REF!</v>
      </c>
      <c r="O34" s="26" t="e">
        <f t="shared" si="3"/>
        <v>#REF!</v>
      </c>
      <c r="P34" s="26" t="e">
        <f t="shared" si="4"/>
        <v>#REF!</v>
      </c>
    </row>
    <row r="35" spans="1:16" x14ac:dyDescent="0.25">
      <c r="A35" s="3" t="str">
        <f>FEMTL!A42</f>
        <v>Amnerud</v>
      </c>
      <c r="B35" s="3" t="str">
        <f>FEMTL!B42</f>
        <v>1:67</v>
      </c>
      <c r="C35" s="3" t="str">
        <f>FEMTL!C42</f>
        <v>Gunde Persson</v>
      </c>
      <c r="D35" s="3" t="str">
        <f>FEMTL!E42</f>
        <v>Högberg 3</v>
      </c>
      <c r="E35" s="3" t="str">
        <f>FEMTL!F42</f>
        <v>669 91</v>
      </c>
      <c r="F35" s="3" t="str">
        <f>FEMTL!G42</f>
        <v>Deje</v>
      </c>
      <c r="G35" s="10">
        <f>FEMTL!H42</f>
        <v>0</v>
      </c>
      <c r="H35" s="8">
        <f>FEMTL!I42</f>
        <v>8.74</v>
      </c>
      <c r="I35" s="11">
        <f>FEMTL!J42</f>
        <v>0</v>
      </c>
      <c r="J35" s="7">
        <f>FEMTL!N42</f>
        <v>8.74</v>
      </c>
      <c r="K35" s="13">
        <f>FEMTL!O42</f>
        <v>9</v>
      </c>
      <c r="L35" s="26">
        <f t="shared" si="0"/>
        <v>1</v>
      </c>
      <c r="M35" s="26">
        <f t="shared" si="1"/>
        <v>1</v>
      </c>
      <c r="N35" s="26">
        <f t="shared" si="2"/>
        <v>1</v>
      </c>
      <c r="O35" s="26">
        <f t="shared" si="3"/>
        <v>1</v>
      </c>
      <c r="P35" s="26">
        <f t="shared" si="4"/>
        <v>1</v>
      </c>
    </row>
    <row r="36" spans="1:16" x14ac:dyDescent="0.25">
      <c r="A36" s="3">
        <f>FEMTL!A43</f>
        <v>0</v>
      </c>
      <c r="B36" s="3">
        <f>FEMTL!B43</f>
        <v>0</v>
      </c>
      <c r="C36" s="3" t="str">
        <f>FEMTL!C43</f>
        <v>Marcus Persson</v>
      </c>
      <c r="D36" s="3">
        <f>FEMTL!E43</f>
        <v>0</v>
      </c>
      <c r="E36" s="3">
        <f>FEMTL!F43</f>
        <v>0</v>
      </c>
      <c r="F36" s="3">
        <f>FEMTL!G43</f>
        <v>0</v>
      </c>
      <c r="G36" s="10">
        <f>FEMTL!H43</f>
        <v>0</v>
      </c>
      <c r="H36" s="8">
        <f>FEMTL!I43</f>
        <v>0</v>
      </c>
      <c r="I36" s="11">
        <f>FEMTL!J43</f>
        <v>0</v>
      </c>
      <c r="J36" s="7">
        <f>FEMTL!N43</f>
        <v>0</v>
      </c>
      <c r="K36" s="13">
        <f>FEMTL!O43</f>
        <v>0</v>
      </c>
      <c r="L36" s="26">
        <f t="shared" si="0"/>
        <v>0</v>
      </c>
      <c r="M36" s="26">
        <f t="shared" si="1"/>
        <v>0</v>
      </c>
      <c r="N36" s="26">
        <f t="shared" si="2"/>
        <v>0</v>
      </c>
      <c r="O36" s="26">
        <f t="shared" si="3"/>
        <v>0</v>
      </c>
      <c r="P36" s="26">
        <f t="shared" si="4"/>
        <v>0</v>
      </c>
    </row>
    <row r="37" spans="1:16" x14ac:dyDescent="0.25">
      <c r="A37" s="3">
        <f>FEMTL!A44</f>
        <v>0</v>
      </c>
      <c r="B37" s="3">
        <f>FEMTL!B44</f>
        <v>0</v>
      </c>
      <c r="C37" s="3" t="str">
        <f>FEMTL!C44</f>
        <v>Martin Person</v>
      </c>
      <c r="D37" s="3">
        <f>FEMTL!E44</f>
        <v>0</v>
      </c>
      <c r="E37" s="3">
        <f>FEMTL!F44</f>
        <v>0</v>
      </c>
      <c r="F37" s="3">
        <f>FEMTL!G44</f>
        <v>0</v>
      </c>
      <c r="G37" s="10">
        <f>FEMTL!H44</f>
        <v>0</v>
      </c>
      <c r="H37" s="8">
        <f>FEMTL!I44</f>
        <v>0</v>
      </c>
      <c r="I37" s="11">
        <f>FEMTL!J44</f>
        <v>0</v>
      </c>
      <c r="J37" s="7">
        <f>FEMTL!N44</f>
        <v>0</v>
      </c>
      <c r="K37" s="13">
        <f>FEMTL!O44</f>
        <v>0</v>
      </c>
      <c r="L37" s="26">
        <f t="shared" si="0"/>
        <v>0</v>
      </c>
      <c r="M37" s="26">
        <f t="shared" si="1"/>
        <v>0</v>
      </c>
      <c r="N37" s="26">
        <f t="shared" si="2"/>
        <v>0</v>
      </c>
      <c r="O37" s="26">
        <f t="shared" si="3"/>
        <v>0</v>
      </c>
      <c r="P37" s="26">
        <f t="shared" si="4"/>
        <v>0</v>
      </c>
    </row>
    <row r="38" spans="1:16" x14ac:dyDescent="0.25">
      <c r="A38" s="3">
        <f>FEMTL!A45</f>
        <v>0</v>
      </c>
      <c r="B38" s="3">
        <f>FEMTL!B45</f>
        <v>0</v>
      </c>
      <c r="C38" s="3">
        <f>FEMTL!C45</f>
        <v>0</v>
      </c>
      <c r="D38" s="3">
        <f>FEMTL!E45</f>
        <v>0</v>
      </c>
      <c r="E38" s="3">
        <f>FEMTL!F45</f>
        <v>0</v>
      </c>
      <c r="F38" s="3">
        <f>FEMTL!G45</f>
        <v>0</v>
      </c>
      <c r="G38" s="10">
        <f>FEMTL!H45</f>
        <v>0</v>
      </c>
      <c r="H38" s="8">
        <f>FEMTL!I45</f>
        <v>0</v>
      </c>
      <c r="I38" s="11">
        <f>FEMTL!J45</f>
        <v>0</v>
      </c>
      <c r="J38" s="7">
        <f>FEMTL!N45</f>
        <v>0</v>
      </c>
      <c r="K38" s="13">
        <f>FEMTL!O45</f>
        <v>0</v>
      </c>
      <c r="L38" s="26">
        <f t="shared" si="0"/>
        <v>0</v>
      </c>
      <c r="M38" s="26">
        <f t="shared" si="1"/>
        <v>0</v>
      </c>
      <c r="N38" s="26">
        <f t="shared" si="2"/>
        <v>0</v>
      </c>
      <c r="O38" s="26">
        <f t="shared" si="3"/>
        <v>0</v>
      </c>
      <c r="P38" s="26">
        <f t="shared" si="4"/>
        <v>0</v>
      </c>
    </row>
    <row r="39" spans="1:16" x14ac:dyDescent="0.25">
      <c r="A39" s="3" t="str">
        <f>FEMTL!A46</f>
        <v>Amnerud</v>
      </c>
      <c r="B39" s="3" t="str">
        <f>FEMTL!B46</f>
        <v>1:68</v>
      </c>
      <c r="C39" s="3" t="str">
        <f>FEMTL!C46</f>
        <v>Thorbjörn Olsson</v>
      </c>
      <c r="D39" s="3" t="str">
        <f>FEMTL!E46</f>
        <v>Överbyn 28</v>
      </c>
      <c r="E39" s="3" t="str">
        <f>FEMTL!F46</f>
        <v>685 94</v>
      </c>
      <c r="F39" s="3" t="str">
        <f>FEMTL!G46</f>
        <v>Torsby</v>
      </c>
      <c r="G39" s="10">
        <f>FEMTL!H46</f>
        <v>0</v>
      </c>
      <c r="H39" s="8">
        <f>FEMTL!I46</f>
        <v>5.1100000000000003</v>
      </c>
      <c r="I39" s="11">
        <f>FEMTL!J46</f>
        <v>0</v>
      </c>
      <c r="J39" s="7">
        <f>FEMTL!N46</f>
        <v>5.1100000000000003</v>
      </c>
      <c r="K39" s="13">
        <f>FEMTL!O46</f>
        <v>6</v>
      </c>
      <c r="L39" s="26">
        <f t="shared" si="0"/>
        <v>1</v>
      </c>
      <c r="M39" s="26">
        <f t="shared" si="1"/>
        <v>1</v>
      </c>
      <c r="N39" s="26">
        <f t="shared" si="2"/>
        <v>1</v>
      </c>
      <c r="O39" s="26">
        <f t="shared" si="3"/>
        <v>1</v>
      </c>
      <c r="P39" s="26">
        <f t="shared" si="4"/>
        <v>1</v>
      </c>
    </row>
    <row r="40" spans="1:16" x14ac:dyDescent="0.25">
      <c r="A40" s="3">
        <f>FEMTL!A47</f>
        <v>0</v>
      </c>
      <c r="B40" s="3">
        <f>FEMTL!B47</f>
        <v>0</v>
      </c>
      <c r="C40" s="3" t="str">
        <f>FEMTL!C47</f>
        <v>Pernilla Olsson</v>
      </c>
      <c r="D40" s="3" t="str">
        <f>FEMTL!E47</f>
        <v>Överbyn 26</v>
      </c>
      <c r="E40" s="3" t="str">
        <f>FEMTL!F47</f>
        <v>685 94</v>
      </c>
      <c r="F40" s="3" t="str">
        <f>FEMTL!G47</f>
        <v>Torsby</v>
      </c>
      <c r="G40" s="10">
        <f>FEMTL!H47</f>
        <v>0</v>
      </c>
      <c r="H40" s="8">
        <f>FEMTL!I47</f>
        <v>0</v>
      </c>
      <c r="I40" s="11">
        <f>FEMTL!J47</f>
        <v>0</v>
      </c>
      <c r="J40" s="7">
        <f>FEMTL!N47</f>
        <v>0</v>
      </c>
      <c r="K40" s="13">
        <f>FEMTL!O47</f>
        <v>0</v>
      </c>
      <c r="L40" s="26">
        <f t="shared" si="0"/>
        <v>0</v>
      </c>
      <c r="M40" s="26">
        <f t="shared" si="1"/>
        <v>0</v>
      </c>
      <c r="N40" s="26">
        <f t="shared" si="2"/>
        <v>0</v>
      </c>
      <c r="O40" s="26">
        <f t="shared" si="3"/>
        <v>0</v>
      </c>
      <c r="P40" s="26">
        <f t="shared" si="4"/>
        <v>0</v>
      </c>
    </row>
    <row r="41" spans="1:16" x14ac:dyDescent="0.25">
      <c r="A41" s="3">
        <f>FEMTL!A48</f>
        <v>0</v>
      </c>
      <c r="B41" s="3">
        <f>FEMTL!B48</f>
        <v>0</v>
      </c>
      <c r="C41" s="3">
        <f>FEMTL!C48</f>
        <v>0</v>
      </c>
      <c r="D41" s="3">
        <f>FEMTL!E48</f>
        <v>0</v>
      </c>
      <c r="E41" s="3">
        <f>FEMTL!F48</f>
        <v>0</v>
      </c>
      <c r="F41" s="3">
        <f>FEMTL!G48</f>
        <v>0</v>
      </c>
      <c r="G41" s="10">
        <f>FEMTL!H48</f>
        <v>0</v>
      </c>
      <c r="H41" s="8">
        <f>FEMTL!I48</f>
        <v>0</v>
      </c>
      <c r="I41" s="11">
        <f>FEMTL!J48</f>
        <v>0</v>
      </c>
      <c r="J41" s="7">
        <f>FEMTL!N48</f>
        <v>0</v>
      </c>
      <c r="K41" s="13">
        <f>FEMTL!O48</f>
        <v>0</v>
      </c>
      <c r="L41" s="26">
        <f t="shared" si="0"/>
        <v>0</v>
      </c>
      <c r="M41" s="26">
        <f t="shared" si="1"/>
        <v>0</v>
      </c>
      <c r="N41" s="26">
        <f t="shared" si="2"/>
        <v>0</v>
      </c>
      <c r="O41" s="26">
        <f t="shared" si="3"/>
        <v>0</v>
      </c>
      <c r="P41" s="26">
        <f t="shared" si="4"/>
        <v>0</v>
      </c>
    </row>
    <row r="42" spans="1:16" x14ac:dyDescent="0.25">
      <c r="A42" s="3" t="str">
        <f>FEMTL!A49</f>
        <v>Amnerud</v>
      </c>
      <c r="B42" s="3" t="str">
        <f>FEMTL!B49</f>
        <v>1:69</v>
      </c>
      <c r="C42" s="3" t="str">
        <f>FEMTL!C49</f>
        <v>John-Erik Persson</v>
      </c>
      <c r="D42" s="3" t="str">
        <f>FEMTL!E49</f>
        <v>Rundellgatan 16</v>
      </c>
      <c r="E42" s="3" t="str">
        <f>FEMTL!F49</f>
        <v>653 42</v>
      </c>
      <c r="F42" s="3" t="str">
        <f>FEMTL!G49</f>
        <v>Karlstad</v>
      </c>
      <c r="G42" s="10">
        <f>FEMTL!H49</f>
        <v>0</v>
      </c>
      <c r="H42" s="8">
        <f>FEMTL!I49</f>
        <v>5.86</v>
      </c>
      <c r="I42" s="11">
        <f>FEMTL!J49</f>
        <v>0</v>
      </c>
      <c r="J42" s="7">
        <f>FEMTL!N49</f>
        <v>5.86</v>
      </c>
      <c r="K42" s="13">
        <f>FEMTL!O49</f>
        <v>6</v>
      </c>
      <c r="L42" s="26">
        <f t="shared" si="0"/>
        <v>1</v>
      </c>
      <c r="M42" s="26">
        <f t="shared" si="1"/>
        <v>1</v>
      </c>
      <c r="N42" s="26">
        <f t="shared" si="2"/>
        <v>1</v>
      </c>
      <c r="O42" s="26">
        <f t="shared" si="3"/>
        <v>1</v>
      </c>
      <c r="P42" s="26">
        <f t="shared" si="4"/>
        <v>1</v>
      </c>
    </row>
    <row r="43" spans="1:16" x14ac:dyDescent="0.25">
      <c r="A43" s="3">
        <f>FEMTL!A50</f>
        <v>0</v>
      </c>
      <c r="B43" s="3">
        <f>FEMTL!B50</f>
        <v>0</v>
      </c>
      <c r="C43" s="3">
        <f>FEMTL!C50</f>
        <v>0</v>
      </c>
      <c r="D43" s="3">
        <f>FEMTL!E50</f>
        <v>0</v>
      </c>
      <c r="E43" s="3">
        <f>FEMTL!F50</f>
        <v>0</v>
      </c>
      <c r="F43" s="3">
        <f>FEMTL!G50</f>
        <v>0</v>
      </c>
      <c r="G43" s="8">
        <f>FEMTL!H50</f>
        <v>0</v>
      </c>
      <c r="H43" s="8">
        <f>FEMTL!I50</f>
        <v>0</v>
      </c>
      <c r="I43" s="11">
        <f>FEMTL!J50</f>
        <v>0</v>
      </c>
      <c r="J43" s="7">
        <f>FEMTL!N50</f>
        <v>0</v>
      </c>
      <c r="K43" s="13">
        <f>FEMTL!O50</f>
        <v>0</v>
      </c>
      <c r="L43" s="26">
        <f t="shared" si="0"/>
        <v>0</v>
      </c>
      <c r="M43" s="26">
        <f t="shared" si="1"/>
        <v>0</v>
      </c>
      <c r="N43" s="26">
        <f t="shared" si="2"/>
        <v>0</v>
      </c>
      <c r="O43" s="26">
        <f t="shared" si="3"/>
        <v>0</v>
      </c>
      <c r="P43" s="26">
        <f t="shared" si="4"/>
        <v>0</v>
      </c>
    </row>
    <row r="44" spans="1:16" x14ac:dyDescent="0.25">
      <c r="A44" s="3" t="str">
        <f>FEMTL!A51</f>
        <v>Amnerud</v>
      </c>
      <c r="B44" s="3" t="str">
        <f>FEMTL!B51</f>
        <v>1:76</v>
      </c>
      <c r="C44" s="3" t="str">
        <f>FEMTL!C51</f>
        <v>Peder Kristiansen</v>
      </c>
      <c r="D44" s="3" t="str">
        <f>FEMTL!E51</f>
        <v>Smedjerud</v>
      </c>
      <c r="E44" s="3" t="str">
        <f>FEMTL!F51</f>
        <v>312 98</v>
      </c>
      <c r="F44" s="3" t="str">
        <f>FEMTL!G51</f>
        <v>Voxtorp</v>
      </c>
      <c r="G44" s="8">
        <f>FEMTL!H51</f>
        <v>0</v>
      </c>
      <c r="H44" s="8">
        <f>FEMTL!I51</f>
        <v>4.0999999999999996</v>
      </c>
      <c r="I44" s="11">
        <f>FEMTL!J51</f>
        <v>0</v>
      </c>
      <c r="J44" s="7">
        <f>FEMTL!N51</f>
        <v>4.0999999999999996</v>
      </c>
      <c r="K44" s="13">
        <f>FEMTL!O51</f>
        <v>5</v>
      </c>
      <c r="L44" s="26">
        <f t="shared" si="0"/>
        <v>1</v>
      </c>
      <c r="M44" s="26">
        <f t="shared" si="1"/>
        <v>1</v>
      </c>
      <c r="N44" s="26">
        <f t="shared" si="2"/>
        <v>1</v>
      </c>
      <c r="O44" s="26">
        <f t="shared" si="3"/>
        <v>1</v>
      </c>
      <c r="P44" s="26">
        <f t="shared" si="4"/>
        <v>1</v>
      </c>
    </row>
    <row r="45" spans="1:16" x14ac:dyDescent="0.25">
      <c r="A45" s="3">
        <f>FEMTL!A52</f>
        <v>0</v>
      </c>
      <c r="B45" s="3">
        <f>FEMTL!B52</f>
        <v>0</v>
      </c>
      <c r="C45" s="3">
        <f>FEMTL!C52</f>
        <v>0</v>
      </c>
      <c r="D45" s="3">
        <f>FEMTL!E52</f>
        <v>0</v>
      </c>
      <c r="E45" s="3">
        <f>FEMTL!F52</f>
        <v>0</v>
      </c>
      <c r="F45" s="3">
        <f>FEMTL!G52</f>
        <v>0</v>
      </c>
      <c r="G45" s="10">
        <f>FEMTL!H52</f>
        <v>0</v>
      </c>
      <c r="H45" s="8">
        <f>FEMTL!I52</f>
        <v>0</v>
      </c>
      <c r="I45" s="11">
        <f>FEMTL!J52</f>
        <v>0</v>
      </c>
      <c r="J45" s="7">
        <f>FEMTL!N52</f>
        <v>0</v>
      </c>
      <c r="K45" s="13">
        <f>FEMTL!O52</f>
        <v>0</v>
      </c>
      <c r="L45" s="26">
        <f t="shared" si="0"/>
        <v>0</v>
      </c>
      <c r="M45" s="26">
        <f t="shared" si="1"/>
        <v>0</v>
      </c>
      <c r="N45" s="26">
        <f t="shared" si="2"/>
        <v>0</v>
      </c>
      <c r="O45" s="26">
        <f t="shared" si="3"/>
        <v>0</v>
      </c>
      <c r="P45" s="26">
        <f t="shared" si="4"/>
        <v>0</v>
      </c>
    </row>
    <row r="46" spans="1:16" x14ac:dyDescent="0.25">
      <c r="A46" s="3" t="str">
        <f>FEMTL!A53</f>
        <v>Amnerud</v>
      </c>
      <c r="B46" s="3" t="str">
        <f>FEMTL!B53</f>
        <v>1:78</v>
      </c>
      <c r="C46" s="3" t="str">
        <f>FEMTL!C53</f>
        <v>Ann-Britt Amundsson</v>
      </c>
      <c r="D46" s="3" t="str">
        <f>FEMTL!E53</f>
        <v>Tallvägen 12</v>
      </c>
      <c r="E46" s="3" t="str">
        <f>FEMTL!F53</f>
        <v>683 60</v>
      </c>
      <c r="F46" s="3" t="str">
        <f>FEMTL!G53</f>
        <v>Ekshärad</v>
      </c>
      <c r="G46" s="10">
        <f>FEMTL!H53</f>
        <v>0.38</v>
      </c>
      <c r="H46" s="8">
        <f>FEMTL!I53</f>
        <v>0.38</v>
      </c>
      <c r="I46" s="11">
        <f>FEMTL!J53</f>
        <v>0</v>
      </c>
      <c r="J46" s="7">
        <f>FEMTL!N53</f>
        <v>0.38</v>
      </c>
      <c r="K46" s="13">
        <f>FEMTL!O53</f>
        <v>1</v>
      </c>
      <c r="L46" s="26">
        <f t="shared" si="0"/>
        <v>1</v>
      </c>
      <c r="M46" s="26">
        <f t="shared" si="1"/>
        <v>1</v>
      </c>
      <c r="N46" s="26">
        <f t="shared" si="2"/>
        <v>1</v>
      </c>
      <c r="O46" s="26">
        <f t="shared" si="3"/>
        <v>1</v>
      </c>
      <c r="P46" s="26">
        <f t="shared" si="4"/>
        <v>1</v>
      </c>
    </row>
    <row r="47" spans="1:16" x14ac:dyDescent="0.25">
      <c r="A47" s="3" t="str">
        <f>FEMTL!A60</f>
        <v>Amnerud</v>
      </c>
      <c r="B47" s="3" t="str">
        <f>FEMTL!B60</f>
        <v>1:122</v>
      </c>
      <c r="C47" s="3" t="str">
        <f>FEMTL!C60</f>
        <v>Els-Marie Andersen</v>
      </c>
      <c r="D47" s="3" t="str">
        <f>FEMTL!E60</f>
        <v>Mossängsvägen 1B</v>
      </c>
      <c r="E47" s="3" t="str">
        <f>FEMTL!F60</f>
        <v>684 32</v>
      </c>
      <c r="F47" s="3" t="str">
        <f>FEMTL!G60</f>
        <v>Munkfors</v>
      </c>
      <c r="G47" s="10">
        <f>FEMTL!H60</f>
        <v>4.62</v>
      </c>
      <c r="H47" s="8">
        <f>FEMTL!I60</f>
        <v>4.62</v>
      </c>
      <c r="I47" s="11">
        <f>FEMTL!J60</f>
        <v>0</v>
      </c>
      <c r="J47" s="7">
        <f>FEMTL!N60</f>
        <v>4.62</v>
      </c>
      <c r="K47" s="13">
        <f>FEMTL!O60</f>
        <v>5</v>
      </c>
      <c r="L47" s="26">
        <f t="shared" si="0"/>
        <v>1</v>
      </c>
      <c r="M47" s="26">
        <f t="shared" si="1"/>
        <v>1</v>
      </c>
      <c r="N47" s="26">
        <f t="shared" si="2"/>
        <v>1</v>
      </c>
      <c r="O47" s="26">
        <f t="shared" si="3"/>
        <v>1</v>
      </c>
      <c r="P47" s="26">
        <f t="shared" si="4"/>
        <v>1</v>
      </c>
    </row>
    <row r="48" spans="1:16" x14ac:dyDescent="0.25">
      <c r="A48" s="3" t="str">
        <f>FEMTL!A62</f>
        <v>Amnerud</v>
      </c>
      <c r="B48" s="3" t="str">
        <f>FEMTL!B62</f>
        <v>1:123</v>
      </c>
      <c r="C48" s="3" t="str">
        <f>FEMTL!C62</f>
        <v>Malin Susanna Andersen</v>
      </c>
      <c r="D48" s="3" t="str">
        <f>FEMTL!E62</f>
        <v>Kätterud 318</v>
      </c>
      <c r="E48" s="3" t="str">
        <f>FEMTL!F62</f>
        <v>655 91</v>
      </c>
      <c r="F48" s="3" t="str">
        <f>FEMTL!G62</f>
        <v>Karlstad</v>
      </c>
      <c r="G48" s="10">
        <f>FEMTL!H62</f>
        <v>1.33</v>
      </c>
      <c r="H48" s="8">
        <f>FEMTL!I62</f>
        <v>1.33</v>
      </c>
      <c r="I48" s="11">
        <f>FEMTL!J62</f>
        <v>0</v>
      </c>
      <c r="J48" s="7">
        <f>FEMTL!N62</f>
        <v>1.33</v>
      </c>
      <c r="K48" s="13">
        <f>FEMTL!O62</f>
        <v>2</v>
      </c>
      <c r="L48" s="26">
        <f t="shared" si="0"/>
        <v>1</v>
      </c>
      <c r="M48" s="26">
        <f t="shared" si="1"/>
        <v>1</v>
      </c>
      <c r="N48" s="26">
        <f t="shared" si="2"/>
        <v>1</v>
      </c>
      <c r="O48" s="26">
        <f t="shared" si="3"/>
        <v>1</v>
      </c>
      <c r="P48" s="26">
        <f t="shared" si="4"/>
        <v>1</v>
      </c>
    </row>
    <row r="49" spans="1:16" x14ac:dyDescent="0.25">
      <c r="A49" s="3" t="e">
        <f>FEMTL!#REF!</f>
        <v>#REF!</v>
      </c>
      <c r="B49" s="3" t="e">
        <f>FEMTL!#REF!</f>
        <v>#REF!</v>
      </c>
      <c r="C49" s="3" t="e">
        <f>FEMTL!#REF!</f>
        <v>#REF!</v>
      </c>
      <c r="D49" s="3" t="e">
        <f>FEMTL!#REF!</f>
        <v>#REF!</v>
      </c>
      <c r="E49" s="3" t="e">
        <f>FEMTL!#REF!</f>
        <v>#REF!</v>
      </c>
      <c r="F49" s="3" t="e">
        <f>FEMTL!#REF!</f>
        <v>#REF!</v>
      </c>
      <c r="G49" s="10" t="e">
        <f>FEMTL!#REF!</f>
        <v>#REF!</v>
      </c>
      <c r="H49" s="8" t="e">
        <f>FEMTL!#REF!</f>
        <v>#REF!</v>
      </c>
      <c r="I49" s="11" t="e">
        <f>FEMTL!#REF!</f>
        <v>#REF!</v>
      </c>
      <c r="J49" s="7" t="e">
        <f>FEMTL!#REF!</f>
        <v>#REF!</v>
      </c>
      <c r="K49" s="13" t="e">
        <f>FEMTL!#REF!</f>
        <v>#REF!</v>
      </c>
      <c r="L49" s="26" t="e">
        <f t="shared" si="0"/>
        <v>#REF!</v>
      </c>
      <c r="M49" s="26" t="e">
        <f t="shared" si="1"/>
        <v>#REF!</v>
      </c>
      <c r="N49" s="26" t="e">
        <f t="shared" si="2"/>
        <v>#REF!</v>
      </c>
      <c r="O49" s="26" t="e">
        <f t="shared" si="3"/>
        <v>#REF!</v>
      </c>
      <c r="P49" s="26" t="e">
        <f t="shared" si="4"/>
        <v>#REF!</v>
      </c>
    </row>
    <row r="50" spans="1:16" x14ac:dyDescent="0.25">
      <c r="A50" s="3" t="str">
        <f>FEMTL!A55</f>
        <v>Amnerud</v>
      </c>
      <c r="B50" s="3" t="str">
        <f>FEMTL!B55</f>
        <v>1:94</v>
      </c>
      <c r="C50" s="3" t="str">
        <f>FEMTL!C55</f>
        <v>Lars Erik Andersson</v>
      </c>
      <c r="D50" s="3" t="str">
        <f>FEMTL!E55</f>
        <v xml:space="preserve">Transtrand </v>
      </c>
      <c r="E50" s="3" t="str">
        <f>FEMTL!F55</f>
        <v>680 63</v>
      </c>
      <c r="F50" s="3" t="str">
        <f>FEMTL!G55</f>
        <v>Likenäs</v>
      </c>
      <c r="G50" s="10">
        <f>FEMTL!H55</f>
        <v>0</v>
      </c>
      <c r="H50" s="3">
        <f>FEMTL!I55</f>
        <v>102.18</v>
      </c>
      <c r="I50" s="11">
        <f>FEMTL!J55</f>
        <v>89</v>
      </c>
      <c r="J50" s="7">
        <f>FEMTL!N55</f>
        <v>13.180000000000007</v>
      </c>
      <c r="K50" s="13">
        <f>FEMTL!O55</f>
        <v>14</v>
      </c>
      <c r="L50" s="26">
        <f t="shared" si="0"/>
        <v>1</v>
      </c>
      <c r="M50" s="26">
        <f t="shared" si="1"/>
        <v>1</v>
      </c>
      <c r="N50" s="26">
        <f t="shared" si="2"/>
        <v>1</v>
      </c>
      <c r="O50" s="26">
        <f t="shared" si="3"/>
        <v>1</v>
      </c>
      <c r="P50" s="26">
        <f t="shared" si="4"/>
        <v>1</v>
      </c>
    </row>
    <row r="51" spans="1:16" x14ac:dyDescent="0.25">
      <c r="A51" s="3">
        <f>FEMTL!A56</f>
        <v>0</v>
      </c>
      <c r="B51" s="3">
        <f>FEMTL!B56</f>
        <v>0</v>
      </c>
      <c r="C51" s="3">
        <f>FEMTL!C56</f>
        <v>0</v>
      </c>
      <c r="D51" s="3">
        <f>FEMTL!E56</f>
        <v>0</v>
      </c>
      <c r="E51" s="3">
        <f>FEMTL!F56</f>
        <v>0</v>
      </c>
      <c r="F51" s="3">
        <f>FEMTL!G56</f>
        <v>0</v>
      </c>
      <c r="G51" s="10">
        <f>FEMTL!H56</f>
        <v>0</v>
      </c>
      <c r="H51" s="8">
        <f>FEMTL!I56</f>
        <v>0</v>
      </c>
      <c r="I51" s="11">
        <f>FEMTL!J56</f>
        <v>0</v>
      </c>
      <c r="J51" s="7">
        <f>FEMTL!N56</f>
        <v>0</v>
      </c>
      <c r="K51" s="13">
        <f>FEMTL!O56</f>
        <v>0</v>
      </c>
      <c r="L51" s="26">
        <f t="shared" si="0"/>
        <v>0</v>
      </c>
      <c r="M51" s="26">
        <f t="shared" si="1"/>
        <v>0</v>
      </c>
      <c r="N51" s="26">
        <f t="shared" si="2"/>
        <v>0</v>
      </c>
      <c r="O51" s="26">
        <f t="shared" si="3"/>
        <v>0</v>
      </c>
      <c r="P51" s="26">
        <f t="shared" si="4"/>
        <v>0</v>
      </c>
    </row>
    <row r="52" spans="1:16" x14ac:dyDescent="0.25">
      <c r="A52" s="3" t="str">
        <f>FEMTL!A58</f>
        <v>Amnerud</v>
      </c>
      <c r="B52" s="3" t="str">
        <f>FEMTL!B58</f>
        <v>1:104</v>
      </c>
      <c r="C52" s="3" t="str">
        <f>FEMTL!C58</f>
        <v>Göte Persson</v>
      </c>
      <c r="D52" s="3" t="str">
        <f>FEMTL!E58</f>
        <v>Amnerudsheden 39</v>
      </c>
      <c r="E52" s="3" t="str">
        <f>FEMTL!F58</f>
        <v>680 63</v>
      </c>
      <c r="F52" s="3" t="str">
        <f>FEMTL!G58</f>
        <v>Likenäs</v>
      </c>
      <c r="G52" s="10">
        <f>FEMTL!H58</f>
        <v>0</v>
      </c>
      <c r="H52" s="8">
        <f>FEMTL!I58</f>
        <v>2.59</v>
      </c>
      <c r="I52" s="11">
        <f>FEMTL!J58</f>
        <v>0</v>
      </c>
      <c r="J52" s="7">
        <f>FEMTL!N58</f>
        <v>2.59</v>
      </c>
      <c r="K52" s="13">
        <f>FEMTL!O58</f>
        <v>3</v>
      </c>
      <c r="L52" s="26">
        <f t="shared" si="0"/>
        <v>1</v>
      </c>
      <c r="M52" s="26">
        <f t="shared" si="1"/>
        <v>1</v>
      </c>
      <c r="N52" s="26">
        <f t="shared" si="2"/>
        <v>1</v>
      </c>
      <c r="O52" s="26">
        <f t="shared" si="3"/>
        <v>1</v>
      </c>
      <c r="P52" s="26">
        <f t="shared" si="4"/>
        <v>1</v>
      </c>
    </row>
    <row r="53" spans="1:16" x14ac:dyDescent="0.25">
      <c r="A53" s="3">
        <f>FEMTL!A59</f>
        <v>0</v>
      </c>
      <c r="B53" s="3">
        <f>FEMTL!B59</f>
        <v>0</v>
      </c>
      <c r="C53" s="3">
        <f>FEMTL!C59</f>
        <v>0</v>
      </c>
      <c r="D53" s="3">
        <f>FEMTL!E59</f>
        <v>0</v>
      </c>
      <c r="E53" s="3">
        <f>FEMTL!F59</f>
        <v>0</v>
      </c>
      <c r="F53" s="3">
        <f>FEMTL!G59</f>
        <v>0</v>
      </c>
      <c r="G53" s="10">
        <f>FEMTL!H59</f>
        <v>0</v>
      </c>
      <c r="H53" s="8">
        <f>FEMTL!I59</f>
        <v>0</v>
      </c>
      <c r="I53" s="11">
        <f>FEMTL!J59</f>
        <v>0</v>
      </c>
      <c r="J53" s="7">
        <f>FEMTL!N59</f>
        <v>0</v>
      </c>
      <c r="K53" s="13">
        <f>FEMTL!O59</f>
        <v>0</v>
      </c>
      <c r="L53" s="26">
        <f t="shared" si="0"/>
        <v>0</v>
      </c>
      <c r="M53" s="26">
        <f t="shared" si="1"/>
        <v>0</v>
      </c>
      <c r="N53" s="26">
        <f t="shared" si="2"/>
        <v>0</v>
      </c>
      <c r="O53" s="26">
        <f t="shared" si="3"/>
        <v>0</v>
      </c>
      <c r="P53" s="26">
        <f t="shared" si="4"/>
        <v>0</v>
      </c>
    </row>
    <row r="54" spans="1:16" x14ac:dyDescent="0.25">
      <c r="A54" s="3" t="str">
        <f>FEMTL!A5</f>
        <v>Amnerud</v>
      </c>
      <c r="B54" s="3" t="str">
        <f>FEMTL!B5</f>
        <v>1:105</v>
      </c>
      <c r="C54" s="3" t="str">
        <f>FEMTL!C5</f>
        <v>Maria&amp;Christer Tillberg</v>
      </c>
      <c r="D54" s="3" t="str">
        <f>FEMTL!E5</f>
        <v>Backa 3</v>
      </c>
      <c r="E54" s="3" t="str">
        <f>FEMTL!F5</f>
        <v>680 63</v>
      </c>
      <c r="F54" s="3" t="str">
        <f>FEMTL!G5</f>
        <v>Likenäs</v>
      </c>
      <c r="G54" s="10">
        <f>FEMTL!H5</f>
        <v>0</v>
      </c>
      <c r="H54" s="8">
        <f>FEMTL!I5</f>
        <v>96.11</v>
      </c>
      <c r="I54" s="11">
        <f>FEMTL!J5</f>
        <v>43</v>
      </c>
      <c r="J54" s="7">
        <f>FEMTL!N5</f>
        <v>814.47</v>
      </c>
      <c r="K54" s="13">
        <f>FEMTL!O5</f>
        <v>815</v>
      </c>
      <c r="L54" s="26">
        <f t="shared" si="0"/>
        <v>9</v>
      </c>
      <c r="M54" s="26">
        <f t="shared" si="1"/>
        <v>10</v>
      </c>
      <c r="N54" s="26">
        <f t="shared" si="2"/>
        <v>11</v>
      </c>
      <c r="O54" s="26">
        <f t="shared" si="3"/>
        <v>11</v>
      </c>
      <c r="P54" s="26">
        <f t="shared" si="4"/>
        <v>33</v>
      </c>
    </row>
    <row r="55" spans="1:16" x14ac:dyDescent="0.25">
      <c r="A55" s="3" t="str">
        <f>FEMTL!A7</f>
        <v>Dalby-Backa</v>
      </c>
      <c r="B55" s="3" t="str">
        <f>FEMTL!B7</f>
        <v>1:39</v>
      </c>
      <c r="C55" s="3">
        <f>FEMTL!C7</f>
        <v>0</v>
      </c>
      <c r="D55" s="3">
        <f>FEMTL!E7</f>
        <v>0</v>
      </c>
      <c r="E55" s="3">
        <f>FEMTL!F7</f>
        <v>0</v>
      </c>
      <c r="F55" s="3">
        <f>FEMTL!G7</f>
        <v>0</v>
      </c>
      <c r="G55" s="10">
        <f>FEMTL!H7</f>
        <v>0</v>
      </c>
      <c r="H55" s="8">
        <f>FEMTL!I7</f>
        <v>340.08</v>
      </c>
      <c r="I55" s="11">
        <f>FEMTL!J7</f>
        <v>0</v>
      </c>
      <c r="J55" s="7">
        <f>FEMTL!N7</f>
        <v>0</v>
      </c>
      <c r="K55" s="13">
        <f>FEMTL!O7</f>
        <v>0</v>
      </c>
      <c r="L55" s="26">
        <f t="shared" si="0"/>
        <v>0</v>
      </c>
      <c r="M55" s="26">
        <f t="shared" si="1"/>
        <v>0</v>
      </c>
      <c r="N55" s="26">
        <f t="shared" si="2"/>
        <v>0</v>
      </c>
      <c r="O55" s="26">
        <f t="shared" si="3"/>
        <v>0</v>
      </c>
      <c r="P55" s="26">
        <f t="shared" si="4"/>
        <v>0</v>
      </c>
    </row>
    <row r="56" spans="1:16" x14ac:dyDescent="0.25">
      <c r="A56" s="3" t="str">
        <f>FEMTL!A10</f>
        <v xml:space="preserve">Kattstjärten </v>
      </c>
      <c r="B56" s="3" t="str">
        <f>FEMTL!B10</f>
        <v>1:16</v>
      </c>
      <c r="C56" s="3">
        <f>FEMTL!C10</f>
        <v>0</v>
      </c>
      <c r="D56" s="3">
        <f>FEMTL!E10</f>
        <v>0</v>
      </c>
      <c r="E56" s="3">
        <f>FEMTL!F10</f>
        <v>0</v>
      </c>
      <c r="F56" s="3">
        <f>FEMTL!G10</f>
        <v>0</v>
      </c>
      <c r="G56" s="10">
        <f>FEMTL!H10</f>
        <v>0</v>
      </c>
      <c r="H56" s="8">
        <f>FEMTL!I10</f>
        <v>51.63</v>
      </c>
      <c r="I56" s="11">
        <f>FEMTL!J10</f>
        <v>0</v>
      </c>
      <c r="J56" s="7">
        <f>FEMTL!N10</f>
        <v>0</v>
      </c>
      <c r="K56" s="13">
        <f>FEMTL!O10</f>
        <v>0</v>
      </c>
      <c r="L56" s="26">
        <f t="shared" si="0"/>
        <v>0</v>
      </c>
      <c r="M56" s="26">
        <f t="shared" si="1"/>
        <v>0</v>
      </c>
      <c r="N56" s="26">
        <f t="shared" si="2"/>
        <v>0</v>
      </c>
      <c r="O56" s="26">
        <f t="shared" si="3"/>
        <v>0</v>
      </c>
      <c r="P56" s="26">
        <f t="shared" si="4"/>
        <v>0</v>
      </c>
    </row>
    <row r="57" spans="1:16" x14ac:dyDescent="0.25">
      <c r="A57" s="3" t="str">
        <f>FEMTL!A12</f>
        <v>Mörbacka</v>
      </c>
      <c r="B57" s="3" t="str">
        <f>FEMTL!B12</f>
        <v>1:43</v>
      </c>
      <c r="C57" s="3">
        <f>FEMTL!C12</f>
        <v>0</v>
      </c>
      <c r="D57" s="3">
        <f>FEMTL!E12</f>
        <v>0</v>
      </c>
      <c r="E57" s="3">
        <f>FEMTL!F12</f>
        <v>0</v>
      </c>
      <c r="F57" s="3">
        <f>FEMTL!G12</f>
        <v>0</v>
      </c>
      <c r="G57" s="10">
        <f>FEMTL!H12</f>
        <v>0</v>
      </c>
      <c r="H57" s="8">
        <f>FEMTL!I12</f>
        <v>246.98</v>
      </c>
      <c r="I57" s="11">
        <f>FEMTL!J12</f>
        <v>117.4</v>
      </c>
      <c r="J57" s="7">
        <f>FEMTL!N12</f>
        <v>0</v>
      </c>
      <c r="K57" s="13">
        <f>FEMTL!O12</f>
        <v>0</v>
      </c>
      <c r="L57" s="26">
        <f t="shared" si="0"/>
        <v>0</v>
      </c>
      <c r="M57" s="26">
        <f t="shared" si="1"/>
        <v>0</v>
      </c>
      <c r="N57" s="26">
        <f t="shared" si="2"/>
        <v>0</v>
      </c>
      <c r="O57" s="26">
        <f t="shared" si="3"/>
        <v>0</v>
      </c>
      <c r="P57" s="26">
        <f t="shared" si="4"/>
        <v>0</v>
      </c>
    </row>
    <row r="58" spans="1:16" x14ac:dyDescent="0.25">
      <c r="A58" s="3" t="str">
        <f>FEMTL!A13</f>
        <v>Skinnerud</v>
      </c>
      <c r="B58" s="3" t="str">
        <f>FEMTL!B13</f>
        <v>1:14</v>
      </c>
      <c r="C58" s="3">
        <f>FEMTL!C13</f>
        <v>0</v>
      </c>
      <c r="D58" s="3">
        <f>FEMTL!E13</f>
        <v>0</v>
      </c>
      <c r="E58" s="3">
        <f>FEMTL!F13</f>
        <v>0</v>
      </c>
      <c r="F58" s="3">
        <f>FEMTL!G13</f>
        <v>0</v>
      </c>
      <c r="G58" s="10">
        <f>FEMTL!H13</f>
        <v>0</v>
      </c>
      <c r="H58" s="7">
        <f>FEMTL!I13</f>
        <v>128.01</v>
      </c>
      <c r="I58" s="11">
        <f>FEMTL!J13</f>
        <v>0</v>
      </c>
      <c r="J58" s="7">
        <f>FEMTL!N13</f>
        <v>0</v>
      </c>
      <c r="K58" s="13">
        <f>FEMTL!O13</f>
        <v>0</v>
      </c>
      <c r="L58" s="26">
        <f t="shared" si="0"/>
        <v>0</v>
      </c>
      <c r="M58" s="26">
        <f t="shared" si="1"/>
        <v>0</v>
      </c>
      <c r="N58" s="26">
        <f t="shared" si="2"/>
        <v>0</v>
      </c>
      <c r="O58" s="26">
        <f t="shared" si="3"/>
        <v>0</v>
      </c>
      <c r="P58" s="26">
        <f t="shared" si="4"/>
        <v>0</v>
      </c>
    </row>
    <row r="59" spans="1:16" x14ac:dyDescent="0.25">
      <c r="A59" s="3">
        <f>FEMTL!A57</f>
        <v>0</v>
      </c>
      <c r="B59" s="3">
        <f>FEMTL!B57</f>
        <v>0</v>
      </c>
      <c r="C59" s="3">
        <f>FEMTL!C57</f>
        <v>0</v>
      </c>
      <c r="D59" s="3">
        <f>FEMTL!E57</f>
        <v>0</v>
      </c>
      <c r="E59" s="3">
        <f>FEMTL!F57</f>
        <v>0</v>
      </c>
      <c r="F59" s="3">
        <f>FEMTL!G57</f>
        <v>0</v>
      </c>
      <c r="G59" s="10">
        <f>FEMTL!H57</f>
        <v>0</v>
      </c>
      <c r="H59" s="8">
        <f>FEMTL!I57</f>
        <v>0</v>
      </c>
      <c r="I59" s="11">
        <f>FEMTL!J57</f>
        <v>0</v>
      </c>
      <c r="J59" s="7">
        <f>FEMTL!N57</f>
        <v>0</v>
      </c>
      <c r="K59" s="13">
        <f>FEMTL!O57</f>
        <v>0</v>
      </c>
      <c r="L59" s="26">
        <f t="shared" si="0"/>
        <v>0</v>
      </c>
      <c r="M59" s="26">
        <f t="shared" si="1"/>
        <v>0</v>
      </c>
      <c r="N59" s="26">
        <f t="shared" si="2"/>
        <v>0</v>
      </c>
      <c r="O59" s="26">
        <f t="shared" si="3"/>
        <v>0</v>
      </c>
      <c r="P59" s="26">
        <f t="shared" si="4"/>
        <v>0</v>
      </c>
    </row>
    <row r="60" spans="1:16" x14ac:dyDescent="0.25">
      <c r="A60" s="3" t="str">
        <f>FEMTL!A64</f>
        <v>Amnerud</v>
      </c>
      <c r="B60" s="3" t="str">
        <f>FEMTL!B64</f>
        <v>1:115</v>
      </c>
      <c r="C60" s="3" t="str">
        <f>FEMTL!C64</f>
        <v>Caroline Frykelid</v>
      </c>
      <c r="D60" s="3" t="str">
        <f>FEMTL!E64</f>
        <v>Amnerud 25</v>
      </c>
      <c r="E60" s="3" t="str">
        <f>FEMTL!F64</f>
        <v>680 63</v>
      </c>
      <c r="F60" s="3" t="str">
        <f>FEMTL!G64</f>
        <v>Likenäs</v>
      </c>
      <c r="G60" s="10">
        <f>FEMTL!H64</f>
        <v>0</v>
      </c>
      <c r="H60" s="8">
        <f>FEMTL!I64</f>
        <v>2.5</v>
      </c>
      <c r="I60" s="11">
        <f>FEMTL!J64</f>
        <v>0</v>
      </c>
      <c r="J60" s="7">
        <f>FEMTL!N64</f>
        <v>2.5</v>
      </c>
      <c r="K60" s="13">
        <f>FEMTL!O64</f>
        <v>3</v>
      </c>
      <c r="L60" s="26">
        <f t="shared" si="0"/>
        <v>1</v>
      </c>
      <c r="M60" s="26">
        <f t="shared" si="1"/>
        <v>1</v>
      </c>
      <c r="N60" s="26">
        <f t="shared" si="2"/>
        <v>1</v>
      </c>
      <c r="O60" s="26">
        <f t="shared" si="3"/>
        <v>1</v>
      </c>
      <c r="P60" s="26">
        <f t="shared" si="4"/>
        <v>1</v>
      </c>
    </row>
    <row r="61" spans="1:16" x14ac:dyDescent="0.25">
      <c r="A61" s="3">
        <f>FEMTL!A65</f>
        <v>0</v>
      </c>
      <c r="B61" s="3">
        <f>FEMTL!B65</f>
        <v>0</v>
      </c>
      <c r="C61" s="3">
        <f>FEMTL!C65</f>
        <v>0</v>
      </c>
      <c r="D61" s="3">
        <f>FEMTL!E65</f>
        <v>0</v>
      </c>
      <c r="E61" s="3">
        <f>FEMTL!F65</f>
        <v>0</v>
      </c>
      <c r="F61" s="3">
        <f>FEMTL!G65</f>
        <v>0</v>
      </c>
      <c r="G61" s="10">
        <f>FEMTL!H65</f>
        <v>0</v>
      </c>
      <c r="H61" s="8">
        <f>FEMTL!I65</f>
        <v>0</v>
      </c>
      <c r="I61" s="11">
        <f>FEMTL!J65</f>
        <v>0</v>
      </c>
      <c r="J61" s="7">
        <f>FEMTL!N65</f>
        <v>0</v>
      </c>
      <c r="K61" s="13">
        <f>FEMTL!O65</f>
        <v>0</v>
      </c>
      <c r="L61" s="26">
        <f t="shared" si="0"/>
        <v>0</v>
      </c>
      <c r="M61" s="26">
        <f t="shared" si="1"/>
        <v>0</v>
      </c>
      <c r="N61" s="26">
        <f t="shared" si="2"/>
        <v>0</v>
      </c>
      <c r="O61" s="26">
        <f t="shared" si="3"/>
        <v>0</v>
      </c>
      <c r="P61" s="26">
        <f t="shared" si="4"/>
        <v>0</v>
      </c>
    </row>
    <row r="62" spans="1:16" x14ac:dyDescent="0.25">
      <c r="A62" s="3" t="str">
        <f>FEMTL!A66</f>
        <v>Amnerud</v>
      </c>
      <c r="B62" s="3" t="str">
        <f>FEMTL!B66</f>
        <v>1:120</v>
      </c>
      <c r="C62" s="3" t="str">
        <f>FEMTL!C66</f>
        <v>Peter Eriksson</v>
      </c>
      <c r="D62" s="3" t="str">
        <f>FEMTL!E66</f>
        <v>Backa 18</v>
      </c>
      <c r="E62" s="3" t="str">
        <f>FEMTL!F66</f>
        <v>680 63</v>
      </c>
      <c r="F62" s="3" t="str">
        <f>FEMTL!G66</f>
        <v>Likenäs</v>
      </c>
      <c r="G62" s="10">
        <f>FEMTL!H66</f>
        <v>0</v>
      </c>
      <c r="H62" s="8">
        <f>FEMTL!I66</f>
        <v>7.24</v>
      </c>
      <c r="I62" s="11">
        <f>FEMTL!J66</f>
        <v>0</v>
      </c>
      <c r="J62" s="7">
        <f>FEMTL!N66</f>
        <v>37.549999999999997</v>
      </c>
      <c r="K62" s="13">
        <f>FEMTL!O66</f>
        <v>38</v>
      </c>
      <c r="L62" s="26">
        <f t="shared" si="0"/>
        <v>1</v>
      </c>
      <c r="M62" s="26">
        <f t="shared" si="1"/>
        <v>1</v>
      </c>
      <c r="N62" s="26">
        <f t="shared" si="2"/>
        <v>1</v>
      </c>
      <c r="O62" s="26">
        <f t="shared" si="3"/>
        <v>1</v>
      </c>
      <c r="P62" s="26">
        <f t="shared" si="4"/>
        <v>2</v>
      </c>
    </row>
    <row r="63" spans="1:16" x14ac:dyDescent="0.25">
      <c r="A63" s="3" t="str">
        <f>FEMTL!A67</f>
        <v>Kattstjärten</v>
      </c>
      <c r="B63" s="3" t="str">
        <f>FEMTL!B67</f>
        <v>1:12</v>
      </c>
      <c r="C63" s="3">
        <f>FEMTL!C67</f>
        <v>0</v>
      </c>
      <c r="D63" s="3">
        <f>FEMTL!E67</f>
        <v>0</v>
      </c>
      <c r="E63" s="3">
        <f>FEMTL!F67</f>
        <v>0</v>
      </c>
      <c r="F63" s="3">
        <f>FEMTL!G67</f>
        <v>0</v>
      </c>
      <c r="G63" s="10">
        <f>FEMTL!H67</f>
        <v>0</v>
      </c>
      <c r="H63" s="8">
        <f>FEMTL!I67</f>
        <v>30.31</v>
      </c>
      <c r="I63" s="11">
        <f>FEMTL!J67</f>
        <v>0</v>
      </c>
      <c r="J63" s="7">
        <f>FEMTL!N67</f>
        <v>0</v>
      </c>
      <c r="K63" s="13">
        <f>FEMTL!O67</f>
        <v>0</v>
      </c>
      <c r="L63" s="26">
        <f t="shared" si="0"/>
        <v>0</v>
      </c>
      <c r="M63" s="26">
        <f t="shared" si="1"/>
        <v>0</v>
      </c>
      <c r="N63" s="26">
        <f t="shared" si="2"/>
        <v>0</v>
      </c>
      <c r="O63" s="26">
        <f t="shared" si="3"/>
        <v>0</v>
      </c>
      <c r="P63" s="26">
        <f t="shared" si="4"/>
        <v>0</v>
      </c>
    </row>
    <row r="64" spans="1:16" x14ac:dyDescent="0.25">
      <c r="A64" s="3">
        <f>FEMTL!A68</f>
        <v>0</v>
      </c>
      <c r="B64" s="3">
        <f>FEMTL!B68</f>
        <v>0</v>
      </c>
      <c r="C64" s="3">
        <f>FEMTL!C68</f>
        <v>0</v>
      </c>
      <c r="D64" s="3">
        <f>FEMTL!E68</f>
        <v>0</v>
      </c>
      <c r="E64" s="3">
        <f>FEMTL!F68</f>
        <v>0</v>
      </c>
      <c r="F64" s="3">
        <f>FEMTL!G68</f>
        <v>0</v>
      </c>
      <c r="G64" s="10">
        <f>FEMTL!H68</f>
        <v>0</v>
      </c>
      <c r="H64" s="8">
        <f>FEMTL!I68</f>
        <v>0</v>
      </c>
      <c r="I64" s="11">
        <f>FEMTL!J68</f>
        <v>0</v>
      </c>
      <c r="J64" s="7">
        <f>FEMTL!N68</f>
        <v>0</v>
      </c>
      <c r="K64" s="13">
        <f>FEMTL!O68</f>
        <v>0</v>
      </c>
      <c r="L64" s="26">
        <f t="shared" si="0"/>
        <v>0</v>
      </c>
      <c r="M64" s="26">
        <f t="shared" si="1"/>
        <v>0</v>
      </c>
      <c r="N64" s="26">
        <f t="shared" si="2"/>
        <v>0</v>
      </c>
      <c r="O64" s="26">
        <f t="shared" si="3"/>
        <v>0</v>
      </c>
      <c r="P64" s="26">
        <f t="shared" ref="P64:P127" si="5">ROUNDUP((K64/25),0)</f>
        <v>0</v>
      </c>
    </row>
    <row r="65" spans="1:16" x14ac:dyDescent="0.25">
      <c r="A65" s="3" t="str">
        <f>FEMTL!A69</f>
        <v>Amnerud</v>
      </c>
      <c r="B65" s="3" t="str">
        <f>FEMTL!B69</f>
        <v>1:121</v>
      </c>
      <c r="C65" s="3" t="str">
        <f>FEMTL!C69</f>
        <v>Mikael Häggström</v>
      </c>
      <c r="D65" s="3" t="str">
        <f>FEMTL!E69</f>
        <v>Ättehögsgatan 3C</v>
      </c>
      <c r="E65" s="3" t="str">
        <f>FEMTL!F69</f>
        <v>416 74</v>
      </c>
      <c r="F65" s="3" t="str">
        <f>FEMTL!G69</f>
        <v>Göteborg</v>
      </c>
      <c r="G65" s="10">
        <f>FEMTL!H69</f>
        <v>0</v>
      </c>
      <c r="H65" s="8">
        <f>FEMTL!I69</f>
        <v>7.84</v>
      </c>
      <c r="I65" s="11">
        <f>FEMTL!J69</f>
        <v>0</v>
      </c>
      <c r="J65" s="7">
        <f>FEMTL!N69</f>
        <v>7.84</v>
      </c>
      <c r="K65" s="13">
        <f>FEMTL!O69</f>
        <v>8</v>
      </c>
      <c r="L65" s="26">
        <f t="shared" si="0"/>
        <v>1</v>
      </c>
      <c r="M65" s="26">
        <f t="shared" si="1"/>
        <v>1</v>
      </c>
      <c r="N65" s="26">
        <f t="shared" si="2"/>
        <v>1</v>
      </c>
      <c r="O65" s="26">
        <f t="shared" si="3"/>
        <v>1</v>
      </c>
      <c r="P65" s="26">
        <f t="shared" si="5"/>
        <v>1</v>
      </c>
    </row>
    <row r="66" spans="1:16" x14ac:dyDescent="0.25">
      <c r="A66" s="3">
        <f>FEMTL!A70</f>
        <v>0</v>
      </c>
      <c r="B66" s="3">
        <f>FEMTL!B70</f>
        <v>0</v>
      </c>
      <c r="C66" s="3">
        <f>FEMTL!C70</f>
        <v>0</v>
      </c>
      <c r="D66" s="3">
        <f>FEMTL!E70</f>
        <v>0</v>
      </c>
      <c r="E66" s="3">
        <f>FEMTL!F70</f>
        <v>0</v>
      </c>
      <c r="F66" s="3">
        <f>FEMTL!G70</f>
        <v>0</v>
      </c>
      <c r="G66" s="8">
        <f>FEMTL!H70</f>
        <v>0</v>
      </c>
      <c r="H66" s="8">
        <f>FEMTL!I70</f>
        <v>0</v>
      </c>
      <c r="I66" s="11">
        <f>FEMTL!J70</f>
        <v>0</v>
      </c>
      <c r="J66" s="7">
        <f>FEMTL!N70</f>
        <v>0</v>
      </c>
      <c r="K66" s="13">
        <f>FEMTL!O70</f>
        <v>0</v>
      </c>
      <c r="L66" s="26">
        <f t="shared" si="0"/>
        <v>0</v>
      </c>
      <c r="M66" s="26">
        <f t="shared" si="1"/>
        <v>0</v>
      </c>
      <c r="N66" s="26">
        <f t="shared" si="2"/>
        <v>0</v>
      </c>
      <c r="O66" s="26">
        <f t="shared" si="3"/>
        <v>0</v>
      </c>
      <c r="P66" s="26">
        <f t="shared" si="5"/>
        <v>0</v>
      </c>
    </row>
    <row r="67" spans="1:16" x14ac:dyDescent="0.25">
      <c r="A67" s="3" t="str">
        <f>FEMTL!A71</f>
        <v>Amnerud</v>
      </c>
      <c r="B67" s="3" t="str">
        <f>FEMTL!B71</f>
        <v>1:124</v>
      </c>
      <c r="C67" s="3" t="str">
        <f>FEMTL!C71</f>
        <v>Tommy Kont</v>
      </c>
      <c r="D67" s="3" t="str">
        <f>FEMTL!E71</f>
        <v>Amnerud 31</v>
      </c>
      <c r="E67" s="3" t="str">
        <f>FEMTL!F71</f>
        <v>680 63</v>
      </c>
      <c r="F67" s="3" t="str">
        <f>FEMTL!G71</f>
        <v>Likenäs</v>
      </c>
      <c r="G67" s="8">
        <f>FEMTL!H71</f>
        <v>0</v>
      </c>
      <c r="H67" s="3">
        <f>FEMTL!I71</f>
        <v>1.35</v>
      </c>
      <c r="I67" s="11">
        <f>FEMTL!J71</f>
        <v>0</v>
      </c>
      <c r="J67" s="7">
        <f>FEMTL!N71</f>
        <v>1.35</v>
      </c>
      <c r="K67" s="13">
        <f>FEMTL!O71</f>
        <v>2</v>
      </c>
      <c r="L67" s="26">
        <f t="shared" si="0"/>
        <v>1</v>
      </c>
      <c r="M67" s="26">
        <f t="shared" si="1"/>
        <v>1</v>
      </c>
      <c r="N67" s="26">
        <f t="shared" si="2"/>
        <v>1</v>
      </c>
      <c r="O67" s="26">
        <f t="shared" si="3"/>
        <v>1</v>
      </c>
      <c r="P67" s="26">
        <f t="shared" si="5"/>
        <v>1</v>
      </c>
    </row>
    <row r="68" spans="1:16" x14ac:dyDescent="0.25">
      <c r="A68" s="3">
        <f>FEMTL!A72</f>
        <v>0</v>
      </c>
      <c r="B68" s="3">
        <f>FEMTL!B72</f>
        <v>0</v>
      </c>
      <c r="C68" s="3">
        <f>FEMTL!C72</f>
        <v>0</v>
      </c>
      <c r="D68" s="3">
        <f>FEMTL!E72</f>
        <v>0</v>
      </c>
      <c r="E68" s="3">
        <f>FEMTL!F72</f>
        <v>0</v>
      </c>
      <c r="F68" s="3">
        <f>FEMTL!G72</f>
        <v>0</v>
      </c>
      <c r="G68" s="10">
        <f>FEMTL!H72</f>
        <v>0</v>
      </c>
      <c r="H68" s="8">
        <f>FEMTL!I72</f>
        <v>0</v>
      </c>
      <c r="I68" s="11">
        <f>FEMTL!J72</f>
        <v>0</v>
      </c>
      <c r="J68" s="7">
        <f>FEMTL!N72</f>
        <v>0</v>
      </c>
      <c r="K68" s="13">
        <f>FEMTL!O72</f>
        <v>0</v>
      </c>
      <c r="L68" s="26">
        <f t="shared" ref="L68:L130" si="6">ROUNDUP((K68/100),0)</f>
        <v>0</v>
      </c>
      <c r="M68" s="26">
        <f t="shared" ref="M68:M130" si="7">ROUNDUP((K68/90),0)</f>
        <v>0</v>
      </c>
      <c r="N68" s="26">
        <f t="shared" ref="N68:N130" si="8">ROUNDUP((K68/80),0)</f>
        <v>0</v>
      </c>
      <c r="O68" s="26">
        <f t="shared" ref="O68:O130" si="9">ROUNDUP((K68/75),0)</f>
        <v>0</v>
      </c>
      <c r="P68" s="26">
        <f t="shared" si="5"/>
        <v>0</v>
      </c>
    </row>
    <row r="69" spans="1:16" x14ac:dyDescent="0.25">
      <c r="A69" s="3" t="str">
        <f>FEMTL!A73</f>
        <v>Amnerud</v>
      </c>
      <c r="B69" s="3" t="str">
        <f>FEMTL!B73</f>
        <v>s:7</v>
      </c>
      <c r="C69" s="3" t="str">
        <f>FEMTL!C73</f>
        <v>Anna-Lisa Halvarsson</v>
      </c>
      <c r="D69" s="3" t="str">
        <f>FEMTL!E73</f>
        <v>Vestby 5</v>
      </c>
      <c r="E69" s="3" t="str">
        <f>FEMTL!F73</f>
        <v>680 63</v>
      </c>
      <c r="F69" s="3" t="str">
        <f>FEMTL!G73</f>
        <v>Likenäs</v>
      </c>
      <c r="G69" s="10">
        <f>FEMTL!H73</f>
        <v>0</v>
      </c>
      <c r="H69" s="8">
        <f>FEMTL!I73</f>
        <v>14</v>
      </c>
      <c r="I69" s="11">
        <f>FEMTL!J73</f>
        <v>0</v>
      </c>
      <c r="J69" s="7">
        <f>FEMTL!N73</f>
        <v>14</v>
      </c>
      <c r="K69" s="13">
        <f>FEMTL!O73</f>
        <v>14</v>
      </c>
      <c r="L69" s="26">
        <f t="shared" si="6"/>
        <v>1</v>
      </c>
      <c r="M69" s="26">
        <f t="shared" si="7"/>
        <v>1</v>
      </c>
      <c r="N69" s="26">
        <f t="shared" si="8"/>
        <v>1</v>
      </c>
      <c r="O69" s="26">
        <f t="shared" si="9"/>
        <v>1</v>
      </c>
      <c r="P69" s="26">
        <f t="shared" si="5"/>
        <v>1</v>
      </c>
    </row>
    <row r="70" spans="1:16" x14ac:dyDescent="0.25">
      <c r="A70" s="3">
        <f>FEMTL!A74</f>
        <v>0</v>
      </c>
      <c r="B70" s="3">
        <f>FEMTL!B74</f>
        <v>0</v>
      </c>
      <c r="C70" s="3" t="str">
        <f>FEMTL!C74</f>
        <v>Eva-Britt Halvarsson</v>
      </c>
      <c r="D70" s="3" t="str">
        <f>FEMTL!E74</f>
        <v>Vestby 5</v>
      </c>
      <c r="E70" s="3" t="str">
        <f>FEMTL!F74</f>
        <v>680 63</v>
      </c>
      <c r="F70" s="3" t="str">
        <f>FEMTL!G74</f>
        <v>Likenäs</v>
      </c>
      <c r="G70" s="10">
        <f>FEMTL!H74</f>
        <v>0</v>
      </c>
      <c r="H70" s="8">
        <f>FEMTL!I74</f>
        <v>0</v>
      </c>
      <c r="I70" s="11">
        <f>FEMTL!J74</f>
        <v>0</v>
      </c>
      <c r="J70" s="7">
        <f>FEMTL!N74</f>
        <v>0</v>
      </c>
      <c r="K70" s="13">
        <f>FEMTL!O74</f>
        <v>0</v>
      </c>
      <c r="L70" s="26">
        <f t="shared" si="6"/>
        <v>0</v>
      </c>
      <c r="M70" s="26">
        <f t="shared" si="7"/>
        <v>0</v>
      </c>
      <c r="N70" s="26">
        <f t="shared" si="8"/>
        <v>0</v>
      </c>
      <c r="O70" s="26">
        <f t="shared" si="9"/>
        <v>0</v>
      </c>
      <c r="P70" s="26">
        <f t="shared" si="5"/>
        <v>0</v>
      </c>
    </row>
    <row r="71" spans="1:16" x14ac:dyDescent="0.25">
      <c r="A71" s="3">
        <f>FEMTL!A75</f>
        <v>0</v>
      </c>
      <c r="B71" s="3">
        <f>FEMTL!B75</f>
        <v>0</v>
      </c>
      <c r="C71" s="3" t="str">
        <f>FEMTL!C75</f>
        <v>Gunnel Persson</v>
      </c>
      <c r="D71" s="3" t="str">
        <f>FEMTL!E75</f>
        <v>Vestby 3</v>
      </c>
      <c r="E71" s="3" t="str">
        <f>FEMTL!F75</f>
        <v>680 63</v>
      </c>
      <c r="F71" s="3" t="str">
        <f>FEMTL!G75</f>
        <v>Likenäs</v>
      </c>
      <c r="G71" s="10">
        <f>FEMTL!H75</f>
        <v>0</v>
      </c>
      <c r="H71" s="8">
        <f>FEMTL!I75</f>
        <v>0</v>
      </c>
      <c r="I71" s="11">
        <f>FEMTL!J75</f>
        <v>0</v>
      </c>
      <c r="J71" s="7">
        <f>FEMTL!N75</f>
        <v>0</v>
      </c>
      <c r="K71" s="13">
        <f>FEMTL!O75</f>
        <v>0</v>
      </c>
      <c r="L71" s="26">
        <f t="shared" si="6"/>
        <v>0</v>
      </c>
      <c r="M71" s="26">
        <f t="shared" si="7"/>
        <v>0</v>
      </c>
      <c r="N71" s="26">
        <f t="shared" si="8"/>
        <v>0</v>
      </c>
      <c r="O71" s="26">
        <f t="shared" si="9"/>
        <v>0</v>
      </c>
      <c r="P71" s="26">
        <f t="shared" si="5"/>
        <v>0</v>
      </c>
    </row>
    <row r="72" spans="1:16" x14ac:dyDescent="0.25">
      <c r="A72" s="3">
        <f>FEMTL!A76</f>
        <v>0</v>
      </c>
      <c r="B72" s="3">
        <f>FEMTL!B76</f>
        <v>0</v>
      </c>
      <c r="C72" s="3" t="str">
        <f>FEMTL!C76</f>
        <v>Allan Persson</v>
      </c>
      <c r="D72" s="3" t="str">
        <f>FEMTL!E76</f>
        <v>Vestby 3</v>
      </c>
      <c r="E72" s="3" t="str">
        <f>FEMTL!F76</f>
        <v>680 63</v>
      </c>
      <c r="F72" s="3" t="str">
        <f>FEMTL!G76</f>
        <v>Likenäs</v>
      </c>
      <c r="G72" s="10">
        <f>FEMTL!H76</f>
        <v>0</v>
      </c>
      <c r="H72" s="8">
        <f>FEMTL!I76</f>
        <v>0</v>
      </c>
      <c r="I72" s="11">
        <f>FEMTL!J76</f>
        <v>0</v>
      </c>
      <c r="J72" s="7">
        <f>FEMTL!N76</f>
        <v>0</v>
      </c>
      <c r="K72" s="13">
        <f>FEMTL!O76</f>
        <v>0</v>
      </c>
      <c r="L72" s="26">
        <f t="shared" si="6"/>
        <v>0</v>
      </c>
      <c r="M72" s="26">
        <f t="shared" si="7"/>
        <v>0</v>
      </c>
      <c r="N72" s="26">
        <f t="shared" si="8"/>
        <v>0</v>
      </c>
      <c r="O72" s="26">
        <f t="shared" si="9"/>
        <v>0</v>
      </c>
      <c r="P72" s="26">
        <f t="shared" si="5"/>
        <v>0</v>
      </c>
    </row>
    <row r="73" spans="1:16" x14ac:dyDescent="0.25">
      <c r="A73" s="3">
        <f>FEMTL!A77</f>
        <v>0</v>
      </c>
      <c r="B73" s="3">
        <f>FEMTL!B77</f>
        <v>0</v>
      </c>
      <c r="C73" s="3">
        <f>FEMTL!C77</f>
        <v>0</v>
      </c>
      <c r="D73" s="3">
        <f>FEMTL!E77</f>
        <v>0</v>
      </c>
      <c r="E73" s="3">
        <f>FEMTL!F77</f>
        <v>0</v>
      </c>
      <c r="F73" s="3">
        <f>FEMTL!G77</f>
        <v>0</v>
      </c>
      <c r="G73" s="10">
        <f>FEMTL!H77</f>
        <v>0</v>
      </c>
      <c r="H73" s="8">
        <f>FEMTL!I77</f>
        <v>0</v>
      </c>
      <c r="I73" s="11">
        <f>FEMTL!J77</f>
        <v>0</v>
      </c>
      <c r="J73" s="7">
        <f>FEMTL!N77</f>
        <v>0</v>
      </c>
      <c r="K73" s="13">
        <f>FEMTL!O77</f>
        <v>0</v>
      </c>
      <c r="L73" s="26">
        <f t="shared" si="6"/>
        <v>0</v>
      </c>
      <c r="M73" s="26">
        <f t="shared" si="7"/>
        <v>0</v>
      </c>
      <c r="N73" s="26">
        <f t="shared" si="8"/>
        <v>0</v>
      </c>
      <c r="O73" s="26">
        <f t="shared" si="9"/>
        <v>0</v>
      </c>
      <c r="P73" s="26">
        <f t="shared" si="5"/>
        <v>0</v>
      </c>
    </row>
    <row r="74" spans="1:16" x14ac:dyDescent="0.25">
      <c r="A74" s="3" t="str">
        <f>FEMTL!A78</f>
        <v>Amnerud</v>
      </c>
      <c r="B74" s="3" t="str">
        <f>FEMTL!B78</f>
        <v>1:137</v>
      </c>
      <c r="C74" s="3" t="str">
        <f>FEMTL!C78</f>
        <v>Anna Greta Norström dbo</v>
      </c>
      <c r="D74" s="3" t="str">
        <f>FEMTL!E78</f>
        <v>Mattsgården Backa</v>
      </c>
      <c r="E74" s="3" t="str">
        <f>FEMTL!F78</f>
        <v>680 63</v>
      </c>
      <c r="F74" s="3" t="str">
        <f>FEMTL!G78</f>
        <v>Likenäs</v>
      </c>
      <c r="G74" s="10">
        <f>FEMTL!H78</f>
        <v>0</v>
      </c>
      <c r="H74" s="8" t="str">
        <f>FEMTL!I78</f>
        <v>135,41</v>
      </c>
      <c r="I74" s="11">
        <f>FEMTL!J78</f>
        <v>23</v>
      </c>
      <c r="J74" s="7">
        <f>FEMTL!N78</f>
        <v>112.41</v>
      </c>
      <c r="K74" s="13">
        <f>FEMTL!O78</f>
        <v>113</v>
      </c>
      <c r="L74" s="26">
        <f t="shared" si="6"/>
        <v>2</v>
      </c>
      <c r="M74" s="26">
        <f t="shared" si="7"/>
        <v>2</v>
      </c>
      <c r="N74" s="26">
        <f t="shared" si="8"/>
        <v>2</v>
      </c>
      <c r="O74" s="26">
        <f t="shared" si="9"/>
        <v>2</v>
      </c>
      <c r="P74" s="26">
        <f t="shared" si="5"/>
        <v>5</v>
      </c>
    </row>
    <row r="75" spans="1:16" x14ac:dyDescent="0.25">
      <c r="A75" s="3">
        <f>FEMTL!A79</f>
        <v>0</v>
      </c>
      <c r="B75" s="3">
        <f>FEMTL!B79</f>
        <v>0</v>
      </c>
      <c r="C75" s="3" t="str">
        <f>FEMTL!C79</f>
        <v>Gunde Matshag</v>
      </c>
      <c r="D75" s="3" t="str">
        <f>FEMTL!E79</f>
        <v>Amnerud 15</v>
      </c>
      <c r="E75" s="3" t="str">
        <f>FEMTL!F79</f>
        <v>680 63</v>
      </c>
      <c r="F75" s="3" t="str">
        <f>FEMTL!G79</f>
        <v>Likenäs</v>
      </c>
      <c r="G75" s="10">
        <f>FEMTL!H79</f>
        <v>0</v>
      </c>
      <c r="H75" s="8">
        <f>FEMTL!I79</f>
        <v>0</v>
      </c>
      <c r="I75" s="11">
        <f>FEMTL!J79</f>
        <v>0</v>
      </c>
      <c r="J75" s="7">
        <f>FEMTL!N79</f>
        <v>0</v>
      </c>
      <c r="K75" s="13">
        <f>FEMTL!O79</f>
        <v>0</v>
      </c>
      <c r="L75" s="26">
        <f t="shared" si="6"/>
        <v>0</v>
      </c>
      <c r="M75" s="26">
        <f t="shared" si="7"/>
        <v>0</v>
      </c>
      <c r="N75" s="26">
        <f t="shared" si="8"/>
        <v>0</v>
      </c>
      <c r="O75" s="26">
        <f t="shared" si="9"/>
        <v>0</v>
      </c>
      <c r="P75" s="26">
        <f t="shared" si="5"/>
        <v>0</v>
      </c>
    </row>
    <row r="76" spans="1:16" x14ac:dyDescent="0.25">
      <c r="A76" s="3">
        <f>FEMTL!A80</f>
        <v>0</v>
      </c>
      <c r="B76" s="3">
        <f>FEMTL!B80</f>
        <v>0</v>
      </c>
      <c r="C76" s="3" t="str">
        <f>FEMTL!C80</f>
        <v>Dan Norström</v>
      </c>
      <c r="D76" s="3" t="str">
        <f>FEMTL!E80</f>
        <v>Amnerud 22</v>
      </c>
      <c r="E76" s="3" t="str">
        <f>FEMTL!F80</f>
        <v>680 63</v>
      </c>
      <c r="F76" s="3" t="str">
        <f>FEMTL!G80</f>
        <v>Likenäs</v>
      </c>
      <c r="G76" s="10">
        <f>FEMTL!H80</f>
        <v>0</v>
      </c>
      <c r="H76" s="8">
        <f>FEMTL!I80</f>
        <v>0</v>
      </c>
      <c r="I76" s="11">
        <f>FEMTL!J80</f>
        <v>0</v>
      </c>
      <c r="J76" s="7">
        <f>FEMTL!N80</f>
        <v>0</v>
      </c>
      <c r="K76" s="13">
        <f>FEMTL!O80</f>
        <v>0</v>
      </c>
      <c r="L76" s="26">
        <f t="shared" si="6"/>
        <v>0</v>
      </c>
      <c r="M76" s="26">
        <f t="shared" si="7"/>
        <v>0</v>
      </c>
      <c r="N76" s="26">
        <f t="shared" si="8"/>
        <v>0</v>
      </c>
      <c r="O76" s="26">
        <f t="shared" si="9"/>
        <v>0</v>
      </c>
      <c r="P76" s="26">
        <f t="shared" si="5"/>
        <v>0</v>
      </c>
    </row>
    <row r="77" spans="1:16" x14ac:dyDescent="0.25">
      <c r="A77" s="3">
        <f>FEMTL!A81</f>
        <v>0</v>
      </c>
      <c r="B77" s="3">
        <f>FEMTL!B81</f>
        <v>0</v>
      </c>
      <c r="C77" s="3">
        <f>FEMTL!C81</f>
        <v>0</v>
      </c>
      <c r="D77" s="3">
        <f>FEMTL!E81</f>
        <v>0</v>
      </c>
      <c r="E77" s="3">
        <f>FEMTL!F81</f>
        <v>0</v>
      </c>
      <c r="F77" s="3">
        <f>FEMTL!G81</f>
        <v>0</v>
      </c>
      <c r="G77" s="10">
        <f>FEMTL!H81</f>
        <v>0</v>
      </c>
      <c r="H77" s="8">
        <f>FEMTL!I81</f>
        <v>0</v>
      </c>
      <c r="I77" s="11">
        <f>FEMTL!J81</f>
        <v>0</v>
      </c>
      <c r="J77" s="7">
        <f>FEMTL!N81</f>
        <v>0</v>
      </c>
      <c r="K77" s="13">
        <f>FEMTL!O81</f>
        <v>0</v>
      </c>
      <c r="L77" s="26">
        <f t="shared" si="6"/>
        <v>0</v>
      </c>
      <c r="M77" s="26">
        <f t="shared" si="7"/>
        <v>0</v>
      </c>
      <c r="N77" s="26">
        <f t="shared" si="8"/>
        <v>0</v>
      </c>
      <c r="O77" s="26">
        <f t="shared" si="9"/>
        <v>0</v>
      </c>
      <c r="P77" s="26">
        <f t="shared" si="5"/>
        <v>0</v>
      </c>
    </row>
    <row r="78" spans="1:16" x14ac:dyDescent="0.25">
      <c r="A78" s="3" t="str">
        <f>FEMTL!A82</f>
        <v>Amnerud</v>
      </c>
      <c r="B78" s="3" t="str">
        <f>FEMTL!B82</f>
        <v>1:140</v>
      </c>
      <c r="C78" s="3" t="str">
        <f>FEMTL!C82</f>
        <v>Paw Ventrup</v>
      </c>
      <c r="D78" s="3" t="str">
        <f>FEMTL!E82</f>
        <v>Vestervej 47</v>
      </c>
      <c r="E78" s="3" t="str">
        <f>FEMTL!F82</f>
        <v>DK 3600</v>
      </c>
      <c r="F78" s="3" t="str">
        <f>FEMTL!G82</f>
        <v>Frederikssund</v>
      </c>
      <c r="G78" s="10">
        <f>FEMTL!H82</f>
        <v>0</v>
      </c>
      <c r="H78" s="8" t="str">
        <f>FEMTL!I82</f>
        <v>3,92</v>
      </c>
      <c r="I78" s="11">
        <f>FEMTL!J82</f>
        <v>0</v>
      </c>
      <c r="J78" s="7">
        <f>FEMTL!N82</f>
        <v>3.92</v>
      </c>
      <c r="K78" s="13">
        <f>FEMTL!O82</f>
        <v>4</v>
      </c>
      <c r="L78" s="26">
        <f t="shared" si="6"/>
        <v>1</v>
      </c>
      <c r="M78" s="26">
        <f t="shared" si="7"/>
        <v>1</v>
      </c>
      <c r="N78" s="26">
        <f t="shared" si="8"/>
        <v>1</v>
      </c>
      <c r="O78" s="26">
        <f t="shared" si="9"/>
        <v>1</v>
      </c>
      <c r="P78" s="26">
        <f t="shared" si="5"/>
        <v>1</v>
      </c>
    </row>
    <row r="79" spans="1:16" x14ac:dyDescent="0.25">
      <c r="A79" s="3">
        <f>FEMTL!A83</f>
        <v>0</v>
      </c>
      <c r="B79" s="3">
        <f>FEMTL!B83</f>
        <v>0</v>
      </c>
      <c r="C79" s="3">
        <f>FEMTL!C83</f>
        <v>0</v>
      </c>
      <c r="D79" s="3">
        <f>FEMTL!E83</f>
        <v>0</v>
      </c>
      <c r="E79" s="3">
        <f>FEMTL!F83</f>
        <v>0</v>
      </c>
      <c r="F79" s="3">
        <f>FEMTL!G83</f>
        <v>0</v>
      </c>
      <c r="G79" s="10">
        <f>FEMTL!H83</f>
        <v>0</v>
      </c>
      <c r="H79" s="8">
        <f>FEMTL!I83</f>
        <v>0</v>
      </c>
      <c r="I79" s="11">
        <f>FEMTL!J83</f>
        <v>0</v>
      </c>
      <c r="J79" s="7">
        <f>FEMTL!N83</f>
        <v>0</v>
      </c>
      <c r="K79" s="13">
        <f>FEMTL!O83</f>
        <v>0</v>
      </c>
      <c r="L79" s="26">
        <f t="shared" si="6"/>
        <v>0</v>
      </c>
      <c r="M79" s="26">
        <f t="shared" si="7"/>
        <v>0</v>
      </c>
      <c r="N79" s="26">
        <f t="shared" si="8"/>
        <v>0</v>
      </c>
      <c r="O79" s="26">
        <f t="shared" si="9"/>
        <v>0</v>
      </c>
      <c r="P79" s="26">
        <f t="shared" si="5"/>
        <v>0</v>
      </c>
    </row>
    <row r="80" spans="1:16" x14ac:dyDescent="0.25">
      <c r="A80" s="3" t="str">
        <f>FEMTL!A84</f>
        <v>Dalby-Backa</v>
      </c>
      <c r="B80" s="3" t="str">
        <f>FEMTL!B84</f>
        <v>1:36</v>
      </c>
      <c r="C80" s="3" t="str">
        <f>FEMTL!C84</f>
        <v>Per Åke Nilsson</v>
      </c>
      <c r="D80" s="3" t="str">
        <f>FEMTL!E84</f>
        <v>Hjortronstigen 34</v>
      </c>
      <c r="E80" s="3" t="str">
        <f>FEMTL!F84</f>
        <v>665 35</v>
      </c>
      <c r="F80" s="3" t="str">
        <f>FEMTL!G84</f>
        <v>Kil</v>
      </c>
      <c r="G80" s="10">
        <f>FEMTL!H84</f>
        <v>0</v>
      </c>
      <c r="H80" s="8">
        <f>FEMTL!I84</f>
        <v>1.21</v>
      </c>
      <c r="I80" s="11">
        <f>FEMTL!J84</f>
        <v>0</v>
      </c>
      <c r="J80" s="7">
        <f>FEMTL!N84</f>
        <v>1.21</v>
      </c>
      <c r="K80" s="13">
        <f>FEMTL!O84</f>
        <v>2</v>
      </c>
      <c r="L80" s="26">
        <f t="shared" si="6"/>
        <v>1</v>
      </c>
      <c r="M80" s="26">
        <f t="shared" si="7"/>
        <v>1</v>
      </c>
      <c r="N80" s="26">
        <f t="shared" si="8"/>
        <v>1</v>
      </c>
      <c r="O80" s="26">
        <f t="shared" si="9"/>
        <v>1</v>
      </c>
      <c r="P80" s="26">
        <f t="shared" si="5"/>
        <v>1</v>
      </c>
    </row>
    <row r="81" spans="1:16" x14ac:dyDescent="0.25">
      <c r="A81" s="3">
        <f>FEMTL!A85</f>
        <v>0</v>
      </c>
      <c r="B81" s="3">
        <f>FEMTL!B85</f>
        <v>0</v>
      </c>
      <c r="C81" s="3">
        <f>FEMTL!C85</f>
        <v>0</v>
      </c>
      <c r="D81" s="3">
        <f>FEMTL!E85</f>
        <v>0</v>
      </c>
      <c r="E81" s="3">
        <f>FEMTL!F85</f>
        <v>0</v>
      </c>
      <c r="F81" s="3">
        <f>FEMTL!G85</f>
        <v>0</v>
      </c>
      <c r="G81" s="10">
        <f>FEMTL!H85</f>
        <v>0</v>
      </c>
      <c r="H81" s="8">
        <f>FEMTL!I85</f>
        <v>0</v>
      </c>
      <c r="I81" s="11">
        <f>FEMTL!J85</f>
        <v>0</v>
      </c>
      <c r="J81" s="7">
        <f>FEMTL!N85</f>
        <v>0</v>
      </c>
      <c r="K81" s="13">
        <f>FEMTL!O85</f>
        <v>0</v>
      </c>
      <c r="L81" s="26">
        <f t="shared" si="6"/>
        <v>0</v>
      </c>
      <c r="M81" s="26">
        <f t="shared" si="7"/>
        <v>0</v>
      </c>
      <c r="N81" s="26">
        <f t="shared" si="8"/>
        <v>0</v>
      </c>
      <c r="O81" s="26">
        <f t="shared" si="9"/>
        <v>0</v>
      </c>
      <c r="P81" s="26">
        <f t="shared" si="5"/>
        <v>0</v>
      </c>
    </row>
    <row r="82" spans="1:16" x14ac:dyDescent="0.25">
      <c r="A82" s="3">
        <f>FEMTL!A86</f>
        <v>0</v>
      </c>
      <c r="B82" s="3">
        <f>FEMTL!B86</f>
        <v>0</v>
      </c>
      <c r="C82" s="3">
        <f>FEMTL!C86</f>
        <v>0</v>
      </c>
      <c r="D82" s="3">
        <f>FEMTL!E86</f>
        <v>0</v>
      </c>
      <c r="E82" s="3">
        <f>FEMTL!F86</f>
        <v>0</v>
      </c>
      <c r="F82" s="3">
        <f>FEMTL!G86</f>
        <v>0</v>
      </c>
      <c r="G82" s="10">
        <f>FEMTL!H86</f>
        <v>0</v>
      </c>
      <c r="H82" s="8">
        <f>FEMTL!I86</f>
        <v>0</v>
      </c>
      <c r="I82" s="11">
        <f>FEMTL!J86</f>
        <v>0</v>
      </c>
      <c r="J82" s="7">
        <f>FEMTL!N86</f>
        <v>0</v>
      </c>
      <c r="K82" s="13">
        <f>FEMTL!O86</f>
        <v>0</v>
      </c>
      <c r="L82" s="26">
        <f t="shared" si="6"/>
        <v>0</v>
      </c>
      <c r="M82" s="26">
        <f t="shared" si="7"/>
        <v>0</v>
      </c>
      <c r="N82" s="26">
        <f t="shared" si="8"/>
        <v>0</v>
      </c>
      <c r="O82" s="26">
        <f t="shared" si="9"/>
        <v>0</v>
      </c>
      <c r="P82" s="26">
        <f t="shared" si="5"/>
        <v>0</v>
      </c>
    </row>
    <row r="83" spans="1:16" x14ac:dyDescent="0.25">
      <c r="A83" s="3" t="str">
        <f>FEMTL!A87</f>
        <v>Dalby-Backa</v>
      </c>
      <c r="B83" s="3" t="str">
        <f>FEMTL!B87</f>
        <v>1:53</v>
      </c>
      <c r="C83" s="3" t="str">
        <f>FEMTL!C87</f>
        <v>Karin Markusson dbo</v>
      </c>
      <c r="D83" s="3" t="str">
        <f>FEMTL!E87</f>
        <v>Backa 529</v>
      </c>
      <c r="E83" s="3" t="str">
        <f>FEMTL!F87</f>
        <v>680 63</v>
      </c>
      <c r="F83" s="3" t="str">
        <f>FEMTL!G87</f>
        <v>Likenäs</v>
      </c>
      <c r="G83" s="10">
        <f>FEMTL!H87</f>
        <v>1.65</v>
      </c>
      <c r="H83" s="8">
        <f>FEMTL!I87</f>
        <v>38.659999999999997</v>
      </c>
      <c r="I83" s="11">
        <f>FEMTL!J87</f>
        <v>0</v>
      </c>
      <c r="J83" s="7">
        <f>FEMTL!N87</f>
        <v>38.659999999999997</v>
      </c>
      <c r="K83" s="13">
        <f>FEMTL!O87</f>
        <v>39</v>
      </c>
      <c r="L83" s="26">
        <f t="shared" si="6"/>
        <v>1</v>
      </c>
      <c r="M83" s="26">
        <f t="shared" si="7"/>
        <v>1</v>
      </c>
      <c r="N83" s="26">
        <f t="shared" si="8"/>
        <v>1</v>
      </c>
      <c r="O83" s="26">
        <f t="shared" si="9"/>
        <v>1</v>
      </c>
      <c r="P83" s="26">
        <f t="shared" si="5"/>
        <v>2</v>
      </c>
    </row>
    <row r="84" spans="1:16" x14ac:dyDescent="0.25">
      <c r="A84" s="3">
        <f>FEMTL!A88</f>
        <v>0</v>
      </c>
      <c r="B84" s="3" t="str">
        <f>FEMTL!B88</f>
        <v>1:79</v>
      </c>
      <c r="C84" s="3">
        <f>FEMTL!C88</f>
        <v>0</v>
      </c>
      <c r="D84" s="3">
        <f>FEMTL!E88</f>
        <v>0</v>
      </c>
      <c r="E84" s="3">
        <f>FEMTL!F88</f>
        <v>0</v>
      </c>
      <c r="F84" s="3">
        <f>FEMTL!G88</f>
        <v>0</v>
      </c>
      <c r="G84" s="10">
        <f>FEMTL!H88</f>
        <v>37.01</v>
      </c>
      <c r="H84" s="8">
        <f>FEMTL!I88</f>
        <v>0</v>
      </c>
      <c r="I84" s="11">
        <f>FEMTL!J88</f>
        <v>0</v>
      </c>
      <c r="J84" s="7">
        <f>FEMTL!N88</f>
        <v>0</v>
      </c>
      <c r="K84" s="13">
        <f>FEMTL!O88</f>
        <v>0</v>
      </c>
      <c r="L84" s="26">
        <f t="shared" si="6"/>
        <v>0</v>
      </c>
      <c r="M84" s="26">
        <f t="shared" si="7"/>
        <v>0</v>
      </c>
      <c r="N84" s="26">
        <f t="shared" si="8"/>
        <v>0</v>
      </c>
      <c r="O84" s="26">
        <f t="shared" si="9"/>
        <v>0</v>
      </c>
      <c r="P84" s="26">
        <f t="shared" si="5"/>
        <v>0</v>
      </c>
    </row>
    <row r="85" spans="1:16" x14ac:dyDescent="0.25">
      <c r="A85" s="3">
        <f>FEMTL!A89</f>
        <v>0</v>
      </c>
      <c r="B85" s="3">
        <f>FEMTL!B89</f>
        <v>0</v>
      </c>
      <c r="C85" s="3">
        <f>FEMTL!C89</f>
        <v>0</v>
      </c>
      <c r="D85" s="3">
        <f>FEMTL!E89</f>
        <v>0</v>
      </c>
      <c r="E85" s="3">
        <f>FEMTL!F89</f>
        <v>0</v>
      </c>
      <c r="F85" s="3">
        <f>FEMTL!G89</f>
        <v>0</v>
      </c>
      <c r="G85" s="10">
        <f>FEMTL!H89</f>
        <v>0</v>
      </c>
      <c r="H85" s="8">
        <f>FEMTL!I89</f>
        <v>0</v>
      </c>
      <c r="I85" s="11">
        <f>FEMTL!J89</f>
        <v>0</v>
      </c>
      <c r="J85" s="7">
        <f>FEMTL!N89</f>
        <v>0</v>
      </c>
      <c r="K85" s="13">
        <f>FEMTL!O89</f>
        <v>0</v>
      </c>
      <c r="L85" s="26">
        <f t="shared" si="6"/>
        <v>0</v>
      </c>
      <c r="M85" s="26">
        <f t="shared" si="7"/>
        <v>0</v>
      </c>
      <c r="N85" s="26">
        <f t="shared" si="8"/>
        <v>0</v>
      </c>
      <c r="O85" s="26">
        <f t="shared" si="9"/>
        <v>0</v>
      </c>
      <c r="P85" s="26">
        <f t="shared" si="5"/>
        <v>0</v>
      </c>
    </row>
    <row r="86" spans="1:16" x14ac:dyDescent="0.25">
      <c r="A86" s="3" t="str">
        <f>FEMTL!A90</f>
        <v>Dalby-Backa</v>
      </c>
      <c r="B86" s="3" t="str">
        <f>FEMTL!B90</f>
        <v>1:55</v>
      </c>
      <c r="C86" s="3" t="str">
        <f>FEMTL!C90</f>
        <v>Ingemar Folkesson</v>
      </c>
      <c r="D86" s="3" t="str">
        <f>FEMTL!E90</f>
        <v>Brönäs 12</v>
      </c>
      <c r="E86" s="3" t="str">
        <f>FEMTL!F90</f>
        <v>680 63</v>
      </c>
      <c r="F86" s="3" t="str">
        <f>FEMTL!G90</f>
        <v>Likenäs</v>
      </c>
      <c r="G86" s="10">
        <f>FEMTL!H90</f>
        <v>117.53</v>
      </c>
      <c r="H86" s="8">
        <f>FEMTL!I90</f>
        <v>600.22</v>
      </c>
      <c r="I86" s="11">
        <f>FEMTL!J90</f>
        <v>0</v>
      </c>
      <c r="J86" s="7">
        <f>FEMTL!N90</f>
        <v>600.22</v>
      </c>
      <c r="K86" s="13">
        <f>FEMTL!O90</f>
        <v>601</v>
      </c>
      <c r="L86" s="26">
        <f t="shared" si="6"/>
        <v>7</v>
      </c>
      <c r="M86" s="26">
        <f t="shared" si="7"/>
        <v>7</v>
      </c>
      <c r="N86" s="26">
        <f t="shared" si="8"/>
        <v>8</v>
      </c>
      <c r="O86" s="26">
        <f t="shared" si="9"/>
        <v>9</v>
      </c>
      <c r="P86" s="26">
        <f t="shared" si="5"/>
        <v>25</v>
      </c>
    </row>
    <row r="87" spans="1:16" x14ac:dyDescent="0.25">
      <c r="A87" s="3">
        <f>FEMTL!A91</f>
        <v>0</v>
      </c>
      <c r="B87" s="3" t="str">
        <f>FEMTL!B91</f>
        <v>1:80</v>
      </c>
      <c r="C87" s="3">
        <f>FEMTL!C91</f>
        <v>0</v>
      </c>
      <c r="D87" s="3">
        <f>FEMTL!E91</f>
        <v>0</v>
      </c>
      <c r="E87" s="3">
        <f>FEMTL!F91</f>
        <v>0</v>
      </c>
      <c r="F87" s="3">
        <f>FEMTL!G91</f>
        <v>0</v>
      </c>
      <c r="G87" s="10">
        <f>FEMTL!H91</f>
        <v>30</v>
      </c>
      <c r="H87" s="8">
        <f>FEMTL!I91</f>
        <v>0</v>
      </c>
      <c r="I87" s="11">
        <f>FEMTL!J91</f>
        <v>0</v>
      </c>
      <c r="J87" s="7">
        <f>FEMTL!N91</f>
        <v>0</v>
      </c>
      <c r="K87" s="13">
        <f>FEMTL!O91</f>
        <v>0</v>
      </c>
      <c r="L87" s="26">
        <f t="shared" si="6"/>
        <v>0</v>
      </c>
      <c r="M87" s="26">
        <f t="shared" si="7"/>
        <v>0</v>
      </c>
      <c r="N87" s="26">
        <f t="shared" si="8"/>
        <v>0</v>
      </c>
      <c r="O87" s="26">
        <f t="shared" si="9"/>
        <v>0</v>
      </c>
      <c r="P87" s="26">
        <f t="shared" si="5"/>
        <v>0</v>
      </c>
    </row>
    <row r="88" spans="1:16" x14ac:dyDescent="0.25">
      <c r="A88" s="3">
        <f>FEMTL!A92</f>
        <v>0</v>
      </c>
      <c r="B88" s="3" t="str">
        <f>FEMTL!B92</f>
        <v>1:95</v>
      </c>
      <c r="C88" s="3">
        <f>FEMTL!C92</f>
        <v>0</v>
      </c>
      <c r="D88" s="3">
        <f>FEMTL!E92</f>
        <v>0</v>
      </c>
      <c r="E88" s="3">
        <f>FEMTL!F92</f>
        <v>0</v>
      </c>
      <c r="F88" s="3">
        <f>FEMTL!G92</f>
        <v>0</v>
      </c>
      <c r="G88" s="10">
        <f>FEMTL!H92</f>
        <v>245.88</v>
      </c>
      <c r="H88" s="8">
        <f>FEMTL!I92</f>
        <v>0</v>
      </c>
      <c r="I88" s="11">
        <f>FEMTL!J92</f>
        <v>0</v>
      </c>
      <c r="J88" s="7">
        <f>FEMTL!N92</f>
        <v>0</v>
      </c>
      <c r="K88" s="13">
        <f>FEMTL!O92</f>
        <v>0</v>
      </c>
      <c r="L88" s="26">
        <f t="shared" si="6"/>
        <v>0</v>
      </c>
      <c r="M88" s="26">
        <f t="shared" si="7"/>
        <v>0</v>
      </c>
      <c r="N88" s="26">
        <f t="shared" si="8"/>
        <v>0</v>
      </c>
      <c r="O88" s="26">
        <f t="shared" si="9"/>
        <v>0</v>
      </c>
      <c r="P88" s="26">
        <f t="shared" si="5"/>
        <v>0</v>
      </c>
    </row>
    <row r="89" spans="1:16" x14ac:dyDescent="0.25">
      <c r="A89" s="3">
        <f>FEMTL!A93</f>
        <v>0</v>
      </c>
      <c r="B89" s="3" t="str">
        <f>FEMTL!B93</f>
        <v>1:97</v>
      </c>
      <c r="C89" s="3">
        <f>FEMTL!C93</f>
        <v>0</v>
      </c>
      <c r="D89" s="3">
        <f>FEMTL!E93</f>
        <v>0</v>
      </c>
      <c r="E89" s="3">
        <f>FEMTL!F93</f>
        <v>0</v>
      </c>
      <c r="F89" s="3">
        <f>FEMTL!G93</f>
        <v>0</v>
      </c>
      <c r="G89" s="10">
        <f>FEMTL!H93</f>
        <v>104.86</v>
      </c>
      <c r="H89" s="8">
        <f>FEMTL!I93</f>
        <v>0</v>
      </c>
      <c r="I89" s="11">
        <f>FEMTL!J93</f>
        <v>0</v>
      </c>
      <c r="J89" s="7">
        <f>FEMTL!N93</f>
        <v>0</v>
      </c>
      <c r="K89" s="13">
        <f>FEMTL!O93</f>
        <v>0</v>
      </c>
      <c r="L89" s="26">
        <f t="shared" si="6"/>
        <v>0</v>
      </c>
      <c r="M89" s="26">
        <f t="shared" si="7"/>
        <v>0</v>
      </c>
      <c r="N89" s="26">
        <f t="shared" si="8"/>
        <v>0</v>
      </c>
      <c r="O89" s="26">
        <f t="shared" si="9"/>
        <v>0</v>
      </c>
      <c r="P89" s="26">
        <f t="shared" si="5"/>
        <v>0</v>
      </c>
    </row>
    <row r="90" spans="1:16" x14ac:dyDescent="0.25">
      <c r="A90" s="3" t="str">
        <f>FEMTL!A94</f>
        <v xml:space="preserve">Skinnerud </v>
      </c>
      <c r="B90" s="3" t="str">
        <f>FEMTL!B94</f>
        <v>1:33</v>
      </c>
      <c r="C90" s="3">
        <f>FEMTL!C94</f>
        <v>0</v>
      </c>
      <c r="D90" s="3">
        <f>FEMTL!E94</f>
        <v>0</v>
      </c>
      <c r="E90" s="3">
        <f>FEMTL!F94</f>
        <v>0</v>
      </c>
      <c r="F90" s="3">
        <f>FEMTL!G94</f>
        <v>0</v>
      </c>
      <c r="G90" s="10">
        <f>FEMTL!H94</f>
        <v>101.95</v>
      </c>
      <c r="H90" s="8">
        <f>FEMTL!I94</f>
        <v>0</v>
      </c>
      <c r="I90" s="11">
        <f>FEMTL!J94</f>
        <v>0</v>
      </c>
      <c r="J90" s="7">
        <f>FEMTL!N94</f>
        <v>0</v>
      </c>
      <c r="K90" s="13">
        <f>FEMTL!O94</f>
        <v>0</v>
      </c>
      <c r="L90" s="26">
        <f t="shared" si="6"/>
        <v>0</v>
      </c>
      <c r="M90" s="26">
        <f t="shared" si="7"/>
        <v>0</v>
      </c>
      <c r="N90" s="26">
        <f t="shared" si="8"/>
        <v>0</v>
      </c>
      <c r="O90" s="26">
        <f t="shared" si="9"/>
        <v>0</v>
      </c>
      <c r="P90" s="26">
        <f t="shared" si="5"/>
        <v>0</v>
      </c>
    </row>
    <row r="91" spans="1:16" x14ac:dyDescent="0.25">
      <c r="A91" s="3" t="e">
        <f>FEMTL!#REF!</f>
        <v>#REF!</v>
      </c>
      <c r="B91" s="3" t="e">
        <f>FEMTL!#REF!</f>
        <v>#REF!</v>
      </c>
      <c r="C91" s="3" t="e">
        <f>FEMTL!#REF!</f>
        <v>#REF!</v>
      </c>
      <c r="D91" s="3" t="e">
        <f>FEMTL!#REF!</f>
        <v>#REF!</v>
      </c>
      <c r="E91" s="3" t="e">
        <f>FEMTL!#REF!</f>
        <v>#REF!</v>
      </c>
      <c r="F91" s="3" t="e">
        <f>FEMTL!#REF!</f>
        <v>#REF!</v>
      </c>
      <c r="G91" s="10" t="e">
        <f>FEMTL!#REF!</f>
        <v>#REF!</v>
      </c>
      <c r="H91" s="8" t="e">
        <f>FEMTL!#REF!</f>
        <v>#REF!</v>
      </c>
      <c r="I91" s="11" t="e">
        <f>FEMTL!#REF!</f>
        <v>#REF!</v>
      </c>
      <c r="J91" s="7" t="e">
        <f>FEMTL!#REF!</f>
        <v>#REF!</v>
      </c>
      <c r="K91" s="13" t="e">
        <f>FEMTL!#REF!</f>
        <v>#REF!</v>
      </c>
      <c r="L91" s="26" t="e">
        <f t="shared" si="6"/>
        <v>#REF!</v>
      </c>
      <c r="M91" s="26" t="e">
        <f t="shared" si="7"/>
        <v>#REF!</v>
      </c>
      <c r="N91" s="26" t="e">
        <f t="shared" si="8"/>
        <v>#REF!</v>
      </c>
      <c r="O91" s="26" t="e">
        <f t="shared" si="9"/>
        <v>#REF!</v>
      </c>
      <c r="P91" s="26" t="e">
        <f t="shared" si="5"/>
        <v>#REF!</v>
      </c>
    </row>
    <row r="92" spans="1:16" x14ac:dyDescent="0.25">
      <c r="A92" s="3" t="str">
        <f>FEMTL!A8</f>
        <v>Dalby-Backa</v>
      </c>
      <c r="B92" s="3" t="str">
        <f>FEMTL!B8</f>
        <v>1:58</v>
      </c>
      <c r="C92" s="3">
        <f>FEMTL!C8</f>
        <v>0</v>
      </c>
      <c r="D92" s="3">
        <f>FEMTL!E8</f>
        <v>0</v>
      </c>
      <c r="E92" s="3">
        <f>FEMTL!F8</f>
        <v>0</v>
      </c>
      <c r="F92" s="3">
        <f>FEMTL!G8</f>
        <v>0</v>
      </c>
      <c r="G92" s="10">
        <f>FEMTL!H8</f>
        <v>0</v>
      </c>
      <c r="H92" s="8">
        <f>FEMTL!I8</f>
        <v>27.04</v>
      </c>
      <c r="I92" s="11">
        <f>FEMTL!J8</f>
        <v>0</v>
      </c>
      <c r="J92" s="7">
        <f>FEMTL!N8</f>
        <v>27.04</v>
      </c>
      <c r="K92" s="13">
        <f>FEMTL!O8</f>
        <v>28</v>
      </c>
      <c r="L92" s="26">
        <f t="shared" si="6"/>
        <v>1</v>
      </c>
      <c r="M92" s="26">
        <f t="shared" si="7"/>
        <v>1</v>
      </c>
      <c r="N92" s="26">
        <f t="shared" si="8"/>
        <v>1</v>
      </c>
      <c r="O92" s="26">
        <f t="shared" si="9"/>
        <v>1</v>
      </c>
      <c r="P92" s="26">
        <f t="shared" si="5"/>
        <v>2</v>
      </c>
    </row>
    <row r="93" spans="1:16" x14ac:dyDescent="0.25">
      <c r="A93" s="3" t="e">
        <f>FEMTL!#REF!</f>
        <v>#REF!</v>
      </c>
      <c r="B93" s="3" t="e">
        <f>FEMTL!#REF!</f>
        <v>#REF!</v>
      </c>
      <c r="C93" s="3" t="e">
        <f>FEMTL!#REF!</f>
        <v>#REF!</v>
      </c>
      <c r="D93" s="3" t="e">
        <f>FEMTL!#REF!</f>
        <v>#REF!</v>
      </c>
      <c r="E93" s="3" t="e">
        <f>FEMTL!#REF!</f>
        <v>#REF!</v>
      </c>
      <c r="F93" s="3" t="e">
        <f>FEMTL!#REF!</f>
        <v>#REF!</v>
      </c>
      <c r="G93" s="10" t="e">
        <f>FEMTL!#REF!</f>
        <v>#REF!</v>
      </c>
      <c r="H93" s="8" t="e">
        <f>FEMTL!#REF!</f>
        <v>#REF!</v>
      </c>
      <c r="I93" s="11" t="e">
        <f>FEMTL!#REF!</f>
        <v>#REF!</v>
      </c>
      <c r="J93" s="7" t="e">
        <f>FEMTL!#REF!</f>
        <v>#REF!</v>
      </c>
      <c r="K93" s="13" t="e">
        <f>FEMTL!#REF!</f>
        <v>#REF!</v>
      </c>
      <c r="L93" s="26" t="e">
        <f t="shared" si="6"/>
        <v>#REF!</v>
      </c>
      <c r="M93" s="26" t="e">
        <f t="shared" si="7"/>
        <v>#REF!</v>
      </c>
      <c r="N93" s="26" t="e">
        <f t="shared" si="8"/>
        <v>#REF!</v>
      </c>
      <c r="O93" s="26" t="e">
        <f t="shared" si="9"/>
        <v>#REF!</v>
      </c>
      <c r="P93" s="26" t="e">
        <f t="shared" si="5"/>
        <v>#REF!</v>
      </c>
    </row>
    <row r="94" spans="1:16" x14ac:dyDescent="0.25">
      <c r="A94" s="3" t="e">
        <f>FEMTL!#REF!</f>
        <v>#REF!</v>
      </c>
      <c r="B94" s="3" t="e">
        <f>FEMTL!#REF!</f>
        <v>#REF!</v>
      </c>
      <c r="C94" s="3" t="e">
        <f>FEMTL!#REF!</f>
        <v>#REF!</v>
      </c>
      <c r="D94" s="3" t="e">
        <f>FEMTL!#REF!</f>
        <v>#REF!</v>
      </c>
      <c r="E94" s="3" t="e">
        <f>FEMTL!#REF!</f>
        <v>#REF!</v>
      </c>
      <c r="F94" s="3" t="e">
        <f>FEMTL!#REF!</f>
        <v>#REF!</v>
      </c>
      <c r="G94" s="10" t="e">
        <f>FEMTL!#REF!</f>
        <v>#REF!</v>
      </c>
      <c r="H94" s="8" t="e">
        <f>FEMTL!#REF!</f>
        <v>#REF!</v>
      </c>
      <c r="I94" s="11" t="e">
        <f>FEMTL!#REF!</f>
        <v>#REF!</v>
      </c>
      <c r="J94" s="7" t="e">
        <f>FEMTL!#REF!</f>
        <v>#REF!</v>
      </c>
      <c r="K94" s="13" t="e">
        <f>FEMTL!#REF!</f>
        <v>#REF!</v>
      </c>
      <c r="L94" s="26" t="e">
        <f t="shared" si="6"/>
        <v>#REF!</v>
      </c>
      <c r="M94" s="26" t="e">
        <f t="shared" si="7"/>
        <v>#REF!</v>
      </c>
      <c r="N94" s="26" t="e">
        <f t="shared" si="8"/>
        <v>#REF!</v>
      </c>
      <c r="O94" s="26" t="e">
        <f t="shared" si="9"/>
        <v>#REF!</v>
      </c>
      <c r="P94" s="26" t="e">
        <f t="shared" si="5"/>
        <v>#REF!</v>
      </c>
    </row>
    <row r="95" spans="1:16" x14ac:dyDescent="0.25">
      <c r="A95" s="3" t="str">
        <f>FEMTL!A96</f>
        <v>Dalby-Backa</v>
      </c>
      <c r="B95" s="3" t="str">
        <f>FEMTL!B96</f>
        <v>1:149</v>
      </c>
      <c r="C95" s="3" t="str">
        <f>FEMTL!C96</f>
        <v>Sara Liden</v>
      </c>
      <c r="D95" s="3" t="str">
        <f>FEMTL!E96</f>
        <v>Norra Gustavsbergsvägen 12</v>
      </c>
      <c r="E95" s="3" t="str">
        <f>FEMTL!F96</f>
        <v>653 45</v>
      </c>
      <c r="F95" s="3" t="str">
        <f>FEMTL!G96</f>
        <v>Karlstad</v>
      </c>
      <c r="G95" s="10">
        <f>FEMTL!H96</f>
        <v>193.69</v>
      </c>
      <c r="H95" s="8">
        <f>FEMTL!I96</f>
        <v>0</v>
      </c>
      <c r="I95" s="11">
        <f>FEMTL!J96</f>
        <v>0</v>
      </c>
      <c r="J95" s="7">
        <f>FEMTL!N96</f>
        <v>0</v>
      </c>
      <c r="K95" s="13">
        <f>FEMTL!O96</f>
        <v>0</v>
      </c>
      <c r="L95" s="26">
        <f t="shared" si="6"/>
        <v>0</v>
      </c>
      <c r="M95" s="26">
        <f t="shared" si="7"/>
        <v>0</v>
      </c>
      <c r="N95" s="26">
        <f t="shared" si="8"/>
        <v>0</v>
      </c>
      <c r="O95" s="26">
        <f t="shared" si="9"/>
        <v>0</v>
      </c>
      <c r="P95" s="26">
        <f t="shared" si="5"/>
        <v>0</v>
      </c>
    </row>
    <row r="96" spans="1:16" x14ac:dyDescent="0.25">
      <c r="A96" s="3">
        <f>FEMTL!A98</f>
        <v>0</v>
      </c>
      <c r="B96" s="3">
        <f>FEMTL!B98</f>
        <v>0</v>
      </c>
      <c r="C96" s="3">
        <f>FEMTL!C98</f>
        <v>0</v>
      </c>
      <c r="D96" s="3">
        <f>FEMTL!E98</f>
        <v>0</v>
      </c>
      <c r="E96" s="3">
        <f>FEMTL!F98</f>
        <v>0</v>
      </c>
      <c r="F96" s="3">
        <f>FEMTL!G98</f>
        <v>0</v>
      </c>
      <c r="G96" s="10">
        <f>FEMTL!H98</f>
        <v>0</v>
      </c>
      <c r="H96" s="8">
        <f>FEMTL!I98</f>
        <v>0</v>
      </c>
      <c r="I96" s="11">
        <f>FEMTL!J98</f>
        <v>0</v>
      </c>
      <c r="J96" s="7">
        <f>FEMTL!N98</f>
        <v>0</v>
      </c>
      <c r="K96" s="13">
        <f>FEMTL!O98</f>
        <v>0</v>
      </c>
      <c r="L96" s="26">
        <f t="shared" si="6"/>
        <v>0</v>
      </c>
      <c r="M96" s="26">
        <f t="shared" si="7"/>
        <v>0</v>
      </c>
      <c r="N96" s="26">
        <f t="shared" si="8"/>
        <v>0</v>
      </c>
      <c r="O96" s="26">
        <f t="shared" si="9"/>
        <v>0</v>
      </c>
      <c r="P96" s="26">
        <f t="shared" si="5"/>
        <v>0</v>
      </c>
    </row>
    <row r="97" spans="1:16" x14ac:dyDescent="0.25">
      <c r="A97" s="3" t="str">
        <f>FEMTL!A99</f>
        <v>Dalby-Backa</v>
      </c>
      <c r="B97" s="3" t="str">
        <f>FEMTL!B99</f>
        <v>1:63</v>
      </c>
      <c r="C97" s="3" t="str">
        <f>FEMTL!C99</f>
        <v>Solveig Nyström</v>
      </c>
      <c r="D97" s="3" t="str">
        <f>FEMTL!E99</f>
        <v>Gullrisgatan 16</v>
      </c>
      <c r="E97" s="3" t="str">
        <f>FEMTL!F99</f>
        <v>653 45</v>
      </c>
      <c r="F97" s="3" t="str">
        <f>FEMTL!G99</f>
        <v>Karlstad</v>
      </c>
      <c r="G97" s="10">
        <f>FEMTL!H99</f>
        <v>0</v>
      </c>
      <c r="H97" s="8">
        <f>FEMTL!I99</f>
        <v>11.91</v>
      </c>
      <c r="I97" s="11">
        <f>FEMTL!J99</f>
        <v>0</v>
      </c>
      <c r="J97" s="7">
        <f>FEMTL!N99</f>
        <v>11.91</v>
      </c>
      <c r="K97" s="13">
        <f>FEMTL!O99</f>
        <v>12</v>
      </c>
      <c r="L97" s="26">
        <f t="shared" si="6"/>
        <v>1</v>
      </c>
      <c r="M97" s="26">
        <f t="shared" si="7"/>
        <v>1</v>
      </c>
      <c r="N97" s="26">
        <f t="shared" si="8"/>
        <v>1</v>
      </c>
      <c r="O97" s="26">
        <f t="shared" si="9"/>
        <v>1</v>
      </c>
      <c r="P97" s="26">
        <f t="shared" si="5"/>
        <v>1</v>
      </c>
    </row>
    <row r="98" spans="1:16" x14ac:dyDescent="0.25">
      <c r="A98" s="3">
        <f>FEMTL!A100</f>
        <v>0</v>
      </c>
      <c r="B98" s="3">
        <f>FEMTL!B100</f>
        <v>0</v>
      </c>
      <c r="C98" s="3">
        <f>FEMTL!C100</f>
        <v>0</v>
      </c>
      <c r="D98" s="3">
        <f>FEMTL!E100</f>
        <v>0</v>
      </c>
      <c r="E98" s="3">
        <f>FEMTL!F100</f>
        <v>0</v>
      </c>
      <c r="F98" s="3">
        <f>FEMTL!G100</f>
        <v>0</v>
      </c>
      <c r="G98" s="10">
        <f>FEMTL!H100</f>
        <v>0</v>
      </c>
      <c r="H98" s="8">
        <f>FEMTL!I100</f>
        <v>0</v>
      </c>
      <c r="I98" s="11">
        <f>FEMTL!J100</f>
        <v>0</v>
      </c>
      <c r="J98" s="7">
        <f>FEMTL!N100</f>
        <v>0</v>
      </c>
      <c r="K98" s="13">
        <f>FEMTL!O100</f>
        <v>0</v>
      </c>
      <c r="L98" s="26">
        <f t="shared" si="6"/>
        <v>0</v>
      </c>
      <c r="M98" s="26">
        <f t="shared" si="7"/>
        <v>0</v>
      </c>
      <c r="N98" s="26">
        <f t="shared" si="8"/>
        <v>0</v>
      </c>
      <c r="O98" s="26">
        <f t="shared" si="9"/>
        <v>0</v>
      </c>
      <c r="P98" s="26">
        <f t="shared" si="5"/>
        <v>0</v>
      </c>
    </row>
    <row r="99" spans="1:16" x14ac:dyDescent="0.25">
      <c r="A99" s="3" t="str">
        <f>FEMTL!A101</f>
        <v>Dalby-Backa</v>
      </c>
      <c r="B99" s="3" t="str">
        <f>FEMTL!B101</f>
        <v>1:65</v>
      </c>
      <c r="C99" s="3" t="str">
        <f>FEMTL!C101</f>
        <v>Nils Olov Nilsson</v>
      </c>
      <c r="D99" s="3" t="str">
        <f>FEMTL!E101</f>
        <v xml:space="preserve">Hamra, Sjövik </v>
      </c>
      <c r="E99" s="3" t="str">
        <f>FEMTL!F101</f>
        <v>680 50</v>
      </c>
      <c r="F99" s="3" t="str">
        <f>FEMTL!G101</f>
        <v>Ekshärad</v>
      </c>
      <c r="G99" s="10">
        <f>FEMTL!H101</f>
        <v>0</v>
      </c>
      <c r="H99" s="8">
        <f>FEMTL!I101</f>
        <v>143.63</v>
      </c>
      <c r="I99" s="11">
        <f>FEMTL!J101</f>
        <v>0</v>
      </c>
      <c r="J99" s="7">
        <f>FEMTL!N101</f>
        <v>143.63</v>
      </c>
      <c r="K99" s="13">
        <f>FEMTL!O101</f>
        <v>144</v>
      </c>
      <c r="L99" s="26">
        <f t="shared" si="6"/>
        <v>2</v>
      </c>
      <c r="M99" s="26">
        <f t="shared" si="7"/>
        <v>2</v>
      </c>
      <c r="N99" s="26">
        <f t="shared" si="8"/>
        <v>2</v>
      </c>
      <c r="O99" s="26">
        <f t="shared" si="9"/>
        <v>2</v>
      </c>
      <c r="P99" s="26">
        <f t="shared" si="5"/>
        <v>6</v>
      </c>
    </row>
    <row r="100" spans="1:16" x14ac:dyDescent="0.25">
      <c r="A100" s="3">
        <f>FEMTL!A102</f>
        <v>0</v>
      </c>
      <c r="B100" s="3">
        <f>FEMTL!B102</f>
        <v>0</v>
      </c>
      <c r="C100" s="3">
        <f>FEMTL!C102</f>
        <v>0</v>
      </c>
      <c r="D100" s="3">
        <f>FEMTL!E102</f>
        <v>0</v>
      </c>
      <c r="E100" s="3">
        <f>FEMTL!F102</f>
        <v>0</v>
      </c>
      <c r="F100" s="3">
        <f>FEMTL!G102</f>
        <v>0</v>
      </c>
      <c r="G100" s="10">
        <f>FEMTL!H102</f>
        <v>0</v>
      </c>
      <c r="H100" s="8">
        <f>FEMTL!I102</f>
        <v>0</v>
      </c>
      <c r="I100" s="11">
        <f>FEMTL!J102</f>
        <v>0</v>
      </c>
      <c r="J100" s="7">
        <f>FEMTL!N102</f>
        <v>0</v>
      </c>
      <c r="K100" s="13">
        <f>FEMTL!O102</f>
        <v>0</v>
      </c>
      <c r="L100" s="26">
        <f t="shared" si="6"/>
        <v>0</v>
      </c>
      <c r="M100" s="26">
        <f t="shared" si="7"/>
        <v>0</v>
      </c>
      <c r="N100" s="26">
        <f t="shared" si="8"/>
        <v>0</v>
      </c>
      <c r="O100" s="26">
        <f t="shared" si="9"/>
        <v>0</v>
      </c>
      <c r="P100" s="26">
        <f t="shared" si="5"/>
        <v>0</v>
      </c>
    </row>
    <row r="101" spans="1:16" x14ac:dyDescent="0.25">
      <c r="A101" s="3" t="str">
        <f>FEMTL!A103</f>
        <v>Dalby-Backa</v>
      </c>
      <c r="B101" s="3" t="str">
        <f>FEMTL!B103</f>
        <v>1:71</v>
      </c>
      <c r="C101" s="3" t="str">
        <f>FEMTL!C103</f>
        <v xml:space="preserve">Kerstin Johnsson </v>
      </c>
      <c r="D101" s="3" t="str">
        <f>FEMTL!E103</f>
        <v>Sjöbacken 32</v>
      </c>
      <c r="E101" s="3" t="str">
        <f>FEMTL!F103</f>
        <v>162 39</v>
      </c>
      <c r="F101" s="3" t="str">
        <f>FEMTL!G103</f>
        <v>Vällingby</v>
      </c>
      <c r="G101" s="10">
        <f>FEMTL!H103</f>
        <v>0</v>
      </c>
      <c r="H101" s="8">
        <f>FEMTL!I103</f>
        <v>74.47</v>
      </c>
      <c r="I101" s="11">
        <f>FEMTL!J103</f>
        <v>0</v>
      </c>
      <c r="J101" s="7">
        <f>FEMTL!N103</f>
        <v>74.47</v>
      </c>
      <c r="K101" s="13">
        <f>FEMTL!O103</f>
        <v>75</v>
      </c>
      <c r="L101" s="26">
        <f t="shared" si="6"/>
        <v>1</v>
      </c>
      <c r="M101" s="26">
        <f t="shared" si="7"/>
        <v>1</v>
      </c>
      <c r="N101" s="26">
        <f t="shared" si="8"/>
        <v>1</v>
      </c>
      <c r="O101" s="26">
        <f t="shared" si="9"/>
        <v>1</v>
      </c>
      <c r="P101" s="26">
        <f t="shared" si="5"/>
        <v>3</v>
      </c>
    </row>
    <row r="102" spans="1:16" x14ac:dyDescent="0.25">
      <c r="A102" s="3">
        <f>FEMTL!A104</f>
        <v>0</v>
      </c>
      <c r="B102" s="3">
        <f>FEMTL!B104</f>
        <v>0</v>
      </c>
      <c r="C102" s="3">
        <f>FEMTL!C104</f>
        <v>0</v>
      </c>
      <c r="D102" s="3">
        <f>FEMTL!E104</f>
        <v>0</v>
      </c>
      <c r="E102" s="3">
        <f>FEMTL!F104</f>
        <v>0</v>
      </c>
      <c r="F102" s="3">
        <f>FEMTL!G104</f>
        <v>0</v>
      </c>
      <c r="G102" s="8">
        <f>FEMTL!H104</f>
        <v>0</v>
      </c>
      <c r="H102" s="8">
        <f>FEMTL!I104</f>
        <v>0</v>
      </c>
      <c r="I102" s="11">
        <f>FEMTL!J104</f>
        <v>0</v>
      </c>
      <c r="J102" s="7">
        <f>FEMTL!N104</f>
        <v>0</v>
      </c>
      <c r="K102" s="13">
        <f>FEMTL!O104</f>
        <v>0</v>
      </c>
      <c r="L102" s="26">
        <f t="shared" si="6"/>
        <v>0</v>
      </c>
      <c r="M102" s="26">
        <f t="shared" si="7"/>
        <v>0</v>
      </c>
      <c r="N102" s="26">
        <f t="shared" si="8"/>
        <v>0</v>
      </c>
      <c r="O102" s="26">
        <f t="shared" si="9"/>
        <v>0</v>
      </c>
      <c r="P102" s="26">
        <f t="shared" si="5"/>
        <v>0</v>
      </c>
    </row>
    <row r="103" spans="1:16" x14ac:dyDescent="0.25">
      <c r="A103" s="3" t="str">
        <f>FEMTL!A105</f>
        <v>Dalby-Backa</v>
      </c>
      <c r="B103" s="3" t="str">
        <f>FEMTL!B105</f>
        <v>1:73</v>
      </c>
      <c r="C103" s="3" t="str">
        <f>FEMTL!C105</f>
        <v>Monica Gerhardsson</v>
      </c>
      <c r="D103" s="3" t="str">
        <f>FEMTL!E105</f>
        <v>Lövstagatan 2B</v>
      </c>
      <c r="E103" s="3" t="str">
        <f>FEMTL!F105</f>
        <v>692 33</v>
      </c>
      <c r="F103" s="3" t="str">
        <f>FEMTL!G105</f>
        <v>Kumla</v>
      </c>
      <c r="G103" s="8">
        <f>FEMTL!H105</f>
        <v>0</v>
      </c>
      <c r="H103" s="8">
        <f>FEMTL!I105</f>
        <v>60.98</v>
      </c>
      <c r="I103" s="11">
        <f>FEMTL!J105</f>
        <v>0</v>
      </c>
      <c r="J103" s="7">
        <f>FEMTL!N105</f>
        <v>346.78999999999996</v>
      </c>
      <c r="K103" s="13">
        <f>FEMTL!O105</f>
        <v>347</v>
      </c>
      <c r="L103" s="26">
        <f t="shared" si="6"/>
        <v>4</v>
      </c>
      <c r="M103" s="26">
        <f t="shared" si="7"/>
        <v>4</v>
      </c>
      <c r="N103" s="26">
        <f t="shared" si="8"/>
        <v>5</v>
      </c>
      <c r="O103" s="26">
        <f t="shared" si="9"/>
        <v>5</v>
      </c>
      <c r="P103" s="26">
        <f t="shared" si="5"/>
        <v>14</v>
      </c>
    </row>
    <row r="104" spans="1:16" x14ac:dyDescent="0.25">
      <c r="A104" s="3" t="e">
        <f>FEMTL!#REF!</f>
        <v>#REF!</v>
      </c>
      <c r="B104" s="3" t="e">
        <f>FEMTL!#REF!</f>
        <v>#REF!</v>
      </c>
      <c r="C104" s="3" t="e">
        <f>FEMTL!#REF!</f>
        <v>#REF!</v>
      </c>
      <c r="D104" s="3" t="e">
        <f>FEMTL!#REF!</f>
        <v>#REF!</v>
      </c>
      <c r="E104" s="3" t="e">
        <f>FEMTL!#REF!</f>
        <v>#REF!</v>
      </c>
      <c r="F104" s="3" t="e">
        <f>FEMTL!#REF!</f>
        <v>#REF!</v>
      </c>
      <c r="G104" s="8" t="e">
        <f>FEMTL!#REF!</f>
        <v>#REF!</v>
      </c>
      <c r="H104" s="8" t="e">
        <f>FEMTL!#REF!</f>
        <v>#REF!</v>
      </c>
      <c r="I104" s="11" t="e">
        <f>FEMTL!#REF!</f>
        <v>#REF!</v>
      </c>
      <c r="J104" s="7" t="e">
        <f>FEMTL!#REF!</f>
        <v>#REF!</v>
      </c>
      <c r="K104" s="13" t="e">
        <f>FEMTL!#REF!</f>
        <v>#REF!</v>
      </c>
      <c r="L104" s="26" t="e">
        <f t="shared" si="6"/>
        <v>#REF!</v>
      </c>
      <c r="M104" s="26" t="e">
        <f t="shared" si="7"/>
        <v>#REF!</v>
      </c>
      <c r="N104" s="26" t="e">
        <f t="shared" si="8"/>
        <v>#REF!</v>
      </c>
      <c r="O104" s="26" t="e">
        <f t="shared" si="9"/>
        <v>#REF!</v>
      </c>
      <c r="P104" s="26" t="e">
        <f t="shared" si="5"/>
        <v>#REF!</v>
      </c>
    </row>
    <row r="105" spans="1:16" x14ac:dyDescent="0.25">
      <c r="A105" s="3" t="str">
        <f>FEMTL!A106</f>
        <v>Dalby-Backa</v>
      </c>
      <c r="B105" s="3" t="str">
        <f>FEMTL!B106</f>
        <v>1:103</v>
      </c>
      <c r="C105" s="3">
        <f>FEMTL!C106</f>
        <v>0</v>
      </c>
      <c r="D105" s="3">
        <f>FEMTL!E106</f>
        <v>0</v>
      </c>
      <c r="E105" s="3">
        <f>FEMTL!F106</f>
        <v>0</v>
      </c>
      <c r="F105" s="3">
        <f>FEMTL!G106</f>
        <v>0</v>
      </c>
      <c r="G105" s="10">
        <f>FEMTL!H106</f>
        <v>0</v>
      </c>
      <c r="H105" s="8">
        <f>FEMTL!I106</f>
        <v>220.96</v>
      </c>
      <c r="I105" s="11">
        <f>FEMTL!J106</f>
        <v>0</v>
      </c>
      <c r="J105" s="7">
        <f>FEMTL!N106</f>
        <v>0</v>
      </c>
      <c r="K105" s="13">
        <f>FEMTL!O106</f>
        <v>0</v>
      </c>
      <c r="L105" s="26">
        <f t="shared" si="6"/>
        <v>0</v>
      </c>
      <c r="M105" s="26">
        <f t="shared" si="7"/>
        <v>0</v>
      </c>
      <c r="N105" s="26">
        <f t="shared" si="8"/>
        <v>0</v>
      </c>
      <c r="O105" s="26">
        <f t="shared" si="9"/>
        <v>0</v>
      </c>
      <c r="P105" s="26">
        <f t="shared" si="5"/>
        <v>0</v>
      </c>
    </row>
    <row r="106" spans="1:16" x14ac:dyDescent="0.25">
      <c r="A106" s="3" t="str">
        <f>FEMTL!A107</f>
        <v>Skinnerud</v>
      </c>
      <c r="B106" s="3" t="str">
        <f>FEMTL!B107</f>
        <v>1:29</v>
      </c>
      <c r="C106" s="3">
        <f>FEMTL!C107</f>
        <v>0</v>
      </c>
      <c r="D106" s="3">
        <f>FEMTL!E107</f>
        <v>0</v>
      </c>
      <c r="E106" s="3">
        <f>FEMTL!F107</f>
        <v>0</v>
      </c>
      <c r="F106" s="3">
        <f>FEMTL!G107</f>
        <v>0</v>
      </c>
      <c r="G106" s="10">
        <f>FEMTL!H107</f>
        <v>0</v>
      </c>
      <c r="H106" s="8">
        <f>FEMTL!I107</f>
        <v>64.849999999999994</v>
      </c>
      <c r="I106" s="11">
        <f>FEMTL!J107</f>
        <v>0</v>
      </c>
      <c r="J106" s="7">
        <f>FEMTL!N107</f>
        <v>0</v>
      </c>
      <c r="K106" s="13">
        <f>FEMTL!O107</f>
        <v>0</v>
      </c>
      <c r="L106" s="26">
        <f t="shared" si="6"/>
        <v>0</v>
      </c>
      <c r="M106" s="26">
        <f t="shared" si="7"/>
        <v>0</v>
      </c>
      <c r="N106" s="26">
        <f t="shared" si="8"/>
        <v>0</v>
      </c>
      <c r="O106" s="26">
        <f t="shared" si="9"/>
        <v>0</v>
      </c>
      <c r="P106" s="26">
        <f t="shared" si="5"/>
        <v>0</v>
      </c>
    </row>
    <row r="107" spans="1:16" x14ac:dyDescent="0.25">
      <c r="A107" s="3">
        <f>FEMTL!A108</f>
        <v>0</v>
      </c>
      <c r="B107" s="3">
        <f>FEMTL!B108</f>
        <v>0</v>
      </c>
      <c r="C107" s="3">
        <f>FEMTL!C108</f>
        <v>0</v>
      </c>
      <c r="D107" s="3">
        <f>FEMTL!E108</f>
        <v>0</v>
      </c>
      <c r="E107" s="3">
        <f>FEMTL!F108</f>
        <v>0</v>
      </c>
      <c r="F107" s="3">
        <f>FEMTL!G108</f>
        <v>0</v>
      </c>
      <c r="G107" s="10">
        <f>FEMTL!H108</f>
        <v>0</v>
      </c>
      <c r="H107" s="8">
        <f>FEMTL!I108</f>
        <v>0</v>
      </c>
      <c r="I107" s="11">
        <f>FEMTL!J108</f>
        <v>0</v>
      </c>
      <c r="J107" s="7">
        <f>FEMTL!N108</f>
        <v>0</v>
      </c>
      <c r="K107" s="13">
        <f>FEMTL!O108</f>
        <v>0</v>
      </c>
      <c r="L107" s="26">
        <f t="shared" si="6"/>
        <v>0</v>
      </c>
      <c r="M107" s="26">
        <f t="shared" si="7"/>
        <v>0</v>
      </c>
      <c r="N107" s="26">
        <f t="shared" si="8"/>
        <v>0</v>
      </c>
      <c r="O107" s="26">
        <f t="shared" si="9"/>
        <v>0</v>
      </c>
      <c r="P107" s="26">
        <f t="shared" si="5"/>
        <v>0</v>
      </c>
    </row>
    <row r="108" spans="1:16" x14ac:dyDescent="0.25">
      <c r="A108" s="3" t="str">
        <f>FEMTL!A109</f>
        <v>Dalby-Backa</v>
      </c>
      <c r="B108" s="3" t="str">
        <f>FEMTL!B109</f>
        <v>1:110</v>
      </c>
      <c r="C108" s="3" t="str">
        <f>FEMTL!C109</f>
        <v>Ola Nyberg dbo</v>
      </c>
      <c r="D108" s="3" t="str">
        <f>FEMTL!E109</f>
        <v>c/o Per Nyberg, Lillängsvägen 28</v>
      </c>
      <c r="E108" s="3" t="str">
        <f>FEMTL!F109</f>
        <v>680 63</v>
      </c>
      <c r="F108" s="3" t="str">
        <f>FEMTL!G109</f>
        <v>Likenäs</v>
      </c>
      <c r="G108" s="10">
        <f>FEMTL!H109</f>
        <v>0</v>
      </c>
      <c r="H108" s="8">
        <f>FEMTL!I109</f>
        <v>10.82</v>
      </c>
      <c r="I108" s="11">
        <f>FEMTL!J109</f>
        <v>0</v>
      </c>
      <c r="J108" s="7">
        <f>FEMTL!N109</f>
        <v>10.82</v>
      </c>
      <c r="K108" s="13">
        <f>FEMTL!O109</f>
        <v>11</v>
      </c>
      <c r="L108" s="26">
        <f t="shared" si="6"/>
        <v>1</v>
      </c>
      <c r="M108" s="26">
        <f t="shared" si="7"/>
        <v>1</v>
      </c>
      <c r="N108" s="26">
        <f t="shared" si="8"/>
        <v>1</v>
      </c>
      <c r="O108" s="26">
        <f t="shared" si="9"/>
        <v>1</v>
      </c>
      <c r="P108" s="26">
        <f t="shared" si="5"/>
        <v>1</v>
      </c>
    </row>
    <row r="109" spans="1:16" x14ac:dyDescent="0.25">
      <c r="A109" s="3">
        <f>FEMTL!A110</f>
        <v>0</v>
      </c>
      <c r="B109" s="3">
        <f>FEMTL!B110</f>
        <v>0</v>
      </c>
      <c r="C109" s="3">
        <f>FEMTL!C110</f>
        <v>0</v>
      </c>
      <c r="D109" s="3">
        <f>FEMTL!E110</f>
        <v>0</v>
      </c>
      <c r="E109" s="3">
        <f>FEMTL!F110</f>
        <v>0</v>
      </c>
      <c r="F109" s="3">
        <f>FEMTL!G110</f>
        <v>0</v>
      </c>
      <c r="G109" s="10">
        <f>FEMTL!H110</f>
        <v>0</v>
      </c>
      <c r="H109" s="8">
        <f>FEMTL!I110</f>
        <v>0</v>
      </c>
      <c r="I109" s="11">
        <f>FEMTL!J110</f>
        <v>0</v>
      </c>
      <c r="J109" s="7">
        <f>FEMTL!N110</f>
        <v>0</v>
      </c>
      <c r="K109" s="13">
        <f>FEMTL!O110</f>
        <v>0</v>
      </c>
      <c r="L109" s="26">
        <f t="shared" si="6"/>
        <v>0</v>
      </c>
      <c r="M109" s="26">
        <f t="shared" si="7"/>
        <v>0</v>
      </c>
      <c r="N109" s="26">
        <f t="shared" si="8"/>
        <v>0</v>
      </c>
      <c r="O109" s="26">
        <f t="shared" si="9"/>
        <v>0</v>
      </c>
      <c r="P109" s="26">
        <f t="shared" si="5"/>
        <v>0</v>
      </c>
    </row>
    <row r="110" spans="1:16" x14ac:dyDescent="0.25">
      <c r="A110" s="3" t="str">
        <f>FEMTL!A111</f>
        <v>Dalby-Backa</v>
      </c>
      <c r="B110" s="3" t="str">
        <f>FEMTL!B111</f>
        <v>1:112</v>
      </c>
      <c r="C110" s="3" t="str">
        <f>FEMTL!C111</f>
        <v>Martin Persson</v>
      </c>
      <c r="D110" s="3" t="str">
        <f>FEMTL!E111</f>
        <v>Bröskågården</v>
      </c>
      <c r="E110" s="3" t="str">
        <f>FEMTL!F111</f>
        <v>680 52</v>
      </c>
      <c r="F110" s="3" t="str">
        <f>FEMTL!G111</f>
        <v>Ambjörby</v>
      </c>
      <c r="G110" s="10">
        <f>FEMTL!H111</f>
        <v>0</v>
      </c>
      <c r="H110" s="8">
        <f>FEMTL!I111</f>
        <v>74.8</v>
      </c>
      <c r="I110" s="11">
        <f>FEMTL!J111</f>
        <v>0</v>
      </c>
      <c r="J110" s="7">
        <f>FEMTL!N111</f>
        <v>74.8</v>
      </c>
      <c r="K110" s="13">
        <f>FEMTL!O111</f>
        <v>75</v>
      </c>
      <c r="L110" s="26">
        <f t="shared" si="6"/>
        <v>1</v>
      </c>
      <c r="M110" s="26">
        <f t="shared" si="7"/>
        <v>1</v>
      </c>
      <c r="N110" s="26">
        <f t="shared" si="8"/>
        <v>1</v>
      </c>
      <c r="O110" s="26">
        <f t="shared" si="9"/>
        <v>1</v>
      </c>
      <c r="P110" s="26">
        <f t="shared" si="5"/>
        <v>3</v>
      </c>
    </row>
    <row r="111" spans="1:16" x14ac:dyDescent="0.25">
      <c r="A111" s="3">
        <f>FEMTL!A112</f>
        <v>0</v>
      </c>
      <c r="B111" s="3">
        <f>FEMTL!B112</f>
        <v>0</v>
      </c>
      <c r="C111" s="3" t="str">
        <f>FEMTL!C112</f>
        <v>Ann-Marie Persson</v>
      </c>
      <c r="D111" s="3" t="str">
        <f>FEMTL!E112</f>
        <v>Bröskågården</v>
      </c>
      <c r="E111" s="3" t="str">
        <f>FEMTL!F112</f>
        <v>680 52</v>
      </c>
      <c r="F111" s="3" t="str">
        <f>FEMTL!G112</f>
        <v>Ambjörby</v>
      </c>
      <c r="G111" s="10">
        <f>FEMTL!H112</f>
        <v>0</v>
      </c>
      <c r="H111" s="8">
        <f>FEMTL!I112</f>
        <v>0</v>
      </c>
      <c r="I111" s="11">
        <f>FEMTL!J112</f>
        <v>0</v>
      </c>
      <c r="J111" s="7">
        <f>FEMTL!N112</f>
        <v>0</v>
      </c>
      <c r="K111" s="13">
        <f>FEMTL!O112</f>
        <v>0</v>
      </c>
      <c r="L111" s="26">
        <f t="shared" si="6"/>
        <v>0</v>
      </c>
      <c r="M111" s="26">
        <f t="shared" si="7"/>
        <v>0</v>
      </c>
      <c r="N111" s="26">
        <f t="shared" si="8"/>
        <v>0</v>
      </c>
      <c r="O111" s="26">
        <f t="shared" si="9"/>
        <v>0</v>
      </c>
      <c r="P111" s="26">
        <f t="shared" si="5"/>
        <v>0</v>
      </c>
    </row>
    <row r="112" spans="1:16" x14ac:dyDescent="0.25">
      <c r="A112" s="3">
        <f>FEMTL!A113</f>
        <v>0</v>
      </c>
      <c r="B112" s="3">
        <f>FEMTL!B113</f>
        <v>0</v>
      </c>
      <c r="C112" s="3">
        <f>FEMTL!C113</f>
        <v>0</v>
      </c>
      <c r="D112" s="3">
        <f>FEMTL!E113</f>
        <v>0</v>
      </c>
      <c r="E112" s="3">
        <f>FEMTL!F113</f>
        <v>0</v>
      </c>
      <c r="F112" s="3">
        <f>FEMTL!G113</f>
        <v>0</v>
      </c>
      <c r="G112" s="3">
        <f>FEMTL!H113</f>
        <v>0</v>
      </c>
      <c r="H112" s="10">
        <f>FEMTL!I113</f>
        <v>0</v>
      </c>
      <c r="I112" s="11">
        <f>FEMTL!J113</f>
        <v>0</v>
      </c>
      <c r="J112" s="7">
        <f>FEMTL!N113</f>
        <v>0</v>
      </c>
      <c r="K112" s="13">
        <f>FEMTL!O113</f>
        <v>0</v>
      </c>
      <c r="L112" s="26">
        <f t="shared" si="6"/>
        <v>0</v>
      </c>
      <c r="M112" s="26">
        <f t="shared" si="7"/>
        <v>0</v>
      </c>
      <c r="N112" s="26">
        <f t="shared" si="8"/>
        <v>0</v>
      </c>
      <c r="O112" s="26">
        <f t="shared" si="9"/>
        <v>0</v>
      </c>
      <c r="P112" s="26">
        <f t="shared" si="5"/>
        <v>0</v>
      </c>
    </row>
    <row r="113" spans="1:16" x14ac:dyDescent="0.25">
      <c r="A113" s="3" t="str">
        <f>FEMTL!A114</f>
        <v>Dalby-Backa</v>
      </c>
      <c r="B113" s="3" t="str">
        <f>FEMTL!B114</f>
        <v>1:118</v>
      </c>
      <c r="C113" s="3" t="str">
        <f>FEMTL!C114</f>
        <v>Sigrid Andersson dbo</v>
      </c>
      <c r="D113" s="3">
        <f>FEMTL!E114</f>
        <v>0</v>
      </c>
      <c r="E113" s="3">
        <f>FEMTL!F114</f>
        <v>0</v>
      </c>
      <c r="F113" s="3">
        <f>FEMTL!G114</f>
        <v>0</v>
      </c>
      <c r="G113" s="10">
        <f>FEMTL!H114</f>
        <v>0</v>
      </c>
      <c r="H113" s="8">
        <f>FEMTL!I114</f>
        <v>37.9</v>
      </c>
      <c r="I113" s="11">
        <f>FEMTL!J114</f>
        <v>0</v>
      </c>
      <c r="J113" s="7">
        <f>FEMTL!N114</f>
        <v>37.9</v>
      </c>
      <c r="K113" s="13">
        <f>FEMTL!O114</f>
        <v>38</v>
      </c>
      <c r="L113" s="26">
        <f t="shared" si="6"/>
        <v>1</v>
      </c>
      <c r="M113" s="26">
        <f t="shared" si="7"/>
        <v>1</v>
      </c>
      <c r="N113" s="26">
        <f t="shared" si="8"/>
        <v>1</v>
      </c>
      <c r="O113" s="26">
        <f t="shared" si="9"/>
        <v>1</v>
      </c>
      <c r="P113" s="26">
        <f t="shared" si="5"/>
        <v>2</v>
      </c>
    </row>
    <row r="114" spans="1:16" x14ac:dyDescent="0.25">
      <c r="A114" s="3">
        <f>FEMTL!A115</f>
        <v>0</v>
      </c>
      <c r="B114" s="3">
        <f>FEMTL!B115</f>
        <v>0</v>
      </c>
      <c r="C114" s="3">
        <f>FEMTL!C115</f>
        <v>0</v>
      </c>
      <c r="D114" s="3">
        <f>FEMTL!E115</f>
        <v>0</v>
      </c>
      <c r="E114" s="3">
        <f>FEMTL!F115</f>
        <v>0</v>
      </c>
      <c r="F114" s="3">
        <f>FEMTL!G115</f>
        <v>0</v>
      </c>
      <c r="G114" s="10">
        <f>FEMTL!H115</f>
        <v>0</v>
      </c>
      <c r="H114" s="8">
        <f>FEMTL!I115</f>
        <v>0</v>
      </c>
      <c r="I114" s="11">
        <f>FEMTL!J115</f>
        <v>0</v>
      </c>
      <c r="J114" s="7">
        <f>FEMTL!N115</f>
        <v>0</v>
      </c>
      <c r="K114" s="13">
        <f>FEMTL!O115</f>
        <v>0</v>
      </c>
      <c r="L114" s="26">
        <f t="shared" si="6"/>
        <v>0</v>
      </c>
      <c r="M114" s="26">
        <f t="shared" si="7"/>
        <v>0</v>
      </c>
      <c r="N114" s="26">
        <f t="shared" si="8"/>
        <v>0</v>
      </c>
      <c r="O114" s="26">
        <f t="shared" si="9"/>
        <v>0</v>
      </c>
      <c r="P114" s="26">
        <f t="shared" si="5"/>
        <v>0</v>
      </c>
    </row>
    <row r="115" spans="1:16" x14ac:dyDescent="0.25">
      <c r="A115" s="3" t="str">
        <f>FEMTL!A116</f>
        <v>Dalby-Backa</v>
      </c>
      <c r="B115" s="3" t="str">
        <f>FEMTL!B116</f>
        <v>1:124</v>
      </c>
      <c r="C115" s="3" t="str">
        <f>FEMTL!C116</f>
        <v>Maj-Lise Persson</v>
      </c>
      <c r="D115" s="3" t="str">
        <f>FEMTL!E116</f>
        <v>Ytter Restad 620</v>
      </c>
      <c r="E115" s="3" t="str">
        <f>FEMTL!F116</f>
        <v>442 95</v>
      </c>
      <c r="F115" s="3" t="str">
        <f>FEMTL!G116</f>
        <v>Holta</v>
      </c>
      <c r="G115" s="10">
        <f>FEMTL!H116</f>
        <v>0</v>
      </c>
      <c r="H115" s="8">
        <f>FEMTL!I116</f>
        <v>1.86</v>
      </c>
      <c r="I115" s="11">
        <f>FEMTL!J116</f>
        <v>0</v>
      </c>
      <c r="J115" s="7">
        <f>FEMTL!N116</f>
        <v>1.86</v>
      </c>
      <c r="K115" s="13">
        <f>FEMTL!O116</f>
        <v>2</v>
      </c>
      <c r="L115" s="26">
        <f t="shared" si="6"/>
        <v>1</v>
      </c>
      <c r="M115" s="26">
        <f t="shared" si="7"/>
        <v>1</v>
      </c>
      <c r="N115" s="26">
        <f t="shared" si="8"/>
        <v>1</v>
      </c>
      <c r="O115" s="26">
        <f t="shared" si="9"/>
        <v>1</v>
      </c>
      <c r="P115" s="26">
        <f t="shared" si="5"/>
        <v>1</v>
      </c>
    </row>
    <row r="116" spans="1:16" x14ac:dyDescent="0.25">
      <c r="A116" s="3">
        <f>FEMTL!A117</f>
        <v>0</v>
      </c>
      <c r="B116" s="3">
        <f>FEMTL!B117</f>
        <v>0</v>
      </c>
      <c r="C116" s="3">
        <f>FEMTL!C117</f>
        <v>0</v>
      </c>
      <c r="D116" s="3">
        <f>FEMTL!E117</f>
        <v>0</v>
      </c>
      <c r="E116" s="3">
        <f>FEMTL!F117</f>
        <v>0</v>
      </c>
      <c r="F116" s="3">
        <f>FEMTL!G117</f>
        <v>0</v>
      </c>
      <c r="G116" s="10">
        <f>FEMTL!H117</f>
        <v>0</v>
      </c>
      <c r="H116" s="8">
        <f>FEMTL!I117</f>
        <v>0</v>
      </c>
      <c r="I116" s="11">
        <f>FEMTL!J117</f>
        <v>0</v>
      </c>
      <c r="J116" s="7">
        <f>FEMTL!N117</f>
        <v>0</v>
      </c>
      <c r="K116" s="13">
        <f>FEMTL!O117</f>
        <v>0</v>
      </c>
      <c r="L116" s="26">
        <f t="shared" si="6"/>
        <v>0</v>
      </c>
      <c r="M116" s="26">
        <f t="shared" si="7"/>
        <v>0</v>
      </c>
      <c r="N116" s="26">
        <f t="shared" si="8"/>
        <v>0</v>
      </c>
      <c r="O116" s="26">
        <f t="shared" si="9"/>
        <v>0</v>
      </c>
      <c r="P116" s="26">
        <f t="shared" si="5"/>
        <v>0</v>
      </c>
    </row>
    <row r="117" spans="1:16" x14ac:dyDescent="0.25">
      <c r="A117" s="3" t="str">
        <f>FEMTL!A118</f>
        <v>Dalby-Backa</v>
      </c>
      <c r="B117" s="3" t="str">
        <f>FEMTL!B118</f>
        <v>1:125</v>
      </c>
      <c r="C117" s="3" t="str">
        <f>FEMTL!C118</f>
        <v>Håkan Helgesson dbo</v>
      </c>
      <c r="D117" s="3" t="str">
        <f>FEMTL!E118</f>
        <v>Backa 17</v>
      </c>
      <c r="E117" s="3" t="str">
        <f>FEMTL!F118</f>
        <v>680 63</v>
      </c>
      <c r="F117" s="3" t="str">
        <f>FEMTL!G118</f>
        <v>Likenäs</v>
      </c>
      <c r="G117" s="10">
        <f>FEMTL!H118</f>
        <v>0</v>
      </c>
      <c r="H117" s="8">
        <f>FEMTL!I118</f>
        <v>126.99</v>
      </c>
      <c r="I117" s="11">
        <f>FEMTL!J118</f>
        <v>0</v>
      </c>
      <c r="J117" s="7">
        <f>FEMTL!N118</f>
        <v>126.99</v>
      </c>
      <c r="K117" s="13">
        <f>FEMTL!O118</f>
        <v>127</v>
      </c>
      <c r="L117" s="26">
        <f t="shared" si="6"/>
        <v>2</v>
      </c>
      <c r="M117" s="26">
        <f t="shared" si="7"/>
        <v>2</v>
      </c>
      <c r="N117" s="26">
        <f t="shared" si="8"/>
        <v>2</v>
      </c>
      <c r="O117" s="26">
        <f t="shared" si="9"/>
        <v>2</v>
      </c>
      <c r="P117" s="26">
        <f t="shared" si="5"/>
        <v>6</v>
      </c>
    </row>
    <row r="118" spans="1:16" x14ac:dyDescent="0.25">
      <c r="A118" s="3">
        <f>FEMTL!A119</f>
        <v>0</v>
      </c>
      <c r="B118" s="3">
        <f>FEMTL!B119</f>
        <v>0</v>
      </c>
      <c r="C118" s="3" t="str">
        <f>FEMTL!C119</f>
        <v>Gullan Rydh</v>
      </c>
      <c r="D118" s="3" t="str">
        <f>FEMTL!E119</f>
        <v>Rönnliden 29</v>
      </c>
      <c r="E118" s="3" t="str">
        <f>FEMTL!F119</f>
        <v>667 33</v>
      </c>
      <c r="F118" s="3" t="str">
        <f>FEMTL!G119</f>
        <v>Forshaga</v>
      </c>
      <c r="G118" s="10">
        <f>FEMTL!H119</f>
        <v>0</v>
      </c>
      <c r="H118" s="8">
        <f>FEMTL!I119</f>
        <v>0</v>
      </c>
      <c r="I118" s="11">
        <f>FEMTL!J119</f>
        <v>0</v>
      </c>
      <c r="J118" s="22">
        <f>FEMTL!N119</f>
        <v>0</v>
      </c>
      <c r="K118" s="13">
        <f>FEMTL!O119</f>
        <v>0</v>
      </c>
      <c r="L118" s="26">
        <f t="shared" si="6"/>
        <v>0</v>
      </c>
      <c r="M118" s="26">
        <f t="shared" si="7"/>
        <v>0</v>
      </c>
      <c r="N118" s="26">
        <f t="shared" si="8"/>
        <v>0</v>
      </c>
      <c r="O118" s="26">
        <f t="shared" si="9"/>
        <v>0</v>
      </c>
      <c r="P118" s="26">
        <f t="shared" si="5"/>
        <v>0</v>
      </c>
    </row>
    <row r="119" spans="1:16" x14ac:dyDescent="0.25">
      <c r="A119" s="3">
        <f>FEMTL!A120</f>
        <v>0</v>
      </c>
      <c r="B119" s="3">
        <f>FEMTL!B120</f>
        <v>0</v>
      </c>
      <c r="C119" s="3" t="str">
        <f>FEMTL!C120</f>
        <v>Bengt Helgesson</v>
      </c>
      <c r="D119" s="3" t="str">
        <f>FEMTL!E120</f>
        <v>Lilla Ällsjövägen 22</v>
      </c>
      <c r="E119" s="3" t="str">
        <f>FEMTL!F120</f>
        <v>424 70</v>
      </c>
      <c r="F119" s="3" t="str">
        <f>FEMTL!G120</f>
        <v>Olofstorp</v>
      </c>
      <c r="G119" s="10">
        <f>FEMTL!H120</f>
        <v>0</v>
      </c>
      <c r="H119" s="8">
        <f>FEMTL!I120</f>
        <v>0</v>
      </c>
      <c r="I119" s="11">
        <f>FEMTL!J120</f>
        <v>0</v>
      </c>
      <c r="J119" s="7">
        <f>FEMTL!N120</f>
        <v>0</v>
      </c>
      <c r="K119" s="13">
        <f>FEMTL!O120</f>
        <v>0</v>
      </c>
      <c r="L119" s="26">
        <f t="shared" si="6"/>
        <v>0</v>
      </c>
      <c r="M119" s="26">
        <f t="shared" si="7"/>
        <v>0</v>
      </c>
      <c r="N119" s="26">
        <f t="shared" si="8"/>
        <v>0</v>
      </c>
      <c r="O119" s="26">
        <f t="shared" si="9"/>
        <v>0</v>
      </c>
      <c r="P119" s="26">
        <f t="shared" si="5"/>
        <v>0</v>
      </c>
    </row>
    <row r="120" spans="1:16" x14ac:dyDescent="0.25">
      <c r="A120" s="3">
        <f>FEMTL!A121</f>
        <v>0</v>
      </c>
      <c r="B120" s="3">
        <f>FEMTL!B121</f>
        <v>0</v>
      </c>
      <c r="C120" s="3" t="str">
        <f>FEMTL!C121</f>
        <v>Ann-Britt Helgesson</v>
      </c>
      <c r="D120" s="3" t="str">
        <f>FEMTL!E121</f>
        <v xml:space="preserve">Rishedsvägen 39 </v>
      </c>
      <c r="E120" s="3" t="str">
        <f>FEMTL!F121</f>
        <v>449 50</v>
      </c>
      <c r="F120" s="3" t="str">
        <f>FEMTL!G121</f>
        <v>Alafors</v>
      </c>
      <c r="G120" s="10">
        <f>FEMTL!H121</f>
        <v>0</v>
      </c>
      <c r="H120" s="8">
        <f>FEMTL!I121</f>
        <v>0</v>
      </c>
      <c r="I120" s="11">
        <f>FEMTL!J121</f>
        <v>0</v>
      </c>
      <c r="J120" s="7">
        <f>FEMTL!N121</f>
        <v>0</v>
      </c>
      <c r="K120" s="13">
        <f>FEMTL!O121</f>
        <v>0</v>
      </c>
      <c r="L120" s="26">
        <f t="shared" si="6"/>
        <v>0</v>
      </c>
      <c r="M120" s="26">
        <f t="shared" si="7"/>
        <v>0</v>
      </c>
      <c r="N120" s="26">
        <f t="shared" si="8"/>
        <v>0</v>
      </c>
      <c r="O120" s="26">
        <f t="shared" si="9"/>
        <v>0</v>
      </c>
      <c r="P120" s="26">
        <f t="shared" si="5"/>
        <v>0</v>
      </c>
    </row>
    <row r="121" spans="1:16" x14ac:dyDescent="0.25">
      <c r="A121" s="3">
        <f>FEMTL!A122</f>
        <v>0</v>
      </c>
      <c r="B121" s="3">
        <f>FEMTL!B122</f>
        <v>0</v>
      </c>
      <c r="C121" s="3" t="str">
        <f>FEMTL!C122</f>
        <v>Per Helgesson</v>
      </c>
      <c r="D121" s="3" t="str">
        <f>FEMTL!E122</f>
        <v>Transtrand 9</v>
      </c>
      <c r="E121" s="3" t="str">
        <f>FEMTL!F122</f>
        <v>680 63</v>
      </c>
      <c r="F121" s="3" t="str">
        <f>FEMTL!G122</f>
        <v>Likenäs</v>
      </c>
      <c r="G121" s="10">
        <f>FEMTL!H122</f>
        <v>0</v>
      </c>
      <c r="H121" s="8">
        <f>FEMTL!I122</f>
        <v>0</v>
      </c>
      <c r="I121" s="11">
        <f>FEMTL!J122</f>
        <v>0</v>
      </c>
      <c r="J121" s="7">
        <f>FEMTL!N122</f>
        <v>0</v>
      </c>
      <c r="K121" s="13">
        <f>FEMTL!O122</f>
        <v>0</v>
      </c>
      <c r="L121" s="26">
        <f t="shared" si="6"/>
        <v>0</v>
      </c>
      <c r="M121" s="26">
        <f t="shared" si="7"/>
        <v>0</v>
      </c>
      <c r="N121" s="26">
        <f t="shared" si="8"/>
        <v>0</v>
      </c>
      <c r="O121" s="26">
        <f t="shared" si="9"/>
        <v>0</v>
      </c>
      <c r="P121" s="26">
        <f t="shared" si="5"/>
        <v>0</v>
      </c>
    </row>
    <row r="122" spans="1:16" x14ac:dyDescent="0.25">
      <c r="A122" s="3">
        <f>FEMTL!A123</f>
        <v>0</v>
      </c>
      <c r="B122" s="3">
        <f>FEMTL!B123</f>
        <v>0</v>
      </c>
      <c r="C122" s="3" t="str">
        <f>FEMTL!C123</f>
        <v>Kristina Helgesson</v>
      </c>
      <c r="D122" s="3" t="str">
        <f>FEMTL!E123</f>
        <v>Mariebergsvägen 37</v>
      </c>
      <c r="E122" s="3" t="str">
        <f>FEMTL!F123</f>
        <v>681 37</v>
      </c>
      <c r="F122" s="3" t="str">
        <f>FEMTL!G123</f>
        <v>Kristinehamn</v>
      </c>
      <c r="G122" s="10">
        <f>FEMTL!H123</f>
        <v>0</v>
      </c>
      <c r="H122" s="8">
        <f>FEMTL!I123</f>
        <v>0</v>
      </c>
      <c r="I122" s="11">
        <f>FEMTL!J123</f>
        <v>0</v>
      </c>
      <c r="J122" s="7">
        <f>FEMTL!N123</f>
        <v>0</v>
      </c>
      <c r="K122" s="13">
        <f>FEMTL!O123</f>
        <v>0</v>
      </c>
      <c r="L122" s="26">
        <f t="shared" si="6"/>
        <v>0</v>
      </c>
      <c r="M122" s="26">
        <f t="shared" si="7"/>
        <v>0</v>
      </c>
      <c r="N122" s="26">
        <f t="shared" si="8"/>
        <v>0</v>
      </c>
      <c r="O122" s="26">
        <f t="shared" si="9"/>
        <v>0</v>
      </c>
      <c r="P122" s="26">
        <f t="shared" si="5"/>
        <v>0</v>
      </c>
    </row>
    <row r="123" spans="1:16" x14ac:dyDescent="0.25">
      <c r="A123" s="3">
        <f>FEMTL!A124</f>
        <v>0</v>
      </c>
      <c r="B123" s="3">
        <f>FEMTL!B124</f>
        <v>0</v>
      </c>
      <c r="C123" s="3">
        <f>FEMTL!C124</f>
        <v>0</v>
      </c>
      <c r="D123" s="3">
        <f>FEMTL!E124</f>
        <v>0</v>
      </c>
      <c r="E123" s="3">
        <f>FEMTL!F124</f>
        <v>0</v>
      </c>
      <c r="F123" s="3">
        <f>FEMTL!G124</f>
        <v>0</v>
      </c>
      <c r="G123" s="10">
        <f>FEMTL!H124</f>
        <v>0</v>
      </c>
      <c r="H123" s="8">
        <f>FEMTL!I124</f>
        <v>0</v>
      </c>
      <c r="I123" s="11">
        <f>FEMTL!J124</f>
        <v>0</v>
      </c>
      <c r="J123" s="7">
        <f>FEMTL!N124</f>
        <v>0</v>
      </c>
      <c r="K123" s="13">
        <f>FEMTL!O124</f>
        <v>0</v>
      </c>
      <c r="L123" s="26">
        <f t="shared" si="6"/>
        <v>0</v>
      </c>
      <c r="M123" s="26">
        <f t="shared" si="7"/>
        <v>0</v>
      </c>
      <c r="N123" s="26">
        <f t="shared" si="8"/>
        <v>0</v>
      </c>
      <c r="O123" s="26">
        <f t="shared" si="9"/>
        <v>0</v>
      </c>
      <c r="P123" s="26">
        <f t="shared" si="5"/>
        <v>0</v>
      </c>
    </row>
    <row r="124" spans="1:16" x14ac:dyDescent="0.25">
      <c r="A124" s="3" t="str">
        <f>FEMTL!A125</f>
        <v>Dalby-Backa</v>
      </c>
      <c r="B124" s="3" t="str">
        <f>FEMTL!B125</f>
        <v>1:126</v>
      </c>
      <c r="C124" s="3" t="str">
        <f>FEMTL!C125</f>
        <v>Bo Nilsson m.fl</v>
      </c>
      <c r="D124" s="3">
        <f>FEMTL!E125</f>
        <v>0</v>
      </c>
      <c r="E124" s="3">
        <f>FEMTL!F125</f>
        <v>0</v>
      </c>
      <c r="F124" s="3">
        <f>FEMTL!G125</f>
        <v>0</v>
      </c>
      <c r="G124" s="10">
        <f>FEMTL!H125</f>
        <v>0</v>
      </c>
      <c r="H124" s="8">
        <f>FEMTL!I125</f>
        <v>2.0099999999999998</v>
      </c>
      <c r="I124" s="11">
        <f>FEMTL!J125</f>
        <v>0</v>
      </c>
      <c r="J124" s="7">
        <f>FEMTL!N125</f>
        <v>2.0099999999999998</v>
      </c>
      <c r="K124" s="13">
        <f>FEMTL!O125</f>
        <v>3</v>
      </c>
      <c r="L124" s="26">
        <f t="shared" si="6"/>
        <v>1</v>
      </c>
      <c r="M124" s="26">
        <f t="shared" si="7"/>
        <v>1</v>
      </c>
      <c r="N124" s="26">
        <f t="shared" si="8"/>
        <v>1</v>
      </c>
      <c r="O124" s="26">
        <f t="shared" si="9"/>
        <v>1</v>
      </c>
      <c r="P124" s="26">
        <f t="shared" si="5"/>
        <v>1</v>
      </c>
    </row>
    <row r="125" spans="1:16" x14ac:dyDescent="0.25">
      <c r="A125" s="3">
        <f>FEMTL!A126</f>
        <v>0</v>
      </c>
      <c r="B125" s="3">
        <f>FEMTL!B126</f>
        <v>0</v>
      </c>
      <c r="C125" s="3">
        <f>FEMTL!C126</f>
        <v>0</v>
      </c>
      <c r="D125" s="3">
        <f>FEMTL!E126</f>
        <v>0</v>
      </c>
      <c r="E125" s="3">
        <f>FEMTL!F126</f>
        <v>0</v>
      </c>
      <c r="F125" s="3">
        <f>FEMTL!G126</f>
        <v>0</v>
      </c>
      <c r="G125" s="10">
        <f>FEMTL!H126</f>
        <v>0</v>
      </c>
      <c r="H125" s="8">
        <f>FEMTL!I126</f>
        <v>0</v>
      </c>
      <c r="I125" s="11">
        <f>FEMTL!J126</f>
        <v>0</v>
      </c>
      <c r="J125" s="7">
        <f>FEMTL!N126</f>
        <v>0</v>
      </c>
      <c r="K125" s="13">
        <f>FEMTL!O126</f>
        <v>0</v>
      </c>
      <c r="L125" s="26">
        <f t="shared" si="6"/>
        <v>0</v>
      </c>
      <c r="M125" s="26">
        <f t="shared" si="7"/>
        <v>0</v>
      </c>
      <c r="N125" s="26">
        <f t="shared" si="8"/>
        <v>0</v>
      </c>
      <c r="O125" s="26">
        <f t="shared" si="9"/>
        <v>0</v>
      </c>
      <c r="P125" s="26">
        <f t="shared" si="5"/>
        <v>0</v>
      </c>
    </row>
    <row r="126" spans="1:16" x14ac:dyDescent="0.25">
      <c r="A126" s="3" t="str">
        <f>FEMTL!A127</f>
        <v xml:space="preserve">Dalby-Backa </v>
      </c>
      <c r="B126" s="3" t="str">
        <f>FEMTL!B127</f>
        <v>1:127</v>
      </c>
      <c r="C126" s="3" t="str">
        <f>FEMTL!C127</f>
        <v>Maj-Lise Persson</v>
      </c>
      <c r="D126" s="3" t="str">
        <f>FEMTL!E127</f>
        <v>Ytter Restad 620</v>
      </c>
      <c r="E126" s="3" t="str">
        <f>FEMTL!F127</f>
        <v>442 95</v>
      </c>
      <c r="F126" s="3" t="str">
        <f>FEMTL!G127</f>
        <v>Holta</v>
      </c>
      <c r="G126" s="10">
        <f>FEMTL!H127</f>
        <v>0</v>
      </c>
      <c r="H126" s="8">
        <f>FEMTL!I127</f>
        <v>15.48</v>
      </c>
      <c r="I126" s="11">
        <f>FEMTL!J127</f>
        <v>0</v>
      </c>
      <c r="J126" s="7">
        <f>FEMTL!N127</f>
        <v>15.48</v>
      </c>
      <c r="K126" s="13">
        <f>FEMTL!O127</f>
        <v>16</v>
      </c>
      <c r="L126" s="26">
        <f t="shared" si="6"/>
        <v>1</v>
      </c>
      <c r="M126" s="26">
        <f t="shared" si="7"/>
        <v>1</v>
      </c>
      <c r="N126" s="26">
        <f t="shared" si="8"/>
        <v>1</v>
      </c>
      <c r="O126" s="26">
        <f t="shared" si="9"/>
        <v>1</v>
      </c>
      <c r="P126" s="26">
        <f t="shared" si="5"/>
        <v>1</v>
      </c>
    </row>
    <row r="127" spans="1:16" x14ac:dyDescent="0.25">
      <c r="A127" s="3">
        <f>FEMTL!A128</f>
        <v>0</v>
      </c>
      <c r="B127" s="3">
        <f>FEMTL!B128</f>
        <v>0</v>
      </c>
      <c r="C127" s="3" t="str">
        <f>FEMTL!C128</f>
        <v>Göran Andersson</v>
      </c>
      <c r="D127" s="3" t="str">
        <f>FEMTL!E128</f>
        <v>Ytter Restad 620</v>
      </c>
      <c r="E127" s="3" t="str">
        <f>FEMTL!F128</f>
        <v>443 95</v>
      </c>
      <c r="F127" s="3" t="str">
        <f>FEMTL!G128</f>
        <v>Holta</v>
      </c>
      <c r="G127" s="10">
        <f>FEMTL!H128</f>
        <v>0</v>
      </c>
      <c r="H127" s="8">
        <f>FEMTL!I128</f>
        <v>0</v>
      </c>
      <c r="I127" s="11">
        <f>FEMTL!J128</f>
        <v>0</v>
      </c>
      <c r="J127" s="7">
        <f>FEMTL!N128</f>
        <v>0</v>
      </c>
      <c r="K127" s="13">
        <f>FEMTL!O128</f>
        <v>0</v>
      </c>
      <c r="L127" s="26">
        <f t="shared" si="6"/>
        <v>0</v>
      </c>
      <c r="M127" s="26">
        <f t="shared" si="7"/>
        <v>0</v>
      </c>
      <c r="N127" s="26">
        <f t="shared" si="8"/>
        <v>0</v>
      </c>
      <c r="O127" s="26">
        <f t="shared" si="9"/>
        <v>0</v>
      </c>
      <c r="P127" s="26">
        <f t="shared" si="5"/>
        <v>0</v>
      </c>
    </row>
    <row r="128" spans="1:16" x14ac:dyDescent="0.25">
      <c r="A128" s="3">
        <f>FEMTL!A129</f>
        <v>0</v>
      </c>
      <c r="B128" s="3">
        <f>FEMTL!B129</f>
        <v>0</v>
      </c>
      <c r="C128" s="3">
        <f>FEMTL!C129</f>
        <v>0</v>
      </c>
      <c r="D128" s="3">
        <f>FEMTL!E129</f>
        <v>0</v>
      </c>
      <c r="E128" s="3">
        <f>FEMTL!F129</f>
        <v>0</v>
      </c>
      <c r="F128" s="3">
        <f>FEMTL!G129</f>
        <v>0</v>
      </c>
      <c r="G128" s="10">
        <f>FEMTL!H129</f>
        <v>0</v>
      </c>
      <c r="H128" s="8">
        <f>FEMTL!I129</f>
        <v>0</v>
      </c>
      <c r="I128" s="11">
        <f>FEMTL!J129</f>
        <v>0</v>
      </c>
      <c r="J128" s="7">
        <f>FEMTL!N129</f>
        <v>0</v>
      </c>
      <c r="K128" s="13">
        <f>FEMTL!O129</f>
        <v>0</v>
      </c>
      <c r="L128" s="26">
        <f t="shared" si="6"/>
        <v>0</v>
      </c>
      <c r="M128" s="26">
        <f t="shared" si="7"/>
        <v>0</v>
      </c>
      <c r="N128" s="26">
        <f t="shared" si="8"/>
        <v>0</v>
      </c>
      <c r="O128" s="26">
        <f t="shared" si="9"/>
        <v>0</v>
      </c>
      <c r="P128" s="26">
        <f t="shared" ref="P128:P191" si="10">ROUNDUP((K128/25),0)</f>
        <v>0</v>
      </c>
    </row>
    <row r="129" spans="1:16" x14ac:dyDescent="0.25">
      <c r="A129" s="3" t="str">
        <f>FEMTL!A130</f>
        <v>Dalby-Backa</v>
      </c>
      <c r="B129" s="3" t="str">
        <f>FEMTL!B130</f>
        <v>1:136</v>
      </c>
      <c r="C129" s="3" t="str">
        <f>FEMTL!C130</f>
        <v>Mats Tillberg</v>
      </c>
      <c r="D129" s="3" t="str">
        <f>FEMTL!E130</f>
        <v>Hantverkaregatan 10B</v>
      </c>
      <c r="E129" s="3" t="str">
        <f>FEMTL!F130</f>
        <v>803 23</v>
      </c>
      <c r="F129" s="3" t="str">
        <f>FEMTL!G130</f>
        <v>Gävle</v>
      </c>
      <c r="G129" s="10">
        <f>FEMTL!H130</f>
        <v>0</v>
      </c>
      <c r="H129" s="8">
        <f>FEMTL!I130</f>
        <v>29.86</v>
      </c>
      <c r="I129" s="11">
        <f>FEMTL!J130</f>
        <v>0</v>
      </c>
      <c r="J129" s="7">
        <f>FEMTL!N130</f>
        <v>29.86</v>
      </c>
      <c r="K129" s="13">
        <f>FEMTL!O130</f>
        <v>30</v>
      </c>
      <c r="L129" s="26">
        <f t="shared" si="6"/>
        <v>1</v>
      </c>
      <c r="M129" s="26">
        <f t="shared" si="7"/>
        <v>1</v>
      </c>
      <c r="N129" s="26">
        <f t="shared" si="8"/>
        <v>1</v>
      </c>
      <c r="O129" s="26">
        <f t="shared" si="9"/>
        <v>1</v>
      </c>
      <c r="P129" s="26">
        <f t="shared" si="10"/>
        <v>2</v>
      </c>
    </row>
    <row r="130" spans="1:16" x14ac:dyDescent="0.25">
      <c r="A130" s="3">
        <f>FEMTL!A131</f>
        <v>0</v>
      </c>
      <c r="B130" s="3">
        <f>FEMTL!B131</f>
        <v>0</v>
      </c>
      <c r="C130" s="3">
        <f>FEMTL!C131</f>
        <v>0</v>
      </c>
      <c r="D130" s="3">
        <f>FEMTL!E131</f>
        <v>0</v>
      </c>
      <c r="E130" s="3">
        <f>FEMTL!F131</f>
        <v>0</v>
      </c>
      <c r="F130" s="3">
        <f>FEMTL!G131</f>
        <v>0</v>
      </c>
      <c r="G130" s="10">
        <f>FEMTL!H131</f>
        <v>0</v>
      </c>
      <c r="H130" s="8">
        <f>FEMTL!I131</f>
        <v>0</v>
      </c>
      <c r="I130" s="11">
        <f>FEMTL!J131</f>
        <v>0</v>
      </c>
      <c r="J130" s="7">
        <f>FEMTL!N131</f>
        <v>0</v>
      </c>
      <c r="K130" s="13">
        <f>FEMTL!O131</f>
        <v>0</v>
      </c>
      <c r="L130" s="26">
        <f t="shared" si="6"/>
        <v>0</v>
      </c>
      <c r="M130" s="26">
        <f t="shared" si="7"/>
        <v>0</v>
      </c>
      <c r="N130" s="26">
        <f t="shared" si="8"/>
        <v>0</v>
      </c>
      <c r="O130" s="26">
        <f t="shared" si="9"/>
        <v>0</v>
      </c>
      <c r="P130" s="26">
        <f t="shared" si="10"/>
        <v>0</v>
      </c>
    </row>
    <row r="131" spans="1:16" x14ac:dyDescent="0.25">
      <c r="A131" s="3" t="str">
        <f>FEMTL!A132</f>
        <v>Dalby-Backa</v>
      </c>
      <c r="B131" s="3" t="str">
        <f>FEMTL!B132</f>
        <v>1:137</v>
      </c>
      <c r="C131" s="3">
        <f>FEMTL!C134</f>
        <v>0</v>
      </c>
      <c r="D131" s="3">
        <f>FEMTL!E134</f>
        <v>0</v>
      </c>
      <c r="E131" s="3">
        <f>FEMTL!F134</f>
        <v>0</v>
      </c>
      <c r="F131" s="3">
        <f>FEMTL!G134</f>
        <v>0</v>
      </c>
      <c r="G131" s="10">
        <f>FEMTL!H132</f>
        <v>0</v>
      </c>
      <c r="H131" s="8">
        <f>FEMTL!I132</f>
        <v>35.99</v>
      </c>
      <c r="I131" s="11">
        <f>FEMTL!J132</f>
        <v>0</v>
      </c>
      <c r="J131" s="7">
        <f>FEMTL!N132</f>
        <v>35.99</v>
      </c>
      <c r="K131" s="13">
        <f>FEMTL!O132</f>
        <v>36</v>
      </c>
      <c r="L131" s="26">
        <f t="shared" ref="L131:L190" si="11">ROUNDUP((K131/100),0)</f>
        <v>1</v>
      </c>
      <c r="M131" s="26">
        <f t="shared" ref="M131:M190" si="12">ROUNDUP((K131/90),0)</f>
        <v>1</v>
      </c>
      <c r="N131" s="26">
        <f t="shared" ref="N131:N190" si="13">ROUNDUP((K131/80),0)</f>
        <v>1</v>
      </c>
      <c r="O131" s="26">
        <f t="shared" ref="O131:O190" si="14">ROUNDUP((K131/75),0)</f>
        <v>1</v>
      </c>
      <c r="P131" s="26">
        <f t="shared" si="10"/>
        <v>2</v>
      </c>
    </row>
    <row r="132" spans="1:16" x14ac:dyDescent="0.25">
      <c r="A132" s="3" t="e">
        <f>FEMTL!#REF!</f>
        <v>#REF!</v>
      </c>
      <c r="B132" s="3" t="e">
        <f>FEMTL!#REF!</f>
        <v>#REF!</v>
      </c>
      <c r="C132" s="3" t="e">
        <f>FEMTL!#REF!</f>
        <v>#REF!</v>
      </c>
      <c r="D132" s="3" t="e">
        <f>FEMTL!#REF!</f>
        <v>#REF!</v>
      </c>
      <c r="E132" s="3" t="e">
        <f>FEMTL!#REF!</f>
        <v>#REF!</v>
      </c>
      <c r="F132" s="3" t="e">
        <f>FEMTL!#REF!</f>
        <v>#REF!</v>
      </c>
      <c r="G132" s="8" t="e">
        <f>FEMTL!#REF!</f>
        <v>#REF!</v>
      </c>
      <c r="H132" s="8" t="e">
        <f>FEMTL!#REF!</f>
        <v>#REF!</v>
      </c>
      <c r="I132" s="11" t="e">
        <f>FEMTL!#REF!</f>
        <v>#REF!</v>
      </c>
      <c r="J132" s="7" t="e">
        <f>FEMTL!#REF!</f>
        <v>#REF!</v>
      </c>
      <c r="K132" s="13" t="e">
        <f>FEMTL!#REF!</f>
        <v>#REF!</v>
      </c>
      <c r="L132" s="26" t="e">
        <f t="shared" si="11"/>
        <v>#REF!</v>
      </c>
      <c r="M132" s="26" t="e">
        <f t="shared" si="12"/>
        <v>#REF!</v>
      </c>
      <c r="N132" s="26" t="e">
        <f t="shared" si="13"/>
        <v>#REF!</v>
      </c>
      <c r="O132" s="26" t="e">
        <f t="shared" si="14"/>
        <v>#REF!</v>
      </c>
      <c r="P132" s="26" t="e">
        <f t="shared" si="10"/>
        <v>#REF!</v>
      </c>
    </row>
    <row r="133" spans="1:16" x14ac:dyDescent="0.25">
      <c r="A133" s="3" t="str">
        <f>FEMTL!A133</f>
        <v>Dalby-Backa</v>
      </c>
      <c r="B133" s="3" t="str">
        <f>FEMTL!B133</f>
        <v>1:138</v>
      </c>
      <c r="C133" s="3" t="str">
        <f>FEMTL!C132</f>
        <v>Erik Marcusson</v>
      </c>
      <c r="D133" s="3" t="str">
        <f>FEMTL!E132</f>
        <v>Norra Näs Gustavsberg 1</v>
      </c>
      <c r="E133" s="3" t="str">
        <f>FEMTL!F132</f>
        <v>665 93</v>
      </c>
      <c r="F133" s="3" t="str">
        <f>FEMTL!G132</f>
        <v>Kil</v>
      </c>
      <c r="G133" s="8">
        <f>FEMTL!H133</f>
        <v>30.77</v>
      </c>
      <c r="H133" s="3">
        <f>FEMTL!I133</f>
        <v>52.370000000000005</v>
      </c>
      <c r="I133" s="11">
        <f>FEMTL!J133</f>
        <v>0</v>
      </c>
      <c r="J133" s="7">
        <f>FEMTL!N133</f>
        <v>52.370000000000005</v>
      </c>
      <c r="K133" s="13">
        <f>FEMTL!O133</f>
        <v>53</v>
      </c>
      <c r="L133" s="26">
        <f t="shared" si="11"/>
        <v>1</v>
      </c>
      <c r="M133" s="26">
        <f t="shared" si="12"/>
        <v>1</v>
      </c>
      <c r="N133" s="26">
        <f t="shared" si="13"/>
        <v>1</v>
      </c>
      <c r="O133" s="26">
        <f t="shared" si="14"/>
        <v>1</v>
      </c>
      <c r="P133" s="26">
        <f t="shared" si="10"/>
        <v>3</v>
      </c>
    </row>
    <row r="134" spans="1:16" x14ac:dyDescent="0.25">
      <c r="A134" s="3" t="e">
        <f>FEMTL!#REF!</f>
        <v>#REF!</v>
      </c>
      <c r="B134" s="3" t="e">
        <f>FEMTL!#REF!</f>
        <v>#REF!</v>
      </c>
      <c r="C134" s="3" t="str">
        <f>FEMTL!C133</f>
        <v>Charlotte Marcusson</v>
      </c>
      <c r="D134" s="3" t="str">
        <f>FEMTL!E133</f>
        <v>Hasselbacken 21</v>
      </c>
      <c r="E134" s="3" t="str">
        <f>FEMTL!F133</f>
        <v>194 38</v>
      </c>
      <c r="F134" s="3" t="str">
        <f>FEMTL!G133</f>
        <v>Upplands Väsby</v>
      </c>
      <c r="G134" s="10">
        <f>FEMTL!H134</f>
        <v>21.6</v>
      </c>
      <c r="H134" s="8">
        <f>FEMTL!I134</f>
        <v>0</v>
      </c>
      <c r="I134" s="11">
        <f>FEMTL!J134</f>
        <v>0</v>
      </c>
      <c r="J134" s="7">
        <f>FEMTL!N134</f>
        <v>0</v>
      </c>
      <c r="K134" s="13">
        <f>FEMTL!O134</f>
        <v>0</v>
      </c>
      <c r="L134" s="26">
        <f t="shared" si="11"/>
        <v>0</v>
      </c>
      <c r="M134" s="26">
        <f t="shared" si="12"/>
        <v>0</v>
      </c>
      <c r="N134" s="26">
        <f t="shared" si="13"/>
        <v>0</v>
      </c>
      <c r="O134" s="26">
        <f t="shared" si="14"/>
        <v>0</v>
      </c>
      <c r="P134" s="26">
        <f t="shared" si="10"/>
        <v>0</v>
      </c>
    </row>
    <row r="135" spans="1:16" x14ac:dyDescent="0.25">
      <c r="A135" s="3" t="str">
        <f>FEMTL!A134</f>
        <v>Dalby-Backa</v>
      </c>
      <c r="B135" s="3" t="str">
        <f>FEMTL!B134</f>
        <v>1:139</v>
      </c>
      <c r="C135" s="3">
        <f>FEMTL!C135</f>
        <v>0</v>
      </c>
      <c r="D135" s="3">
        <f>FEMTL!E135</f>
        <v>0</v>
      </c>
      <c r="E135" s="3">
        <f>FEMTL!F135</f>
        <v>0</v>
      </c>
      <c r="F135" s="3">
        <f>FEMTL!G135</f>
        <v>0</v>
      </c>
      <c r="G135" s="10">
        <f>FEMTL!H135</f>
        <v>0</v>
      </c>
      <c r="H135" s="8">
        <f>FEMTL!I135</f>
        <v>68.78</v>
      </c>
      <c r="I135" s="11">
        <f>FEMTL!J135</f>
        <v>0</v>
      </c>
      <c r="J135" s="7">
        <f>FEMTL!N135</f>
        <v>68.78</v>
      </c>
      <c r="K135" s="13">
        <f>FEMTL!O135</f>
        <v>69</v>
      </c>
      <c r="L135" s="26">
        <f t="shared" si="11"/>
        <v>1</v>
      </c>
      <c r="M135" s="26">
        <f t="shared" si="12"/>
        <v>1</v>
      </c>
      <c r="N135" s="26">
        <f t="shared" si="13"/>
        <v>1</v>
      </c>
      <c r="O135" s="26">
        <f t="shared" si="14"/>
        <v>1</v>
      </c>
      <c r="P135" s="26">
        <f t="shared" si="10"/>
        <v>3</v>
      </c>
    </row>
    <row r="136" spans="1:16" x14ac:dyDescent="0.25">
      <c r="A136" s="3" t="e">
        <f>FEMTL!#REF!</f>
        <v>#REF!</v>
      </c>
      <c r="B136" s="3" t="e">
        <f>FEMTL!#REF!</f>
        <v>#REF!</v>
      </c>
      <c r="C136" s="3">
        <f>FEMTL!C136</f>
        <v>0</v>
      </c>
      <c r="D136" s="3">
        <f>FEMTL!E136</f>
        <v>0</v>
      </c>
      <c r="E136" s="3">
        <f>FEMTL!F136</f>
        <v>0</v>
      </c>
      <c r="F136" s="3">
        <f>FEMTL!G136</f>
        <v>0</v>
      </c>
      <c r="G136" s="10">
        <f>FEMTL!H136</f>
        <v>0</v>
      </c>
      <c r="H136" s="8">
        <f>FEMTL!I136</f>
        <v>0</v>
      </c>
      <c r="I136" s="11">
        <f>FEMTL!J136</f>
        <v>0</v>
      </c>
      <c r="J136" s="7">
        <f>FEMTL!N136</f>
        <v>0</v>
      </c>
      <c r="K136" s="13">
        <f>FEMTL!O136</f>
        <v>0</v>
      </c>
      <c r="L136" s="26">
        <f t="shared" si="11"/>
        <v>0</v>
      </c>
      <c r="M136" s="26">
        <f t="shared" si="12"/>
        <v>0</v>
      </c>
      <c r="N136" s="26">
        <f t="shared" si="13"/>
        <v>0</v>
      </c>
      <c r="O136" s="26">
        <f t="shared" si="14"/>
        <v>0</v>
      </c>
      <c r="P136" s="26">
        <f t="shared" si="10"/>
        <v>0</v>
      </c>
    </row>
    <row r="137" spans="1:16" x14ac:dyDescent="0.25">
      <c r="A137" s="3" t="str">
        <f>FEMTL!A137</f>
        <v>Dalby-Backa</v>
      </c>
      <c r="B137" s="3" t="str">
        <f>FEMTL!B137</f>
        <v>1:142</v>
      </c>
      <c r="C137" s="3" t="s">
        <v>440</v>
      </c>
      <c r="D137" s="3" t="str">
        <f>FEMTL!E137</f>
        <v>Backa</v>
      </c>
      <c r="E137" s="3" t="str">
        <f>FEMTL!F137</f>
        <v>680 63</v>
      </c>
      <c r="F137" s="3" t="str">
        <f>FEMTL!G137</f>
        <v>Likenäs</v>
      </c>
      <c r="G137" s="10">
        <f>FEMTL!H137</f>
        <v>0</v>
      </c>
      <c r="H137" s="8">
        <f>FEMTL!I137</f>
        <v>443.33</v>
      </c>
      <c r="I137" s="11">
        <f>FEMTL!J137</f>
        <v>0</v>
      </c>
      <c r="J137" s="7">
        <f>FEMTL!N137</f>
        <v>443.33</v>
      </c>
      <c r="K137" s="13">
        <f>FEMTL!O137</f>
        <v>444</v>
      </c>
      <c r="L137" s="26">
        <f t="shared" si="11"/>
        <v>5</v>
      </c>
      <c r="M137" s="26">
        <f t="shared" si="12"/>
        <v>5</v>
      </c>
      <c r="N137" s="26">
        <f t="shared" si="13"/>
        <v>6</v>
      </c>
      <c r="O137" s="26">
        <f t="shared" si="14"/>
        <v>6</v>
      </c>
      <c r="P137" s="26">
        <f t="shared" si="10"/>
        <v>18</v>
      </c>
    </row>
    <row r="138" spans="1:16" x14ac:dyDescent="0.25">
      <c r="A138" s="3">
        <f>FEMTL!A138</f>
        <v>0</v>
      </c>
      <c r="B138" s="3">
        <f>FEMTL!B138</f>
        <v>0</v>
      </c>
      <c r="C138" s="3">
        <f>FEMTL!C138</f>
        <v>0</v>
      </c>
      <c r="D138" s="3">
        <f>FEMTL!E138</f>
        <v>0</v>
      </c>
      <c r="E138" s="3">
        <f>FEMTL!F138</f>
        <v>0</v>
      </c>
      <c r="F138" s="3">
        <f>FEMTL!G138</f>
        <v>0</v>
      </c>
      <c r="G138" s="10">
        <f>FEMTL!H138</f>
        <v>0</v>
      </c>
      <c r="H138" s="8">
        <f>FEMTL!I138</f>
        <v>0</v>
      </c>
      <c r="I138" s="11">
        <f>FEMTL!J138</f>
        <v>0</v>
      </c>
      <c r="J138" s="7">
        <f>FEMTL!N138</f>
        <v>0</v>
      </c>
      <c r="K138" s="13">
        <f>FEMTL!O138</f>
        <v>0</v>
      </c>
      <c r="L138" s="26">
        <f t="shared" si="11"/>
        <v>0</v>
      </c>
      <c r="M138" s="26">
        <f t="shared" si="12"/>
        <v>0</v>
      </c>
      <c r="N138" s="26">
        <f t="shared" si="13"/>
        <v>0</v>
      </c>
      <c r="O138" s="26">
        <f t="shared" si="14"/>
        <v>0</v>
      </c>
      <c r="P138" s="26">
        <f t="shared" si="10"/>
        <v>0</v>
      </c>
    </row>
    <row r="139" spans="1:16" x14ac:dyDescent="0.25">
      <c r="A139" s="3" t="str">
        <f>FEMTL!A139</f>
        <v xml:space="preserve">Dalby-Backa </v>
      </c>
      <c r="B139" s="3" t="str">
        <f>FEMTL!B139</f>
        <v>1:152</v>
      </c>
      <c r="C139" s="3" t="str">
        <f>FEMTL!C139</f>
        <v>Per Olof Persson dbo</v>
      </c>
      <c r="D139" s="3" t="str">
        <f>FEMTL!E139</f>
        <v>Mörbacka 9</v>
      </c>
      <c r="E139" s="3" t="str">
        <f>FEMTL!F139</f>
        <v>68063</v>
      </c>
      <c r="F139" s="3" t="str">
        <f>FEMTL!G139</f>
        <v>Likenäs</v>
      </c>
      <c r="G139" s="10">
        <f>FEMTL!H139</f>
        <v>0</v>
      </c>
      <c r="H139" s="8">
        <f>FEMTL!I139</f>
        <v>93</v>
      </c>
      <c r="I139" s="11">
        <f>FEMTL!J139</f>
        <v>0.6</v>
      </c>
      <c r="J139" s="7">
        <f>FEMTL!N139</f>
        <v>246.32</v>
      </c>
      <c r="K139" s="13">
        <f>FEMTL!O139</f>
        <v>247</v>
      </c>
      <c r="L139" s="26">
        <f t="shared" si="11"/>
        <v>3</v>
      </c>
      <c r="M139" s="26">
        <f t="shared" si="12"/>
        <v>3</v>
      </c>
      <c r="N139" s="26">
        <f t="shared" si="13"/>
        <v>4</v>
      </c>
      <c r="O139" s="26">
        <f t="shared" si="14"/>
        <v>4</v>
      </c>
      <c r="P139" s="26">
        <f t="shared" si="10"/>
        <v>10</v>
      </c>
    </row>
    <row r="140" spans="1:16" x14ac:dyDescent="0.25">
      <c r="A140" s="3">
        <f>FEMTL!A140</f>
        <v>0</v>
      </c>
      <c r="B140" s="3" t="str">
        <f>FEMTL!B140</f>
        <v>1:154</v>
      </c>
      <c r="C140" s="3">
        <f>FEMTL!C140</f>
        <v>0</v>
      </c>
      <c r="D140" s="3">
        <f>FEMTL!E140</f>
        <v>0</v>
      </c>
      <c r="E140" s="3">
        <f>FEMTL!F140</f>
        <v>0</v>
      </c>
      <c r="F140" s="3">
        <f>FEMTL!G140</f>
        <v>0</v>
      </c>
      <c r="G140" s="10">
        <f>FEMTL!H140</f>
        <v>0</v>
      </c>
      <c r="H140" s="8">
        <f>FEMTL!I140</f>
        <v>98.55</v>
      </c>
      <c r="I140" s="11">
        <f>FEMTL!J140</f>
        <v>0</v>
      </c>
      <c r="J140" s="7">
        <f>FEMTL!N140</f>
        <v>0</v>
      </c>
      <c r="K140" s="13">
        <f>FEMTL!O140</f>
        <v>0</v>
      </c>
      <c r="L140" s="26">
        <f t="shared" si="11"/>
        <v>0</v>
      </c>
      <c r="M140" s="26">
        <f t="shared" si="12"/>
        <v>0</v>
      </c>
      <c r="N140" s="26">
        <f t="shared" si="13"/>
        <v>0</v>
      </c>
      <c r="O140" s="26">
        <f t="shared" si="14"/>
        <v>0</v>
      </c>
      <c r="P140" s="26">
        <f t="shared" si="10"/>
        <v>0</v>
      </c>
    </row>
    <row r="141" spans="1:16" x14ac:dyDescent="0.25">
      <c r="A141" s="3" t="str">
        <f>FEMTL!A141</f>
        <v>Skinnerud</v>
      </c>
      <c r="B141" s="3" t="str">
        <f>FEMTL!B141</f>
        <v>1:49</v>
      </c>
      <c r="C141" s="3">
        <f>FEMTL!C141</f>
        <v>0</v>
      </c>
      <c r="D141" s="3">
        <f>FEMTL!E141</f>
        <v>0</v>
      </c>
      <c r="E141" s="3">
        <f>FEMTL!F141</f>
        <v>0</v>
      </c>
      <c r="F141" s="3">
        <f>FEMTL!G141</f>
        <v>0</v>
      </c>
      <c r="G141" s="10">
        <f>FEMTL!H141</f>
        <v>0</v>
      </c>
      <c r="H141" s="8">
        <f>FEMTL!I141</f>
        <v>55.37</v>
      </c>
      <c r="I141" s="11">
        <f>FEMTL!J141</f>
        <v>0</v>
      </c>
      <c r="J141" s="7">
        <f>FEMTL!N141</f>
        <v>0</v>
      </c>
      <c r="K141" s="13">
        <f>FEMTL!O141</f>
        <v>0</v>
      </c>
      <c r="L141" s="26">
        <f t="shared" si="11"/>
        <v>0</v>
      </c>
      <c r="M141" s="26">
        <f t="shared" si="12"/>
        <v>0</v>
      </c>
      <c r="N141" s="26">
        <f t="shared" si="13"/>
        <v>0</v>
      </c>
      <c r="O141" s="26">
        <f t="shared" si="14"/>
        <v>0</v>
      </c>
      <c r="P141" s="26">
        <f t="shared" si="10"/>
        <v>0</v>
      </c>
    </row>
    <row r="142" spans="1:16" x14ac:dyDescent="0.25">
      <c r="A142" s="3">
        <f>FEMTL!A142</f>
        <v>0</v>
      </c>
      <c r="B142" s="3">
        <f>FEMTL!B142</f>
        <v>0</v>
      </c>
      <c r="C142" s="3">
        <f>FEMTL!C142</f>
        <v>0</v>
      </c>
      <c r="D142" s="3">
        <f>FEMTL!E142</f>
        <v>0</v>
      </c>
      <c r="E142" s="3">
        <f>FEMTL!F142</f>
        <v>0</v>
      </c>
      <c r="F142" s="3">
        <f>FEMTL!G142</f>
        <v>0</v>
      </c>
      <c r="G142" s="10">
        <f>FEMTL!H142</f>
        <v>0</v>
      </c>
      <c r="H142" s="8">
        <f>FEMTL!I142</f>
        <v>0</v>
      </c>
      <c r="I142" s="11">
        <f>FEMTL!J142</f>
        <v>0</v>
      </c>
      <c r="J142" s="7">
        <f>FEMTL!N142</f>
        <v>0</v>
      </c>
      <c r="K142" s="13">
        <f>FEMTL!O142</f>
        <v>0</v>
      </c>
      <c r="L142" s="26">
        <f t="shared" si="11"/>
        <v>0</v>
      </c>
      <c r="M142" s="26">
        <f t="shared" si="12"/>
        <v>0</v>
      </c>
      <c r="N142" s="26">
        <f t="shared" si="13"/>
        <v>0</v>
      </c>
      <c r="O142" s="26">
        <f t="shared" si="14"/>
        <v>0</v>
      </c>
      <c r="P142" s="26">
        <f t="shared" si="10"/>
        <v>0</v>
      </c>
    </row>
    <row r="143" spans="1:16" x14ac:dyDescent="0.25">
      <c r="A143" s="3" t="str">
        <f>FEMTL!A143</f>
        <v xml:space="preserve">Dalby-Backa </v>
      </c>
      <c r="B143" s="3" t="str">
        <f>FEMTL!B143</f>
        <v>1:153</v>
      </c>
      <c r="C143" s="3" t="str">
        <f>FEMTL!C143</f>
        <v>Naturvårdsverket</v>
      </c>
      <c r="D143" s="3" t="str">
        <f>FEMTL!E143</f>
        <v>Länsstyrelsen Att: Fredrik Kämpe</v>
      </c>
      <c r="E143" s="3" t="str">
        <f>FEMTL!F143</f>
        <v>651 86</v>
      </c>
      <c r="F143" s="3" t="str">
        <f>FEMTL!G143</f>
        <v>Karlstad</v>
      </c>
      <c r="G143" s="10">
        <f>FEMTL!H143</f>
        <v>0</v>
      </c>
      <c r="H143" s="8">
        <f>FEMTL!I143</f>
        <v>0</v>
      </c>
      <c r="I143" s="11">
        <f>FEMTL!J143</f>
        <v>0</v>
      </c>
      <c r="J143" s="7">
        <f>FEMTL!N143</f>
        <v>415.30000000000007</v>
      </c>
      <c r="K143" s="13">
        <f>FEMTL!O143</f>
        <v>416</v>
      </c>
      <c r="L143" s="26">
        <f t="shared" si="11"/>
        <v>5</v>
      </c>
      <c r="M143" s="26">
        <f t="shared" si="12"/>
        <v>5</v>
      </c>
      <c r="N143" s="26">
        <f t="shared" si="13"/>
        <v>6</v>
      </c>
      <c r="O143" s="26">
        <f t="shared" si="14"/>
        <v>6</v>
      </c>
      <c r="P143" s="26">
        <f t="shared" si="10"/>
        <v>17</v>
      </c>
    </row>
    <row r="144" spans="1:16" x14ac:dyDescent="0.25">
      <c r="A144" s="3" t="str">
        <f>FEMTL!A156</f>
        <v>Månäs</v>
      </c>
      <c r="B144" s="3" t="str">
        <f>FEMTL!B156</f>
        <v>1:232</v>
      </c>
      <c r="C144" s="3" t="e">
        <f>FEMTL!#REF!</f>
        <v>#REF!</v>
      </c>
      <c r="D144" s="3">
        <f>FEMTL!E156</f>
        <v>0</v>
      </c>
      <c r="E144" s="3">
        <f>FEMTL!F156</f>
        <v>0</v>
      </c>
      <c r="F144" s="3">
        <f>FEMTL!G156</f>
        <v>0</v>
      </c>
      <c r="G144" s="10">
        <f>FEMTL!H156</f>
        <v>0</v>
      </c>
      <c r="H144" s="8">
        <f>FEMTL!I156</f>
        <v>17.28</v>
      </c>
      <c r="I144" s="11">
        <f>FEMTL!J156</f>
        <v>0</v>
      </c>
      <c r="J144" s="7">
        <f>FEMTL!N156</f>
        <v>0</v>
      </c>
      <c r="K144" s="13">
        <f>FEMTL!O156</f>
        <v>0</v>
      </c>
      <c r="M144" s="26">
        <f t="shared" si="12"/>
        <v>0</v>
      </c>
      <c r="N144" s="26">
        <f t="shared" si="13"/>
        <v>0</v>
      </c>
      <c r="O144" s="26">
        <f t="shared" si="14"/>
        <v>0</v>
      </c>
      <c r="P144" s="26">
        <f t="shared" si="10"/>
        <v>0</v>
      </c>
    </row>
    <row r="145" spans="1:16" x14ac:dyDescent="0.25">
      <c r="A145" s="3">
        <f>FEMTL!A157</f>
        <v>0</v>
      </c>
      <c r="B145" s="3">
        <f>FEMTL!B157</f>
        <v>0</v>
      </c>
      <c r="C145" s="3">
        <f>FEMTL!C157</f>
        <v>0</v>
      </c>
      <c r="D145" s="3">
        <f>FEMTL!E157</f>
        <v>0</v>
      </c>
      <c r="E145" s="3">
        <f>FEMTL!F157</f>
        <v>0</v>
      </c>
      <c r="F145" s="3">
        <f>FEMTL!G157</f>
        <v>0</v>
      </c>
      <c r="G145" s="10">
        <f>FEMTL!H157</f>
        <v>0</v>
      </c>
      <c r="H145" s="8">
        <f>FEMTL!I157</f>
        <v>0</v>
      </c>
      <c r="I145" s="11">
        <f>FEMTL!J157</f>
        <v>0</v>
      </c>
      <c r="J145" s="7">
        <f>FEMTL!N157</f>
        <v>0</v>
      </c>
      <c r="K145" s="13">
        <f>FEMTL!O157</f>
        <v>0</v>
      </c>
      <c r="P145" s="26">
        <f t="shared" si="10"/>
        <v>0</v>
      </c>
    </row>
    <row r="146" spans="1:16" x14ac:dyDescent="0.25">
      <c r="A146" s="3" t="str">
        <f>FEMTL!A158</f>
        <v xml:space="preserve">Dalby-Backa </v>
      </c>
      <c r="B146" s="3" t="str">
        <f>FEMTL!B158</f>
        <v>1:155</v>
      </c>
      <c r="C146" s="3" t="str">
        <f>FEMTL!C158</f>
        <v>Kai Uwe Bickel</v>
      </c>
      <c r="D146" s="3" t="str">
        <f>FEMTL!E158</f>
        <v>Hof Rosenberg 1</v>
      </c>
      <c r="E146" s="3" t="str">
        <f>FEMTL!F158</f>
        <v>D-61276</v>
      </c>
      <c r="F146" s="3" t="str">
        <f>FEMTL!G158</f>
        <v xml:space="preserve"> Tyskland</v>
      </c>
      <c r="G146" s="10">
        <f>FEMTL!H158</f>
        <v>0</v>
      </c>
      <c r="H146" s="8">
        <f>FEMTL!I158</f>
        <v>0</v>
      </c>
      <c r="I146" s="11">
        <f>FEMTL!J158</f>
        <v>0</v>
      </c>
      <c r="J146" s="7">
        <f>FEMTL!N158</f>
        <v>105.97999999999999</v>
      </c>
      <c r="K146" s="13">
        <f>FEMTL!O158</f>
        <v>106</v>
      </c>
      <c r="P146" s="26">
        <f t="shared" si="10"/>
        <v>5</v>
      </c>
    </row>
    <row r="147" spans="1:16" x14ac:dyDescent="0.25">
      <c r="A147" s="3">
        <f>FEMTL!A159</f>
        <v>0</v>
      </c>
      <c r="B147" s="3">
        <f>FEMTL!B159</f>
        <v>0</v>
      </c>
      <c r="C147" s="3">
        <f>FEMTL!C159</f>
        <v>0</v>
      </c>
      <c r="D147" s="3">
        <f>FEMTL!E159</f>
        <v>0</v>
      </c>
      <c r="E147" s="3">
        <f>FEMTL!F159</f>
        <v>0</v>
      </c>
      <c r="F147" s="3">
        <f>FEMTL!G159</f>
        <v>0</v>
      </c>
      <c r="G147" s="10">
        <f>FEMTL!H159</f>
        <v>0</v>
      </c>
      <c r="H147" s="8">
        <f>FEMTL!I159</f>
        <v>0</v>
      </c>
      <c r="I147" s="11">
        <f>FEMTL!J159</f>
        <v>0</v>
      </c>
      <c r="J147" s="7">
        <f>FEMTL!N159</f>
        <v>0</v>
      </c>
      <c r="K147" s="13">
        <f>FEMTL!O159</f>
        <v>0</v>
      </c>
      <c r="L147" s="26">
        <f t="shared" si="11"/>
        <v>0</v>
      </c>
      <c r="M147" s="26">
        <f t="shared" si="12"/>
        <v>0</v>
      </c>
      <c r="N147" s="26">
        <f t="shared" si="13"/>
        <v>0</v>
      </c>
      <c r="O147" s="26">
        <f t="shared" si="14"/>
        <v>0</v>
      </c>
      <c r="P147" s="26">
        <f t="shared" si="10"/>
        <v>0</v>
      </c>
    </row>
    <row r="148" spans="1:16" x14ac:dyDescent="0.25">
      <c r="A148" s="3" t="str">
        <f>FEMTL!A160</f>
        <v xml:space="preserve">Dalby-Backa </v>
      </c>
      <c r="B148" s="3" t="str">
        <f>FEMTL!B160</f>
        <v>1:156</v>
      </c>
      <c r="C148" s="3" t="str">
        <f>FEMTL!C160</f>
        <v>Mirja Nilsson</v>
      </c>
      <c r="D148" s="3">
        <f>FEMTL!E160</f>
        <v>0</v>
      </c>
      <c r="E148" s="3">
        <f>FEMTL!F160</f>
        <v>0</v>
      </c>
      <c r="F148" s="3">
        <f>FEMTL!G160</f>
        <v>0</v>
      </c>
      <c r="G148" s="10">
        <f>FEMTL!H160</f>
        <v>0</v>
      </c>
      <c r="H148" s="8">
        <f>FEMTL!I160</f>
        <v>0</v>
      </c>
      <c r="I148" s="11">
        <f>FEMTL!J160</f>
        <v>0</v>
      </c>
      <c r="J148" s="7">
        <f>FEMTL!N160</f>
        <v>111.7</v>
      </c>
      <c r="K148" s="13">
        <f>FEMTL!O160</f>
        <v>112</v>
      </c>
      <c r="L148" s="26">
        <f t="shared" si="11"/>
        <v>2</v>
      </c>
      <c r="M148" s="26">
        <f t="shared" si="12"/>
        <v>2</v>
      </c>
      <c r="N148" s="26">
        <f t="shared" si="13"/>
        <v>2</v>
      </c>
      <c r="O148" s="26">
        <f t="shared" si="14"/>
        <v>2</v>
      </c>
      <c r="P148" s="26">
        <f t="shared" si="10"/>
        <v>5</v>
      </c>
    </row>
    <row r="149" spans="1:16" x14ac:dyDescent="0.25">
      <c r="A149" s="3">
        <f>FEMTL!A161</f>
        <v>0</v>
      </c>
      <c r="B149" s="3">
        <f>FEMTL!B161</f>
        <v>0</v>
      </c>
      <c r="C149" s="3" t="str">
        <f>FEMTL!C161</f>
        <v>Urban Nilsson</v>
      </c>
      <c r="D149" s="3" t="str">
        <f>FEMTL!E161</f>
        <v>Skullsta gård 1253</v>
      </c>
      <c r="E149" s="3" t="str">
        <f>FEMTL!F161</f>
        <v>710 41</v>
      </c>
      <c r="F149" s="3" t="str">
        <f>FEMTL!G161</f>
        <v>Fellingsbro</v>
      </c>
      <c r="G149" s="10">
        <f>FEMTL!H161</f>
        <v>0</v>
      </c>
      <c r="H149" s="8">
        <f>FEMTL!I161</f>
        <v>0</v>
      </c>
      <c r="I149" s="11">
        <f>FEMTL!J161</f>
        <v>0</v>
      </c>
      <c r="J149" s="7">
        <f>FEMTL!N161</f>
        <v>0</v>
      </c>
      <c r="K149" s="13">
        <f>FEMTL!O161</f>
        <v>0</v>
      </c>
      <c r="L149" s="26">
        <f t="shared" si="11"/>
        <v>0</v>
      </c>
      <c r="M149" s="26">
        <f t="shared" si="12"/>
        <v>0</v>
      </c>
      <c r="N149" s="26">
        <f t="shared" si="13"/>
        <v>0</v>
      </c>
      <c r="O149" s="26">
        <f t="shared" si="14"/>
        <v>0</v>
      </c>
      <c r="P149" s="26">
        <f t="shared" si="10"/>
        <v>0</v>
      </c>
    </row>
    <row r="150" spans="1:16" x14ac:dyDescent="0.25">
      <c r="A150" s="3">
        <f>FEMTL!A162</f>
        <v>0</v>
      </c>
      <c r="B150" s="3">
        <f>FEMTL!B162</f>
        <v>0</v>
      </c>
      <c r="C150" s="3">
        <f>FEMTL!C162</f>
        <v>0</v>
      </c>
      <c r="D150" s="3">
        <f>FEMTL!E162</f>
        <v>0</v>
      </c>
      <c r="E150" s="3">
        <f>FEMTL!F162</f>
        <v>0</v>
      </c>
      <c r="F150" s="3">
        <f>FEMTL!G162</f>
        <v>0</v>
      </c>
      <c r="G150" s="10">
        <f>FEMTL!H162</f>
        <v>0</v>
      </c>
      <c r="H150" s="8">
        <f>FEMTL!I162</f>
        <v>0</v>
      </c>
      <c r="I150" s="11">
        <f>FEMTL!J162</f>
        <v>0</v>
      </c>
      <c r="J150" s="7">
        <f>FEMTL!N162</f>
        <v>0</v>
      </c>
      <c r="K150" s="13">
        <f>FEMTL!O162</f>
        <v>0</v>
      </c>
      <c r="L150" s="26">
        <f t="shared" si="11"/>
        <v>0</v>
      </c>
      <c r="M150" s="26">
        <f t="shared" si="12"/>
        <v>0</v>
      </c>
      <c r="N150" s="26">
        <f t="shared" si="13"/>
        <v>0</v>
      </c>
      <c r="O150" s="26">
        <f t="shared" si="14"/>
        <v>0</v>
      </c>
      <c r="P150" s="26">
        <f t="shared" si="10"/>
        <v>0</v>
      </c>
    </row>
    <row r="151" spans="1:16" x14ac:dyDescent="0.25">
      <c r="A151" s="3" t="str">
        <f>FEMTL!A246</f>
        <v>Bänteby</v>
      </c>
      <c r="B151" s="3" t="str">
        <f>FEMTL!B246</f>
        <v>1:12</v>
      </c>
      <c r="C151" s="3" t="str">
        <f>FEMTL!C246</f>
        <v>Fredrik Skanse</v>
      </c>
      <c r="D151" s="3" t="str">
        <f>FEMTL!E246</f>
        <v>Vitsandsvägen 78</v>
      </c>
      <c r="E151" s="3" t="str">
        <f>FEMTL!F246</f>
        <v>685 34</v>
      </c>
      <c r="F151" s="3" t="str">
        <f>FEMTL!G246</f>
        <v>Torsby</v>
      </c>
      <c r="G151" s="10">
        <f>FEMTL!H246</f>
        <v>0</v>
      </c>
      <c r="H151" s="8">
        <f>FEMTL!I246</f>
        <v>56.89</v>
      </c>
      <c r="I151" s="11">
        <f>FEMTL!J246</f>
        <v>0</v>
      </c>
      <c r="J151" s="7">
        <f>FEMTL!N246</f>
        <v>0</v>
      </c>
      <c r="K151" s="13">
        <f>FEMTL!O246</f>
        <v>0</v>
      </c>
      <c r="L151" s="26">
        <f t="shared" si="11"/>
        <v>0</v>
      </c>
      <c r="M151" s="26">
        <f t="shared" si="12"/>
        <v>0</v>
      </c>
      <c r="N151" s="26">
        <f t="shared" si="13"/>
        <v>0</v>
      </c>
      <c r="O151" s="26">
        <f t="shared" si="14"/>
        <v>0</v>
      </c>
      <c r="P151" s="26">
        <f t="shared" si="10"/>
        <v>0</v>
      </c>
    </row>
    <row r="152" spans="1:16" x14ac:dyDescent="0.25">
      <c r="A152" s="3">
        <f>FEMTL!A163</f>
        <v>0</v>
      </c>
      <c r="B152" s="3">
        <f>FEMTL!B163</f>
        <v>0</v>
      </c>
      <c r="C152" s="3">
        <f>FEMTL!C163</f>
        <v>0</v>
      </c>
      <c r="D152" s="3">
        <f>FEMTL!E163</f>
        <v>0</v>
      </c>
      <c r="E152" s="3">
        <f>FEMTL!F163</f>
        <v>0</v>
      </c>
      <c r="F152" s="3">
        <f>FEMTL!G163</f>
        <v>0</v>
      </c>
      <c r="G152" s="10">
        <f>FEMTL!H163</f>
        <v>0</v>
      </c>
      <c r="H152" s="8">
        <f>FEMTL!I163</f>
        <v>0</v>
      </c>
      <c r="I152" s="11">
        <f>FEMTL!J163</f>
        <v>0</v>
      </c>
      <c r="J152" s="7">
        <f>FEMTL!N163</f>
        <v>0</v>
      </c>
      <c r="K152" s="13">
        <f>FEMTL!O163</f>
        <v>0</v>
      </c>
      <c r="L152" s="26">
        <f t="shared" si="11"/>
        <v>0</v>
      </c>
      <c r="M152" s="26">
        <f t="shared" si="12"/>
        <v>0</v>
      </c>
      <c r="N152" s="26">
        <f t="shared" si="13"/>
        <v>0</v>
      </c>
      <c r="O152" s="26">
        <f t="shared" si="14"/>
        <v>0</v>
      </c>
      <c r="P152" s="26">
        <f t="shared" si="10"/>
        <v>0</v>
      </c>
    </row>
    <row r="153" spans="1:16" x14ac:dyDescent="0.25">
      <c r="A153" s="3" t="e">
        <f>FEMTL!#REF!</f>
        <v>#REF!</v>
      </c>
      <c r="B153" s="3" t="e">
        <f>FEMTL!#REF!</f>
        <v>#REF!</v>
      </c>
      <c r="C153" s="3" t="e">
        <f>FEMTL!#REF!</f>
        <v>#REF!</v>
      </c>
      <c r="D153" s="3" t="e">
        <f>FEMTL!#REF!</f>
        <v>#REF!</v>
      </c>
      <c r="E153" s="3" t="e">
        <f>FEMTL!#REF!</f>
        <v>#REF!</v>
      </c>
      <c r="F153" s="3" t="e">
        <f>FEMTL!#REF!</f>
        <v>#REF!</v>
      </c>
      <c r="G153" s="10" t="e">
        <f>FEMTL!#REF!</f>
        <v>#REF!</v>
      </c>
      <c r="H153" s="8" t="e">
        <f>FEMTL!#REF!</f>
        <v>#REF!</v>
      </c>
      <c r="I153" s="11" t="e">
        <f>FEMTL!#REF!</f>
        <v>#REF!</v>
      </c>
      <c r="J153" s="7" t="e">
        <f>FEMTL!#REF!</f>
        <v>#REF!</v>
      </c>
      <c r="K153" s="13" t="e">
        <f>FEMTL!#REF!</f>
        <v>#REF!</v>
      </c>
      <c r="L153" s="26" t="e">
        <f t="shared" si="11"/>
        <v>#REF!</v>
      </c>
      <c r="M153" s="26" t="e">
        <f t="shared" si="12"/>
        <v>#REF!</v>
      </c>
      <c r="N153" s="26" t="e">
        <f t="shared" si="13"/>
        <v>#REF!</v>
      </c>
      <c r="O153" s="26" t="e">
        <f t="shared" si="14"/>
        <v>#REF!</v>
      </c>
      <c r="P153" s="26" t="e">
        <f t="shared" si="10"/>
        <v>#REF!</v>
      </c>
    </row>
    <row r="154" spans="1:16" x14ac:dyDescent="0.25">
      <c r="A154" s="3" t="e">
        <f>FEMTL!#REF!</f>
        <v>#REF!</v>
      </c>
      <c r="B154" s="3" t="e">
        <f>FEMTL!#REF!</f>
        <v>#REF!</v>
      </c>
      <c r="C154" s="3" t="e">
        <f>FEMTL!#REF!</f>
        <v>#REF!</v>
      </c>
      <c r="D154" s="3" t="e">
        <f>FEMTL!#REF!</f>
        <v>#REF!</v>
      </c>
      <c r="E154" s="3" t="e">
        <f>FEMTL!#REF!</f>
        <v>#REF!</v>
      </c>
      <c r="F154" s="3" t="e">
        <f>FEMTL!#REF!</f>
        <v>#REF!</v>
      </c>
      <c r="G154" s="10" t="e">
        <f>FEMTL!#REF!</f>
        <v>#REF!</v>
      </c>
      <c r="H154" s="8" t="e">
        <f>FEMTL!#REF!</f>
        <v>#REF!</v>
      </c>
      <c r="I154" s="11" t="e">
        <f>FEMTL!#REF!</f>
        <v>#REF!</v>
      </c>
      <c r="J154" s="7" t="e">
        <f>FEMTL!#REF!</f>
        <v>#REF!</v>
      </c>
      <c r="K154" s="13" t="e">
        <f>FEMTL!#REF!</f>
        <v>#REF!</v>
      </c>
      <c r="L154" s="26" t="e">
        <f t="shared" si="11"/>
        <v>#REF!</v>
      </c>
      <c r="M154" s="26" t="e">
        <f t="shared" si="12"/>
        <v>#REF!</v>
      </c>
      <c r="N154" s="26" t="e">
        <f t="shared" si="13"/>
        <v>#REF!</v>
      </c>
      <c r="O154" s="26" t="e">
        <f t="shared" si="14"/>
        <v>#REF!</v>
      </c>
      <c r="P154" s="26" t="e">
        <f t="shared" si="10"/>
        <v>#REF!</v>
      </c>
    </row>
    <row r="155" spans="1:16" x14ac:dyDescent="0.25">
      <c r="A155" s="3" t="e">
        <f>FEMTL!#REF!</f>
        <v>#REF!</v>
      </c>
      <c r="B155" s="3" t="e">
        <f>FEMTL!#REF!</f>
        <v>#REF!</v>
      </c>
      <c r="C155" s="3" t="e">
        <f>FEMTL!#REF!</f>
        <v>#REF!</v>
      </c>
      <c r="D155" s="3" t="e">
        <f>FEMTL!#REF!</f>
        <v>#REF!</v>
      </c>
      <c r="E155" s="3" t="e">
        <f>FEMTL!#REF!</f>
        <v>#REF!</v>
      </c>
      <c r="F155" s="3" t="e">
        <f>FEMTL!#REF!</f>
        <v>#REF!</v>
      </c>
      <c r="G155" s="10" t="e">
        <f>FEMTL!#REF!</f>
        <v>#REF!</v>
      </c>
      <c r="H155" s="8" t="e">
        <f>FEMTL!#REF!</f>
        <v>#REF!</v>
      </c>
      <c r="I155" s="11" t="e">
        <f>FEMTL!#REF!</f>
        <v>#REF!</v>
      </c>
      <c r="J155" s="7" t="e">
        <f>FEMTL!#REF!</f>
        <v>#REF!</v>
      </c>
      <c r="K155" s="13" t="e">
        <f>FEMTL!#REF!</f>
        <v>#REF!</v>
      </c>
      <c r="L155" s="26" t="e">
        <f t="shared" si="11"/>
        <v>#REF!</v>
      </c>
      <c r="M155" s="26" t="e">
        <f t="shared" si="12"/>
        <v>#REF!</v>
      </c>
      <c r="N155" s="26" t="e">
        <f t="shared" si="13"/>
        <v>#REF!</v>
      </c>
      <c r="O155" s="26" t="e">
        <f t="shared" si="14"/>
        <v>#REF!</v>
      </c>
      <c r="P155" s="26" t="e">
        <f t="shared" si="10"/>
        <v>#REF!</v>
      </c>
    </row>
    <row r="156" spans="1:16" x14ac:dyDescent="0.25">
      <c r="A156" s="3" t="e">
        <f>FEMTL!#REF!</f>
        <v>#REF!</v>
      </c>
      <c r="B156" s="3" t="e">
        <f>FEMTL!#REF!</f>
        <v>#REF!</v>
      </c>
      <c r="C156" s="3" t="e">
        <f>FEMTL!#REF!</f>
        <v>#REF!</v>
      </c>
      <c r="D156" s="3" t="e">
        <f>FEMTL!#REF!</f>
        <v>#REF!</v>
      </c>
      <c r="E156" s="3" t="e">
        <f>FEMTL!#REF!</f>
        <v>#REF!</v>
      </c>
      <c r="F156" s="3" t="e">
        <f>FEMTL!#REF!</f>
        <v>#REF!</v>
      </c>
      <c r="G156" s="10" t="e">
        <f>FEMTL!#REF!</f>
        <v>#REF!</v>
      </c>
      <c r="H156" s="8" t="e">
        <f>FEMTL!#REF!</f>
        <v>#REF!</v>
      </c>
      <c r="I156" s="11" t="e">
        <f>FEMTL!#REF!</f>
        <v>#REF!</v>
      </c>
      <c r="J156" s="7" t="e">
        <f>FEMTL!#REF!</f>
        <v>#REF!</v>
      </c>
      <c r="K156" s="13" t="e">
        <f>FEMTL!#REF!</f>
        <v>#REF!</v>
      </c>
      <c r="L156" s="26" t="e">
        <f t="shared" si="11"/>
        <v>#REF!</v>
      </c>
      <c r="M156" s="26" t="e">
        <f t="shared" si="12"/>
        <v>#REF!</v>
      </c>
      <c r="N156" s="26" t="e">
        <f t="shared" si="13"/>
        <v>#REF!</v>
      </c>
      <c r="O156" s="26" t="e">
        <f t="shared" si="14"/>
        <v>#REF!</v>
      </c>
      <c r="P156" s="26" t="e">
        <f t="shared" si="10"/>
        <v>#REF!</v>
      </c>
    </row>
    <row r="157" spans="1:16" x14ac:dyDescent="0.25">
      <c r="A157" s="3" t="str">
        <f>FEMTL!A164</f>
        <v>Bänteby</v>
      </c>
      <c r="B157" s="3" t="str">
        <f>FEMTL!B164</f>
        <v>1:56</v>
      </c>
      <c r="C157" s="3" t="str">
        <f>FEMTL!C164</f>
        <v>Örjan Olsson</v>
      </c>
      <c r="D157" s="3" t="str">
        <f>FEMTL!E164</f>
        <v>Bänteby 9</v>
      </c>
      <c r="E157" s="3" t="str">
        <f>FEMTL!F164</f>
        <v>680 63</v>
      </c>
      <c r="F157" s="3" t="str">
        <f>FEMTL!G164</f>
        <v>Likenäs</v>
      </c>
      <c r="G157" s="10">
        <f>FEMTL!H164</f>
        <v>0</v>
      </c>
      <c r="H157" s="8">
        <f>FEMTL!I164</f>
        <v>529.86</v>
      </c>
      <c r="I157" s="11">
        <f>FEMTL!J164</f>
        <v>471</v>
      </c>
      <c r="J157" s="7">
        <f>FEMTL!N164</f>
        <v>58.860000000000014</v>
      </c>
      <c r="K157" s="13">
        <f>FEMTL!O164</f>
        <v>59</v>
      </c>
      <c r="L157" s="26">
        <f t="shared" si="11"/>
        <v>1</v>
      </c>
      <c r="M157" s="26">
        <f t="shared" si="12"/>
        <v>1</v>
      </c>
      <c r="N157" s="26">
        <f t="shared" si="13"/>
        <v>1</v>
      </c>
      <c r="O157" s="26">
        <f t="shared" si="14"/>
        <v>1</v>
      </c>
      <c r="P157" s="26">
        <f t="shared" si="10"/>
        <v>3</v>
      </c>
    </row>
    <row r="158" spans="1:16" x14ac:dyDescent="0.25">
      <c r="A158" s="3">
        <f>FEMTL!A165</f>
        <v>0</v>
      </c>
      <c r="B158" s="3">
        <f>FEMTL!B165</f>
        <v>0</v>
      </c>
      <c r="C158" s="3">
        <f>FEMTL!C165</f>
        <v>0</v>
      </c>
      <c r="D158" s="3">
        <f>FEMTL!E165</f>
        <v>0</v>
      </c>
      <c r="E158" s="3">
        <f>FEMTL!F165</f>
        <v>0</v>
      </c>
      <c r="F158" s="3">
        <f>FEMTL!G165</f>
        <v>0</v>
      </c>
      <c r="G158" s="10">
        <f>FEMTL!H165</f>
        <v>0</v>
      </c>
      <c r="H158" s="8">
        <f>FEMTL!I165</f>
        <v>0</v>
      </c>
      <c r="I158" s="11">
        <f>FEMTL!J165</f>
        <v>0</v>
      </c>
      <c r="J158" s="7">
        <f>FEMTL!N165</f>
        <v>0</v>
      </c>
      <c r="K158" s="13">
        <f>FEMTL!O165</f>
        <v>0</v>
      </c>
      <c r="L158" s="26">
        <f t="shared" si="11"/>
        <v>0</v>
      </c>
      <c r="M158" s="26">
        <f t="shared" si="12"/>
        <v>0</v>
      </c>
      <c r="N158" s="26">
        <f t="shared" si="13"/>
        <v>0</v>
      </c>
      <c r="O158" s="26">
        <f t="shared" si="14"/>
        <v>0</v>
      </c>
      <c r="P158" s="26">
        <f t="shared" si="10"/>
        <v>0</v>
      </c>
    </row>
    <row r="159" spans="1:16" x14ac:dyDescent="0.25">
      <c r="A159" s="3">
        <f>FEMTL!A166</f>
        <v>0</v>
      </c>
      <c r="B159" s="3">
        <f>FEMTL!B166</f>
        <v>0</v>
      </c>
      <c r="C159" s="3">
        <f>FEMTL!C166</f>
        <v>0</v>
      </c>
      <c r="D159" s="3">
        <f>FEMTL!E166</f>
        <v>0</v>
      </c>
      <c r="E159" s="3">
        <f>FEMTL!F166</f>
        <v>0</v>
      </c>
      <c r="F159" s="3">
        <f>FEMTL!G166</f>
        <v>0</v>
      </c>
      <c r="G159" s="10">
        <f>FEMTL!H166</f>
        <v>0</v>
      </c>
      <c r="H159" s="8">
        <f>FEMTL!I166</f>
        <v>0</v>
      </c>
      <c r="I159" s="11">
        <f>FEMTL!J166</f>
        <v>0</v>
      </c>
      <c r="J159" s="7">
        <f>FEMTL!N166</f>
        <v>0</v>
      </c>
      <c r="K159" s="13">
        <f>FEMTL!O166</f>
        <v>0</v>
      </c>
      <c r="L159" s="26">
        <f t="shared" si="11"/>
        <v>0</v>
      </c>
      <c r="M159" s="26">
        <f t="shared" si="12"/>
        <v>0</v>
      </c>
      <c r="N159" s="26">
        <f t="shared" si="13"/>
        <v>0</v>
      </c>
      <c r="O159" s="26">
        <f t="shared" si="14"/>
        <v>0</v>
      </c>
      <c r="P159" s="26">
        <f t="shared" si="10"/>
        <v>0</v>
      </c>
    </row>
    <row r="160" spans="1:16" x14ac:dyDescent="0.25">
      <c r="A160" s="3" t="str">
        <f>FEMTL!A167</f>
        <v>Hjällstad</v>
      </c>
      <c r="B160" s="3" t="str">
        <f>FEMTL!B167</f>
        <v>3:6</v>
      </c>
      <c r="C160" s="3" t="str">
        <f>FEMTL!C167</f>
        <v>Lars Linsell</v>
      </c>
      <c r="D160" s="3" t="str">
        <f>FEMTL!E167</f>
        <v xml:space="preserve">Klarastrandsvägen </v>
      </c>
      <c r="E160" s="3" t="str">
        <f>FEMTL!F167</f>
        <v>680 51</v>
      </c>
      <c r="F160" s="3" t="str">
        <f>FEMTL!G167</f>
        <v>Stöllet</v>
      </c>
      <c r="G160" s="10">
        <f>FEMTL!H167</f>
        <v>0</v>
      </c>
      <c r="H160" s="8">
        <f>FEMTL!I167</f>
        <v>59.9</v>
      </c>
      <c r="I160" s="11">
        <f>FEMTL!J167</f>
        <v>55.8</v>
      </c>
      <c r="J160" s="7">
        <f>FEMTL!N167</f>
        <v>4.0999999999999996</v>
      </c>
      <c r="K160" s="13">
        <f>FEMTL!O167</f>
        <v>5</v>
      </c>
      <c r="L160" s="26">
        <f t="shared" si="11"/>
        <v>1</v>
      </c>
      <c r="M160" s="26">
        <f t="shared" si="12"/>
        <v>1</v>
      </c>
      <c r="N160" s="26">
        <f t="shared" si="13"/>
        <v>1</v>
      </c>
      <c r="O160" s="26">
        <f t="shared" si="14"/>
        <v>1</v>
      </c>
      <c r="P160" s="26">
        <f t="shared" si="10"/>
        <v>1</v>
      </c>
    </row>
    <row r="161" spans="1:16" x14ac:dyDescent="0.25">
      <c r="A161" s="3" t="e">
        <f>FEMTL!#REF!</f>
        <v>#REF!</v>
      </c>
      <c r="B161" s="3" t="e">
        <f>FEMTL!#REF!</f>
        <v>#REF!</v>
      </c>
      <c r="C161" s="3" t="e">
        <f>FEMTL!#REF!</f>
        <v>#REF!</v>
      </c>
      <c r="D161" s="3" t="e">
        <f>FEMTL!#REF!</f>
        <v>#REF!</v>
      </c>
      <c r="E161" s="3" t="e">
        <f>FEMTL!#REF!</f>
        <v>#REF!</v>
      </c>
      <c r="F161" s="3" t="e">
        <f>FEMTL!#REF!</f>
        <v>#REF!</v>
      </c>
      <c r="G161" s="8" t="e">
        <f>FEMTL!#REF!</f>
        <v>#REF!</v>
      </c>
      <c r="H161" s="8" t="e">
        <f>FEMTL!#REF!</f>
        <v>#REF!</v>
      </c>
      <c r="I161" s="11" t="e">
        <f>FEMTL!#REF!</f>
        <v>#REF!</v>
      </c>
      <c r="J161" s="7" t="e">
        <f>FEMTL!#REF!</f>
        <v>#REF!</v>
      </c>
      <c r="K161" s="13" t="e">
        <f>FEMTL!#REF!</f>
        <v>#REF!</v>
      </c>
      <c r="L161" s="26" t="e">
        <f t="shared" si="11"/>
        <v>#REF!</v>
      </c>
      <c r="M161" s="26" t="e">
        <f t="shared" si="12"/>
        <v>#REF!</v>
      </c>
      <c r="N161" s="26" t="e">
        <f t="shared" si="13"/>
        <v>#REF!</v>
      </c>
      <c r="O161" s="26" t="e">
        <f t="shared" si="14"/>
        <v>#REF!</v>
      </c>
      <c r="P161" s="26" t="e">
        <f t="shared" si="10"/>
        <v>#REF!</v>
      </c>
    </row>
    <row r="162" spans="1:16" x14ac:dyDescent="0.25">
      <c r="A162" s="3">
        <f>FEMTL!A169</f>
        <v>0</v>
      </c>
      <c r="B162" s="3">
        <f>FEMTL!B169</f>
        <v>0</v>
      </c>
      <c r="C162" s="3">
        <f>FEMTL!C169</f>
        <v>0</v>
      </c>
      <c r="D162" s="3">
        <f>FEMTL!E169</f>
        <v>0</v>
      </c>
      <c r="E162" s="3">
        <f>FEMTL!F169</f>
        <v>0</v>
      </c>
      <c r="F162" s="3">
        <f>FEMTL!G169</f>
        <v>0</v>
      </c>
      <c r="G162" s="8">
        <f>FEMTL!H169</f>
        <v>0</v>
      </c>
      <c r="H162" s="8">
        <f>FEMTL!I169</f>
        <v>0</v>
      </c>
      <c r="I162" s="11">
        <f>FEMTL!J169</f>
        <v>0</v>
      </c>
      <c r="J162" s="7">
        <f>FEMTL!N169</f>
        <v>0</v>
      </c>
      <c r="K162" s="13">
        <f>FEMTL!O169</f>
        <v>0</v>
      </c>
      <c r="L162" s="26">
        <f t="shared" si="11"/>
        <v>0</v>
      </c>
      <c r="M162" s="26">
        <f t="shared" si="12"/>
        <v>0</v>
      </c>
      <c r="N162" s="26">
        <f t="shared" si="13"/>
        <v>0</v>
      </c>
      <c r="O162" s="26">
        <f t="shared" si="14"/>
        <v>0</v>
      </c>
      <c r="P162" s="26">
        <f t="shared" si="10"/>
        <v>0</v>
      </c>
    </row>
    <row r="163" spans="1:16" x14ac:dyDescent="0.25">
      <c r="A163" s="3" t="str">
        <f>FEMTL!A170</f>
        <v>Hjällstad</v>
      </c>
      <c r="B163" s="3" t="str">
        <f>FEMTL!B170</f>
        <v>3:12</v>
      </c>
      <c r="C163" s="3" t="str">
        <f>FEMTL!C170</f>
        <v>Caisa Skoglund</v>
      </c>
      <c r="D163" s="3" t="str">
        <f>FEMTL!E170</f>
        <v>Kevenhyllersv.4</v>
      </c>
      <c r="E163" s="3" t="str">
        <f>FEMTL!F170</f>
        <v>653 46</v>
      </c>
      <c r="F163" s="3" t="str">
        <f>FEMTL!G170</f>
        <v>Karlstad</v>
      </c>
      <c r="G163" s="10">
        <f>FEMTL!H170</f>
        <v>8.1999999999999993</v>
      </c>
      <c r="H163" s="8">
        <f>FEMTL!I170</f>
        <v>117.87</v>
      </c>
      <c r="I163" s="11">
        <f>FEMTL!J170</f>
        <v>158.07000000000002</v>
      </c>
      <c r="J163" s="7">
        <f>FEMTL!N170</f>
        <v>13.6</v>
      </c>
      <c r="K163" s="13">
        <f>FEMTL!O170</f>
        <v>14</v>
      </c>
      <c r="L163" s="26">
        <f t="shared" si="11"/>
        <v>1</v>
      </c>
      <c r="M163" s="26">
        <f t="shared" si="12"/>
        <v>1</v>
      </c>
      <c r="N163" s="26">
        <f t="shared" si="13"/>
        <v>1</v>
      </c>
      <c r="O163" s="26">
        <f t="shared" si="14"/>
        <v>1</v>
      </c>
      <c r="P163" s="26">
        <f t="shared" si="10"/>
        <v>1</v>
      </c>
    </row>
    <row r="164" spans="1:16" x14ac:dyDescent="0.25">
      <c r="A164" s="3">
        <f>FEMTL!A171</f>
        <v>0</v>
      </c>
      <c r="B164" s="3" t="str">
        <f>FEMTL!B171</f>
        <v>3:68</v>
      </c>
      <c r="C164" s="3">
        <f>FEMTL!C171</f>
        <v>0</v>
      </c>
      <c r="D164" s="3">
        <f>FEMTL!E171</f>
        <v>0</v>
      </c>
      <c r="E164" s="3">
        <f>FEMTL!F171</f>
        <v>0</v>
      </c>
      <c r="F164" s="3">
        <f>FEMTL!G171</f>
        <v>0</v>
      </c>
      <c r="G164" s="10">
        <f>FEMTL!H171</f>
        <v>5.4</v>
      </c>
      <c r="H164" s="8">
        <f>FEMTL!I171</f>
        <v>53.8</v>
      </c>
      <c r="I164" s="11">
        <f>FEMTL!J171</f>
        <v>0</v>
      </c>
      <c r="J164" s="7">
        <f>FEMTL!N171</f>
        <v>0</v>
      </c>
      <c r="K164" s="13">
        <f>FEMTL!O171</f>
        <v>0</v>
      </c>
      <c r="L164" s="26">
        <f t="shared" si="11"/>
        <v>0</v>
      </c>
      <c r="M164" s="26">
        <f t="shared" si="12"/>
        <v>0</v>
      </c>
      <c r="N164" s="26">
        <f t="shared" si="13"/>
        <v>0</v>
      </c>
      <c r="O164" s="26">
        <f t="shared" si="14"/>
        <v>0</v>
      </c>
      <c r="P164" s="26">
        <f t="shared" si="10"/>
        <v>0</v>
      </c>
    </row>
    <row r="165" spans="1:16" x14ac:dyDescent="0.25">
      <c r="A165" s="3">
        <f>FEMTL!A172</f>
        <v>0</v>
      </c>
      <c r="B165" s="3">
        <f>FEMTL!B172</f>
        <v>0</v>
      </c>
      <c r="C165" s="3">
        <f>FEMTL!C172</f>
        <v>0</v>
      </c>
      <c r="D165" s="3">
        <f>FEMTL!E172</f>
        <v>0</v>
      </c>
      <c r="E165" s="3">
        <f>FEMTL!F172</f>
        <v>0</v>
      </c>
      <c r="F165" s="3">
        <f>FEMTL!G172</f>
        <v>0</v>
      </c>
      <c r="G165" s="10">
        <f>FEMTL!H172</f>
        <v>0</v>
      </c>
      <c r="H165" s="8">
        <f>FEMTL!I172</f>
        <v>0</v>
      </c>
      <c r="I165" s="11">
        <f>FEMTL!J172</f>
        <v>0</v>
      </c>
      <c r="J165" s="7">
        <f>FEMTL!N172</f>
        <v>0</v>
      </c>
      <c r="K165" s="13">
        <f>FEMTL!O172</f>
        <v>0</v>
      </c>
      <c r="L165" s="26">
        <f t="shared" si="11"/>
        <v>0</v>
      </c>
      <c r="M165" s="26">
        <f t="shared" si="12"/>
        <v>0</v>
      </c>
      <c r="N165" s="26">
        <f t="shared" si="13"/>
        <v>0</v>
      </c>
      <c r="O165" s="26">
        <f t="shared" si="14"/>
        <v>0</v>
      </c>
      <c r="P165" s="26">
        <f t="shared" si="10"/>
        <v>0</v>
      </c>
    </row>
    <row r="166" spans="1:16" x14ac:dyDescent="0.25">
      <c r="A166" s="3" t="str">
        <f>FEMTL!A173</f>
        <v>Hjällstad</v>
      </c>
      <c r="B166" s="3" t="str">
        <f>FEMTL!B173</f>
        <v>3:13</v>
      </c>
      <c r="C166" s="3" t="str">
        <f>FEMTL!C173</f>
        <v>Stora Kopparbergs Bergslags AB</v>
      </c>
      <c r="D166" s="3">
        <f>FEMTL!E173</f>
        <v>0</v>
      </c>
      <c r="E166" s="3" t="str">
        <f>FEMTL!F173</f>
        <v>791 80</v>
      </c>
      <c r="F166" s="3" t="str">
        <f>FEMTL!G173</f>
        <v>Falun</v>
      </c>
      <c r="G166" s="10">
        <f>FEMTL!H173</f>
        <v>0</v>
      </c>
      <c r="H166" s="8">
        <f>FEMTL!I173</f>
        <v>2.1</v>
      </c>
      <c r="I166" s="11">
        <f>FEMTL!J173</f>
        <v>0</v>
      </c>
      <c r="J166" s="7">
        <f>FEMTL!N173</f>
        <v>60.599999999999994</v>
      </c>
      <c r="K166" s="13">
        <f>FEMTL!O173</f>
        <v>61</v>
      </c>
      <c r="L166" s="26">
        <f t="shared" si="11"/>
        <v>1</v>
      </c>
      <c r="M166" s="26">
        <f t="shared" si="12"/>
        <v>1</v>
      </c>
      <c r="N166" s="26">
        <f t="shared" si="13"/>
        <v>1</v>
      </c>
      <c r="O166" s="26">
        <f t="shared" si="14"/>
        <v>1</v>
      </c>
      <c r="P166" s="26">
        <f t="shared" si="10"/>
        <v>3</v>
      </c>
    </row>
    <row r="167" spans="1:16" x14ac:dyDescent="0.25">
      <c r="A167" s="3" t="str">
        <f>FEMTL!A245</f>
        <v>Hjällstad</v>
      </c>
      <c r="B167" s="3" t="str">
        <f>FEMTL!B245</f>
        <v>3:26</v>
      </c>
      <c r="C167" s="3">
        <f>FEMTL!C245</f>
        <v>0</v>
      </c>
      <c r="D167" s="3">
        <f>FEMTL!E245</f>
        <v>0</v>
      </c>
      <c r="E167" s="3">
        <f>FEMTL!F245</f>
        <v>0</v>
      </c>
      <c r="F167" s="3">
        <f>FEMTL!G245</f>
        <v>0</v>
      </c>
      <c r="G167" s="10">
        <f>FEMTL!H245</f>
        <v>0</v>
      </c>
      <c r="H167" s="8">
        <f>FEMTL!I245</f>
        <v>9.34</v>
      </c>
      <c r="I167" s="11">
        <f>FEMTL!J245</f>
        <v>0</v>
      </c>
      <c r="J167" s="7">
        <f>FEMTL!N245</f>
        <v>0</v>
      </c>
      <c r="K167" s="13">
        <f>FEMTL!O245</f>
        <v>0</v>
      </c>
      <c r="L167" s="26">
        <f t="shared" si="11"/>
        <v>0</v>
      </c>
      <c r="M167" s="26">
        <f t="shared" si="12"/>
        <v>0</v>
      </c>
      <c r="N167" s="26">
        <f t="shared" si="13"/>
        <v>0</v>
      </c>
      <c r="O167" s="26">
        <f t="shared" si="14"/>
        <v>0</v>
      </c>
      <c r="P167" s="26">
        <f t="shared" si="10"/>
        <v>0</v>
      </c>
    </row>
    <row r="168" spans="1:16" x14ac:dyDescent="0.25">
      <c r="A168" s="3" t="str">
        <f>FEMTL!A174</f>
        <v>Kattstjärten</v>
      </c>
      <c r="B168" s="3" t="str">
        <f>FEMTL!B174</f>
        <v>1:20</v>
      </c>
      <c r="C168" s="3">
        <f>FEMTL!C174</f>
        <v>0</v>
      </c>
      <c r="D168" s="3">
        <f>FEMTL!E174</f>
        <v>0</v>
      </c>
      <c r="E168" s="3">
        <f>FEMTL!F174</f>
        <v>0</v>
      </c>
      <c r="F168" s="3">
        <f>FEMTL!G174</f>
        <v>0</v>
      </c>
      <c r="G168" s="10">
        <f>FEMTL!H174</f>
        <v>131.79</v>
      </c>
      <c r="H168" s="8">
        <f>FEMTL!I174</f>
        <v>49.16</v>
      </c>
      <c r="I168" s="11">
        <f>FEMTL!J174</f>
        <v>0</v>
      </c>
      <c r="J168" s="7">
        <f>FEMTL!N174</f>
        <v>0</v>
      </c>
      <c r="K168" s="13">
        <f>FEMTL!O174</f>
        <v>0</v>
      </c>
      <c r="L168" s="26">
        <f t="shared" si="11"/>
        <v>0</v>
      </c>
      <c r="M168" s="26">
        <f t="shared" si="12"/>
        <v>0</v>
      </c>
      <c r="N168" s="26">
        <f t="shared" si="13"/>
        <v>0</v>
      </c>
      <c r="O168" s="26">
        <f t="shared" si="14"/>
        <v>0</v>
      </c>
      <c r="P168" s="26">
        <f t="shared" si="10"/>
        <v>0</v>
      </c>
    </row>
    <row r="169" spans="1:16" x14ac:dyDescent="0.25">
      <c r="A169" s="3" t="str">
        <f>FEMTL!A175</f>
        <v>Kattstjärten</v>
      </c>
      <c r="B169" s="3" t="str">
        <f>FEMTL!B175</f>
        <v>1:22</v>
      </c>
      <c r="C169" s="3">
        <f>FEMTL!C175</f>
        <v>0</v>
      </c>
      <c r="D169" s="3">
        <f>FEMTL!E175</f>
        <v>0</v>
      </c>
      <c r="E169" s="3">
        <f>FEMTL!F175</f>
        <v>0</v>
      </c>
      <c r="F169" s="3">
        <f>FEMTL!G175</f>
        <v>0</v>
      </c>
      <c r="G169" s="10">
        <f>FEMTL!H175</f>
        <v>30.33</v>
      </c>
      <c r="H169" s="8">
        <f>FEMTL!I175</f>
        <v>10.229999999999997</v>
      </c>
      <c r="I169" s="11">
        <f>FEMTL!J175</f>
        <v>0</v>
      </c>
      <c r="J169" s="7">
        <f>FEMTL!N175</f>
        <v>0</v>
      </c>
      <c r="K169" s="13">
        <f>FEMTL!O175</f>
        <v>0</v>
      </c>
      <c r="L169" s="26">
        <f t="shared" si="11"/>
        <v>0</v>
      </c>
      <c r="M169" s="26">
        <f t="shared" si="12"/>
        <v>0</v>
      </c>
      <c r="N169" s="26">
        <f t="shared" si="13"/>
        <v>0</v>
      </c>
      <c r="O169" s="26">
        <f t="shared" si="14"/>
        <v>0</v>
      </c>
      <c r="P169" s="26">
        <f t="shared" si="10"/>
        <v>0</v>
      </c>
    </row>
    <row r="170" spans="1:16" x14ac:dyDescent="0.25">
      <c r="A170" s="3">
        <f>FEMTL!A176</f>
        <v>0</v>
      </c>
      <c r="B170" s="3">
        <f>FEMTL!B176</f>
        <v>0</v>
      </c>
      <c r="C170" s="3">
        <f>FEMTL!C176</f>
        <v>0</v>
      </c>
      <c r="D170" s="3">
        <f>FEMTL!E176</f>
        <v>0</v>
      </c>
      <c r="E170" s="3">
        <f>FEMTL!F176</f>
        <v>0</v>
      </c>
      <c r="F170" s="3">
        <f>FEMTL!G176</f>
        <v>0</v>
      </c>
      <c r="G170" s="10">
        <f>FEMTL!H176</f>
        <v>0</v>
      </c>
      <c r="H170" s="8">
        <f>FEMTL!I176</f>
        <v>0</v>
      </c>
      <c r="I170" s="11">
        <f>FEMTL!J176</f>
        <v>0</v>
      </c>
      <c r="J170" s="7">
        <f>FEMTL!N176</f>
        <v>0</v>
      </c>
      <c r="K170" s="13">
        <f>FEMTL!O176</f>
        <v>0</v>
      </c>
      <c r="L170" s="26">
        <f t="shared" si="11"/>
        <v>0</v>
      </c>
      <c r="M170" s="26">
        <f t="shared" si="12"/>
        <v>0</v>
      </c>
      <c r="N170" s="26">
        <f t="shared" si="13"/>
        <v>0</v>
      </c>
      <c r="O170" s="26">
        <f t="shared" si="14"/>
        <v>0</v>
      </c>
      <c r="P170" s="26">
        <f t="shared" si="10"/>
        <v>0</v>
      </c>
    </row>
    <row r="171" spans="1:16" x14ac:dyDescent="0.25">
      <c r="A171" s="3" t="str">
        <f>FEMTL!A244</f>
        <v>Hjällstad</v>
      </c>
      <c r="B171" s="3" t="str">
        <f>FEMTL!B244</f>
        <v>3:15</v>
      </c>
      <c r="C171" s="3" t="str">
        <f>FEMTL!C244</f>
        <v>Ulf Spetsmark</v>
      </c>
      <c r="D171" s="3">
        <f>FEMTL!E244</f>
        <v>0</v>
      </c>
      <c r="E171" s="3">
        <f>FEMTL!F244</f>
        <v>0</v>
      </c>
      <c r="F171" s="3">
        <f>FEMTL!G244</f>
        <v>0</v>
      </c>
      <c r="G171" s="10">
        <f>FEMTL!H244</f>
        <v>0</v>
      </c>
      <c r="H171" s="8">
        <f>FEMTL!I244</f>
        <v>35.22</v>
      </c>
      <c r="I171" s="11">
        <f>FEMTL!J244</f>
        <v>30.82</v>
      </c>
      <c r="J171" s="7">
        <f>FEMTL!N244</f>
        <v>4.4000000000000004</v>
      </c>
      <c r="K171" s="13">
        <f>FEMTL!O244</f>
        <v>5</v>
      </c>
      <c r="L171" s="26">
        <f t="shared" si="11"/>
        <v>1</v>
      </c>
      <c r="M171" s="26">
        <f t="shared" si="12"/>
        <v>1</v>
      </c>
      <c r="N171" s="26">
        <f t="shared" si="13"/>
        <v>1</v>
      </c>
      <c r="O171" s="26">
        <f t="shared" si="14"/>
        <v>1</v>
      </c>
      <c r="P171" s="26">
        <f t="shared" si="10"/>
        <v>1</v>
      </c>
    </row>
    <row r="172" spans="1:16" x14ac:dyDescent="0.25">
      <c r="A172" s="3">
        <f>FEMTL!A177</f>
        <v>0</v>
      </c>
      <c r="B172" s="3">
        <f>FEMTL!B177</f>
        <v>0</v>
      </c>
      <c r="C172" s="3">
        <f>FEMTL!C177</f>
        <v>0</v>
      </c>
      <c r="D172" s="3">
        <f>FEMTL!E177</f>
        <v>0</v>
      </c>
      <c r="E172" s="3">
        <f>FEMTL!F177</f>
        <v>0</v>
      </c>
      <c r="F172" s="3">
        <f>FEMTL!G177</f>
        <v>0</v>
      </c>
      <c r="G172" s="10">
        <f>FEMTL!H177</f>
        <v>0</v>
      </c>
      <c r="H172" s="8">
        <f>FEMTL!I177</f>
        <v>0</v>
      </c>
      <c r="I172" s="11">
        <f>FEMTL!J177</f>
        <v>0</v>
      </c>
      <c r="J172" s="7">
        <f>FEMTL!N177</f>
        <v>0</v>
      </c>
      <c r="K172" s="13">
        <f>FEMTL!O177</f>
        <v>0</v>
      </c>
      <c r="L172" s="26">
        <f t="shared" si="11"/>
        <v>0</v>
      </c>
      <c r="M172" s="26">
        <f t="shared" si="12"/>
        <v>0</v>
      </c>
      <c r="N172" s="26">
        <f t="shared" si="13"/>
        <v>0</v>
      </c>
      <c r="O172" s="26">
        <f t="shared" si="14"/>
        <v>0</v>
      </c>
      <c r="P172" s="26">
        <f t="shared" si="10"/>
        <v>0</v>
      </c>
    </row>
    <row r="173" spans="1:16" x14ac:dyDescent="0.25">
      <c r="A173" s="3" t="str">
        <f>FEMTL!A178</f>
        <v>Hjällstad</v>
      </c>
      <c r="B173" s="3" t="str">
        <f>FEMTL!B178</f>
        <v>3:23</v>
      </c>
      <c r="C173" s="3" t="str">
        <f>FEMTL!C178</f>
        <v>Lars Linsell</v>
      </c>
      <c r="D173" s="3" t="str">
        <f>FEMTL!E178</f>
        <v>Klarastrandsv. 5</v>
      </c>
      <c r="E173" s="3" t="str">
        <f>FEMTL!F178</f>
        <v>680 51</v>
      </c>
      <c r="F173" s="3" t="str">
        <f>FEMTL!G178</f>
        <v>Stöllet</v>
      </c>
      <c r="G173" s="10">
        <f>FEMTL!H178</f>
        <v>0</v>
      </c>
      <c r="H173" s="8">
        <f>FEMTL!I178</f>
        <v>113.17</v>
      </c>
      <c r="I173" s="11">
        <f>FEMTL!J178</f>
        <v>107.17</v>
      </c>
      <c r="J173" s="7">
        <f>FEMTL!N178</f>
        <v>6</v>
      </c>
      <c r="K173" s="13">
        <f>FEMTL!O178</f>
        <v>6</v>
      </c>
      <c r="L173" s="26">
        <f t="shared" si="11"/>
        <v>1</v>
      </c>
      <c r="M173" s="26">
        <f t="shared" si="12"/>
        <v>1</v>
      </c>
      <c r="N173" s="26">
        <f t="shared" si="13"/>
        <v>1</v>
      </c>
      <c r="O173" s="26">
        <f t="shared" si="14"/>
        <v>1</v>
      </c>
      <c r="P173" s="26">
        <f t="shared" si="10"/>
        <v>1</v>
      </c>
    </row>
    <row r="174" spans="1:16" x14ac:dyDescent="0.25">
      <c r="A174" s="3">
        <f>FEMTL!A179</f>
        <v>0</v>
      </c>
      <c r="B174" s="3">
        <f>FEMTL!B179</f>
        <v>0</v>
      </c>
      <c r="C174" s="3">
        <f>FEMTL!C179</f>
        <v>0</v>
      </c>
      <c r="D174" s="3">
        <f>FEMTL!E179</f>
        <v>0</v>
      </c>
      <c r="E174" s="3">
        <f>FEMTL!F179</f>
        <v>0</v>
      </c>
      <c r="F174" s="3">
        <f>FEMTL!G179</f>
        <v>0</v>
      </c>
      <c r="G174" s="10">
        <f>FEMTL!H179</f>
        <v>0</v>
      </c>
      <c r="H174" s="8">
        <f>FEMTL!I179</f>
        <v>0</v>
      </c>
      <c r="I174" s="11">
        <f>FEMTL!J179</f>
        <v>0</v>
      </c>
      <c r="J174" s="7">
        <f>FEMTL!N179</f>
        <v>0</v>
      </c>
      <c r="K174" s="13">
        <f>FEMTL!O179</f>
        <v>0</v>
      </c>
      <c r="L174" s="26">
        <f t="shared" si="11"/>
        <v>0</v>
      </c>
      <c r="M174" s="26">
        <f t="shared" si="12"/>
        <v>0</v>
      </c>
      <c r="N174" s="26">
        <f t="shared" si="13"/>
        <v>0</v>
      </c>
      <c r="O174" s="26">
        <f t="shared" si="14"/>
        <v>0</v>
      </c>
      <c r="P174" s="26">
        <f t="shared" si="10"/>
        <v>0</v>
      </c>
    </row>
    <row r="175" spans="1:16" x14ac:dyDescent="0.25">
      <c r="A175" s="3" t="str">
        <f>FEMTL!A9</f>
        <v>Hjällstad</v>
      </c>
      <c r="B175" s="3" t="str">
        <f>FEMTL!B9</f>
        <v>3:64</v>
      </c>
      <c r="C175" s="3">
        <f>FEMTL!C9</f>
        <v>0</v>
      </c>
      <c r="D175" s="3">
        <f>FEMTL!E9</f>
        <v>0</v>
      </c>
      <c r="E175" s="3">
        <f>FEMTL!F9</f>
        <v>0</v>
      </c>
      <c r="F175" s="3">
        <f>FEMTL!G9</f>
        <v>0</v>
      </c>
      <c r="G175" s="10">
        <f>FEMTL!H9</f>
        <v>0</v>
      </c>
      <c r="H175" s="8">
        <f>FEMTL!I9</f>
        <v>11.95</v>
      </c>
      <c r="I175" s="11">
        <f>FEMTL!J9</f>
        <v>0</v>
      </c>
      <c r="J175" s="7">
        <f>FEMTL!N9</f>
        <v>0</v>
      </c>
      <c r="K175" s="13">
        <f>FEMTL!O9</f>
        <v>0</v>
      </c>
      <c r="L175" s="26">
        <f t="shared" si="11"/>
        <v>0</v>
      </c>
      <c r="M175" s="26">
        <f t="shared" si="12"/>
        <v>0</v>
      </c>
      <c r="N175" s="26">
        <f t="shared" si="13"/>
        <v>0</v>
      </c>
      <c r="O175" s="26">
        <f t="shared" si="14"/>
        <v>0</v>
      </c>
      <c r="P175" s="26">
        <f t="shared" si="10"/>
        <v>0</v>
      </c>
    </row>
    <row r="176" spans="1:16" x14ac:dyDescent="0.25">
      <c r="A176" s="3" t="e">
        <f>FEMTL!#REF!</f>
        <v>#REF!</v>
      </c>
      <c r="B176" s="3" t="e">
        <f>FEMTL!#REF!</f>
        <v>#REF!</v>
      </c>
      <c r="C176" s="3" t="e">
        <f>FEMTL!#REF!</f>
        <v>#REF!</v>
      </c>
      <c r="D176" s="3" t="e">
        <f>FEMTL!#REF!</f>
        <v>#REF!</v>
      </c>
      <c r="E176" s="3" t="e">
        <f>FEMTL!#REF!</f>
        <v>#REF!</v>
      </c>
      <c r="F176" s="3" t="e">
        <f>FEMTL!#REF!</f>
        <v>#REF!</v>
      </c>
      <c r="G176" s="10" t="e">
        <f>FEMTL!#REF!</f>
        <v>#REF!</v>
      </c>
      <c r="H176" s="8" t="e">
        <f>FEMTL!#REF!</f>
        <v>#REF!</v>
      </c>
      <c r="I176" s="11" t="e">
        <f>FEMTL!#REF!</f>
        <v>#REF!</v>
      </c>
      <c r="J176" s="7" t="e">
        <f>FEMTL!#REF!</f>
        <v>#REF!</v>
      </c>
      <c r="K176" s="13" t="e">
        <f>FEMTL!#REF!</f>
        <v>#REF!</v>
      </c>
      <c r="L176" s="26" t="e">
        <f t="shared" si="11"/>
        <v>#REF!</v>
      </c>
      <c r="M176" s="26" t="e">
        <f t="shared" si="12"/>
        <v>#REF!</v>
      </c>
      <c r="N176" s="26" t="e">
        <f t="shared" si="13"/>
        <v>#REF!</v>
      </c>
      <c r="O176" s="26" t="e">
        <f t="shared" si="14"/>
        <v>#REF!</v>
      </c>
      <c r="P176" s="26" t="e">
        <f t="shared" si="10"/>
        <v>#REF!</v>
      </c>
    </row>
    <row r="177" spans="1:16" x14ac:dyDescent="0.25">
      <c r="A177" s="3" t="e">
        <f>FEMTL!#REF!</f>
        <v>#REF!</v>
      </c>
      <c r="B177" s="3" t="e">
        <f>FEMTL!#REF!</f>
        <v>#REF!</v>
      </c>
      <c r="C177" s="3" t="e">
        <f>FEMTL!#REF!</f>
        <v>#REF!</v>
      </c>
      <c r="D177" s="5" t="e">
        <f>FEMTL!#REF!</f>
        <v>#REF!</v>
      </c>
      <c r="E177" s="3" t="e">
        <f>FEMTL!#REF!</f>
        <v>#REF!</v>
      </c>
      <c r="F177" s="3" t="e">
        <f>FEMTL!#REF!</f>
        <v>#REF!</v>
      </c>
      <c r="G177" s="10" t="e">
        <f>FEMTL!#REF!</f>
        <v>#REF!</v>
      </c>
      <c r="H177" s="8" t="e">
        <f>FEMTL!#REF!</f>
        <v>#REF!</v>
      </c>
      <c r="I177" s="11" t="e">
        <f>FEMTL!#REF!</f>
        <v>#REF!</v>
      </c>
      <c r="J177" s="7" t="e">
        <f>FEMTL!#REF!</f>
        <v>#REF!</v>
      </c>
      <c r="K177" s="13" t="e">
        <f>FEMTL!#REF!</f>
        <v>#REF!</v>
      </c>
      <c r="L177" s="26" t="e">
        <f t="shared" si="11"/>
        <v>#REF!</v>
      </c>
      <c r="M177" s="26" t="e">
        <f t="shared" si="12"/>
        <v>#REF!</v>
      </c>
      <c r="N177" s="26" t="e">
        <f t="shared" si="13"/>
        <v>#REF!</v>
      </c>
      <c r="O177" s="26" t="e">
        <f t="shared" si="14"/>
        <v>#REF!</v>
      </c>
      <c r="P177" s="26" t="e">
        <f t="shared" si="10"/>
        <v>#REF!</v>
      </c>
    </row>
    <row r="178" spans="1:16" x14ac:dyDescent="0.25">
      <c r="A178" s="3" t="str">
        <f>FEMTL!A180</f>
        <v>Hjällstad</v>
      </c>
      <c r="B178" s="3" t="str">
        <f>FEMTL!B180</f>
        <v>3:30</v>
      </c>
      <c r="C178" s="3" t="str">
        <f>FEMTL!C180</f>
        <v>Marcus Andersen</v>
      </c>
      <c r="D178" s="3" t="str">
        <f>FEMTL!E180</f>
        <v>Mossängsvägen 18</v>
      </c>
      <c r="E178" s="3">
        <f>FEMTL!F180</f>
        <v>0</v>
      </c>
      <c r="F178" s="3">
        <f>FEMTL!G180</f>
        <v>0</v>
      </c>
      <c r="G178" s="10">
        <f>FEMTL!H180</f>
        <v>0</v>
      </c>
      <c r="H178" s="8">
        <f>FEMTL!I180</f>
        <v>1</v>
      </c>
      <c r="I178" s="11">
        <f>FEMTL!J180</f>
        <v>0</v>
      </c>
      <c r="J178" s="7">
        <f>FEMTL!N180</f>
        <v>1</v>
      </c>
      <c r="K178" s="13">
        <f>FEMTL!O180</f>
        <v>1</v>
      </c>
      <c r="L178" s="26">
        <f t="shared" si="11"/>
        <v>1</v>
      </c>
      <c r="M178" s="26">
        <f t="shared" si="12"/>
        <v>1</v>
      </c>
      <c r="N178" s="26">
        <f t="shared" si="13"/>
        <v>1</v>
      </c>
      <c r="O178" s="26">
        <f t="shared" si="14"/>
        <v>1</v>
      </c>
      <c r="P178" s="26">
        <f t="shared" si="10"/>
        <v>1</v>
      </c>
    </row>
    <row r="179" spans="1:16" x14ac:dyDescent="0.25">
      <c r="A179" s="3">
        <f>FEMTL!A181</f>
        <v>0</v>
      </c>
      <c r="B179" s="3">
        <f>FEMTL!B181</f>
        <v>0</v>
      </c>
      <c r="C179" s="3">
        <f>FEMTL!C181</f>
        <v>0</v>
      </c>
      <c r="D179" s="3">
        <f>FEMTL!E181</f>
        <v>0</v>
      </c>
      <c r="E179" s="3">
        <f>FEMTL!F181</f>
        <v>0</v>
      </c>
      <c r="F179" s="3">
        <f>FEMTL!G181</f>
        <v>0</v>
      </c>
      <c r="G179" s="10">
        <f>FEMTL!H181</f>
        <v>0</v>
      </c>
      <c r="H179" s="8">
        <f>FEMTL!I181</f>
        <v>0</v>
      </c>
      <c r="I179" s="11">
        <f>FEMTL!J181</f>
        <v>0</v>
      </c>
      <c r="J179" s="7">
        <f>FEMTL!N181</f>
        <v>0</v>
      </c>
      <c r="K179" s="13">
        <f>FEMTL!O181</f>
        <v>0</v>
      </c>
      <c r="L179" s="26">
        <f t="shared" si="11"/>
        <v>0</v>
      </c>
      <c r="M179" s="26">
        <f t="shared" si="12"/>
        <v>0</v>
      </c>
      <c r="N179" s="26">
        <f t="shared" si="13"/>
        <v>0</v>
      </c>
      <c r="O179" s="26">
        <f t="shared" si="14"/>
        <v>0</v>
      </c>
      <c r="P179" s="26">
        <f t="shared" si="10"/>
        <v>0</v>
      </c>
    </row>
    <row r="180" spans="1:16" x14ac:dyDescent="0.25">
      <c r="A180" s="3" t="str">
        <f>FEMTL!A20</f>
        <v>Hjällstad</v>
      </c>
      <c r="B180" s="3" t="str">
        <f>FEMTL!B20</f>
        <v>3:39</v>
      </c>
      <c r="C180" s="3" t="str">
        <f>FEMTL!C20</f>
        <v>Anna&amp;Dag Nyström</v>
      </c>
      <c r="D180" s="3" t="str">
        <f>FEMTL!E20</f>
        <v>Vestby bryggeri</v>
      </c>
      <c r="E180" s="3" t="str">
        <f>FEMTL!F20</f>
        <v>680 63</v>
      </c>
      <c r="F180" s="3" t="str">
        <f>FEMTL!G20</f>
        <v>Likenäs</v>
      </c>
      <c r="G180" s="10">
        <f>FEMTL!H20</f>
        <v>0</v>
      </c>
      <c r="H180" s="8">
        <f>FEMTL!I20</f>
        <v>122.04</v>
      </c>
      <c r="I180" s="11">
        <f>FEMTL!J20</f>
        <v>115.24000000000001</v>
      </c>
      <c r="J180" s="7">
        <f>FEMTL!N20</f>
        <v>6.8</v>
      </c>
      <c r="K180" s="13">
        <f>FEMTL!O20</f>
        <v>7</v>
      </c>
      <c r="L180" s="26">
        <f t="shared" si="11"/>
        <v>1</v>
      </c>
      <c r="M180" s="26">
        <f t="shared" si="12"/>
        <v>1</v>
      </c>
      <c r="N180" s="26">
        <f t="shared" si="13"/>
        <v>1</v>
      </c>
      <c r="O180" s="26">
        <f t="shared" si="14"/>
        <v>1</v>
      </c>
      <c r="P180" s="26">
        <f t="shared" si="10"/>
        <v>1</v>
      </c>
    </row>
    <row r="181" spans="1:16" x14ac:dyDescent="0.25">
      <c r="A181" s="3" t="e">
        <f>FEMTL!#REF!</f>
        <v>#REF!</v>
      </c>
      <c r="B181" s="3" t="e">
        <f>FEMTL!#REF!</f>
        <v>#REF!</v>
      </c>
      <c r="C181" s="3" t="e">
        <f>FEMTL!#REF!</f>
        <v>#REF!</v>
      </c>
      <c r="D181" s="3" t="e">
        <f>FEMTL!#REF!</f>
        <v>#REF!</v>
      </c>
      <c r="E181" s="3" t="e">
        <f>FEMTL!#REF!</f>
        <v>#REF!</v>
      </c>
      <c r="F181" s="3" t="e">
        <f>FEMTL!#REF!</f>
        <v>#REF!</v>
      </c>
      <c r="G181" s="10" t="e">
        <f>FEMTL!#REF!</f>
        <v>#REF!</v>
      </c>
      <c r="H181" s="8" t="e">
        <f>FEMTL!#REF!</f>
        <v>#REF!</v>
      </c>
      <c r="I181" s="11" t="e">
        <f>FEMTL!#REF!</f>
        <v>#REF!</v>
      </c>
      <c r="J181" s="7" t="e">
        <f>FEMTL!#REF!</f>
        <v>#REF!</v>
      </c>
      <c r="K181" s="13" t="e">
        <f>FEMTL!#REF!</f>
        <v>#REF!</v>
      </c>
      <c r="L181" s="26" t="e">
        <f t="shared" si="11"/>
        <v>#REF!</v>
      </c>
      <c r="M181" s="26" t="e">
        <f t="shared" si="12"/>
        <v>#REF!</v>
      </c>
      <c r="N181" s="26" t="e">
        <f t="shared" si="13"/>
        <v>#REF!</v>
      </c>
      <c r="O181" s="26" t="e">
        <f t="shared" si="14"/>
        <v>#REF!</v>
      </c>
      <c r="P181" s="26" t="e">
        <f t="shared" si="10"/>
        <v>#REF!</v>
      </c>
    </row>
    <row r="182" spans="1:16" x14ac:dyDescent="0.25">
      <c r="A182" s="3" t="str">
        <f>FEMTL!A182</f>
        <v>Hjällstad</v>
      </c>
      <c r="B182" s="3" t="str">
        <f>FEMTL!B182</f>
        <v>3:62</v>
      </c>
      <c r="C182" s="3" t="str">
        <f>FEMTL!C182</f>
        <v>Axel Nykvist</v>
      </c>
      <c r="D182" s="3">
        <f>FEMTL!E182</f>
        <v>0</v>
      </c>
      <c r="E182" s="3">
        <f>FEMTL!F182</f>
        <v>0</v>
      </c>
      <c r="F182" s="3" t="str">
        <f>FEMTL!G182</f>
        <v>Karlstad</v>
      </c>
      <c r="G182" s="10">
        <f>FEMTL!H182</f>
        <v>0</v>
      </c>
      <c r="H182" s="8">
        <f>FEMTL!I182</f>
        <v>89.89</v>
      </c>
      <c r="I182" s="11">
        <f>FEMTL!J182</f>
        <v>86</v>
      </c>
      <c r="J182" s="7">
        <f>FEMTL!N182</f>
        <v>34.360000000000014</v>
      </c>
      <c r="K182" s="13">
        <f>FEMTL!O182</f>
        <v>35</v>
      </c>
      <c r="L182" s="26">
        <f t="shared" si="11"/>
        <v>1</v>
      </c>
      <c r="M182" s="26">
        <f t="shared" si="12"/>
        <v>1</v>
      </c>
      <c r="N182" s="26">
        <f t="shared" si="13"/>
        <v>1</v>
      </c>
      <c r="O182" s="26">
        <f t="shared" si="14"/>
        <v>1</v>
      </c>
      <c r="P182" s="26">
        <f t="shared" si="10"/>
        <v>2</v>
      </c>
    </row>
    <row r="183" spans="1:16" x14ac:dyDescent="0.25">
      <c r="A183" s="3">
        <f>FEMTL!A183</f>
        <v>0</v>
      </c>
      <c r="B183" s="3" t="str">
        <f>FEMTL!B183</f>
        <v>3:102</v>
      </c>
      <c r="C183" s="3">
        <f>FEMTL!C183</f>
        <v>0</v>
      </c>
      <c r="D183" s="3">
        <f>FEMTL!E183</f>
        <v>0</v>
      </c>
      <c r="E183" s="3">
        <f>FEMTL!F183</f>
        <v>0</v>
      </c>
      <c r="F183" s="3">
        <f>FEMTL!G183</f>
        <v>0</v>
      </c>
      <c r="G183" s="10">
        <f>FEMTL!H183</f>
        <v>0</v>
      </c>
      <c r="H183" s="8">
        <f>FEMTL!I183</f>
        <v>338.47</v>
      </c>
      <c r="I183" s="11">
        <f>FEMTL!J183</f>
        <v>308</v>
      </c>
      <c r="J183" s="7">
        <f>FEMTL!N183</f>
        <v>0</v>
      </c>
      <c r="K183" s="13">
        <f>FEMTL!O183</f>
        <v>0</v>
      </c>
      <c r="L183" s="26">
        <f t="shared" si="11"/>
        <v>0</v>
      </c>
      <c r="M183" s="26">
        <f t="shared" si="12"/>
        <v>0</v>
      </c>
      <c r="N183" s="26">
        <f t="shared" si="13"/>
        <v>0</v>
      </c>
      <c r="O183" s="26">
        <f t="shared" si="14"/>
        <v>0</v>
      </c>
      <c r="P183" s="26">
        <f t="shared" si="10"/>
        <v>0</v>
      </c>
    </row>
    <row r="184" spans="1:16" x14ac:dyDescent="0.25">
      <c r="A184" s="3">
        <f>FEMTL!A184</f>
        <v>0</v>
      </c>
      <c r="B184" s="3">
        <f>FEMTL!B184</f>
        <v>0</v>
      </c>
      <c r="C184" s="3">
        <f>FEMTL!C184</f>
        <v>0</v>
      </c>
      <c r="D184" s="3">
        <f>FEMTL!E184</f>
        <v>0</v>
      </c>
      <c r="E184" s="3">
        <f>FEMTL!F184</f>
        <v>0</v>
      </c>
      <c r="F184" s="3">
        <f>FEMTL!G184</f>
        <v>0</v>
      </c>
      <c r="G184" s="10">
        <f>FEMTL!H184</f>
        <v>0</v>
      </c>
      <c r="H184" s="8">
        <f>FEMTL!I184</f>
        <v>0</v>
      </c>
      <c r="I184" s="11">
        <f>FEMTL!J184</f>
        <v>0</v>
      </c>
      <c r="J184" s="7">
        <f>FEMTL!N184</f>
        <v>0</v>
      </c>
      <c r="K184" s="13">
        <f>FEMTL!O184</f>
        <v>0</v>
      </c>
      <c r="L184" s="26">
        <f t="shared" si="11"/>
        <v>0</v>
      </c>
      <c r="M184" s="26">
        <f t="shared" si="12"/>
        <v>0</v>
      </c>
      <c r="N184" s="26">
        <f t="shared" si="13"/>
        <v>0</v>
      </c>
      <c r="O184" s="26">
        <f t="shared" si="14"/>
        <v>0</v>
      </c>
      <c r="P184" s="26">
        <f t="shared" si="10"/>
        <v>0</v>
      </c>
    </row>
    <row r="185" spans="1:16" x14ac:dyDescent="0.25">
      <c r="A185" s="3" t="str">
        <f>FEMTL!A185</f>
        <v>Hjällstad</v>
      </c>
      <c r="B185" s="3" t="str">
        <f>FEMTL!B185</f>
        <v>3:77</v>
      </c>
      <c r="C185" s="3" t="str">
        <f>FEMTL!C185</f>
        <v>Mari Rongedal m.fl</v>
      </c>
      <c r="D185" s="3" t="str">
        <f>FEMTL!E185</f>
        <v>Baronvägen 9</v>
      </c>
      <c r="E185" s="3" t="str">
        <f>FEMTL!F185</f>
        <v>191 51</v>
      </c>
      <c r="F185" s="3" t="str">
        <f>FEMTL!G185</f>
        <v>Sollentuna</v>
      </c>
      <c r="G185" s="10">
        <f>FEMTL!H185</f>
        <v>0</v>
      </c>
      <c r="H185" s="8">
        <f>FEMTL!I185</f>
        <v>222.11</v>
      </c>
      <c r="I185" s="11">
        <f>FEMTL!J185</f>
        <v>196</v>
      </c>
      <c r="J185" s="7">
        <f>FEMTL!N185</f>
        <v>26.2</v>
      </c>
      <c r="K185" s="13">
        <f>FEMTL!O185</f>
        <v>27</v>
      </c>
      <c r="L185" s="26">
        <f t="shared" si="11"/>
        <v>1</v>
      </c>
      <c r="M185" s="26">
        <f t="shared" si="12"/>
        <v>1</v>
      </c>
      <c r="N185" s="26">
        <f t="shared" si="13"/>
        <v>1</v>
      </c>
      <c r="O185" s="26">
        <f t="shared" si="14"/>
        <v>1</v>
      </c>
      <c r="P185" s="26">
        <f t="shared" si="10"/>
        <v>2</v>
      </c>
    </row>
    <row r="186" spans="1:16" x14ac:dyDescent="0.25">
      <c r="A186" s="3" t="e">
        <f>FEMTL!#REF!</f>
        <v>#REF!</v>
      </c>
      <c r="B186" s="3" t="e">
        <f>FEMTL!#REF!</f>
        <v>#REF!</v>
      </c>
      <c r="C186" s="3" t="e">
        <f>FEMTL!#REF!</f>
        <v>#REF!</v>
      </c>
      <c r="D186" s="3" t="e">
        <f>FEMTL!#REF!</f>
        <v>#REF!</v>
      </c>
      <c r="E186" s="3" t="e">
        <f>FEMTL!#REF!</f>
        <v>#REF!</v>
      </c>
      <c r="F186" s="3" t="e">
        <f>FEMTL!#REF!</f>
        <v>#REF!</v>
      </c>
      <c r="G186" s="10" t="e">
        <f>FEMTL!#REF!</f>
        <v>#REF!</v>
      </c>
      <c r="H186" s="8" t="e">
        <f>FEMTL!#REF!</f>
        <v>#REF!</v>
      </c>
      <c r="I186" s="11" t="e">
        <f>FEMTL!#REF!</f>
        <v>#REF!</v>
      </c>
      <c r="J186" s="7" t="e">
        <f>FEMTL!#REF!</f>
        <v>#REF!</v>
      </c>
      <c r="K186" s="13" t="e">
        <f>FEMTL!#REF!</f>
        <v>#REF!</v>
      </c>
      <c r="L186" s="26" t="e">
        <f t="shared" si="11"/>
        <v>#REF!</v>
      </c>
      <c r="M186" s="26" t="e">
        <f t="shared" si="12"/>
        <v>#REF!</v>
      </c>
      <c r="N186" s="26" t="e">
        <f t="shared" si="13"/>
        <v>#REF!</v>
      </c>
      <c r="O186" s="26" t="e">
        <f t="shared" si="14"/>
        <v>#REF!</v>
      </c>
      <c r="P186" s="26" t="e">
        <f t="shared" si="10"/>
        <v>#REF!</v>
      </c>
    </row>
    <row r="187" spans="1:16" x14ac:dyDescent="0.25">
      <c r="A187" s="3" t="e">
        <f>FEMTL!#REF!</f>
        <v>#REF!</v>
      </c>
      <c r="B187" s="3" t="e">
        <f>FEMTL!#REF!</f>
        <v>#REF!</v>
      </c>
      <c r="C187" s="3" t="e">
        <f>FEMTL!#REF!</f>
        <v>#REF!</v>
      </c>
      <c r="D187" s="3" t="e">
        <f>FEMTL!#REF!</f>
        <v>#REF!</v>
      </c>
      <c r="E187" s="3" t="e">
        <f>FEMTL!#REF!</f>
        <v>#REF!</v>
      </c>
      <c r="F187" s="3" t="e">
        <f>FEMTL!#REF!</f>
        <v>#REF!</v>
      </c>
      <c r="G187" s="10" t="e">
        <f>FEMTL!#REF!</f>
        <v>#REF!</v>
      </c>
      <c r="H187" s="8" t="e">
        <f>FEMTL!#REF!</f>
        <v>#REF!</v>
      </c>
      <c r="I187" s="11" t="e">
        <f>FEMTL!#REF!</f>
        <v>#REF!</v>
      </c>
      <c r="J187" s="7" t="e">
        <f>FEMTL!#REF!</f>
        <v>#REF!</v>
      </c>
      <c r="K187" s="13" t="e">
        <f>FEMTL!#REF!</f>
        <v>#REF!</v>
      </c>
      <c r="L187" s="26" t="e">
        <f t="shared" si="11"/>
        <v>#REF!</v>
      </c>
      <c r="M187" s="26" t="e">
        <f t="shared" si="12"/>
        <v>#REF!</v>
      </c>
      <c r="N187" s="26" t="e">
        <f t="shared" si="13"/>
        <v>#REF!</v>
      </c>
      <c r="O187" s="26" t="e">
        <f t="shared" si="14"/>
        <v>#REF!</v>
      </c>
      <c r="P187" s="26" t="e">
        <f t="shared" si="10"/>
        <v>#REF!</v>
      </c>
    </row>
    <row r="188" spans="1:16" x14ac:dyDescent="0.25">
      <c r="A188" s="3" t="e">
        <f>FEMTL!#REF!</f>
        <v>#REF!</v>
      </c>
      <c r="B188" s="3" t="e">
        <f>FEMTL!#REF!</f>
        <v>#REF!</v>
      </c>
      <c r="C188" s="3" t="e">
        <f>FEMTL!#REF!</f>
        <v>#REF!</v>
      </c>
      <c r="D188" s="3" t="e">
        <f>FEMTL!#REF!</f>
        <v>#REF!</v>
      </c>
      <c r="E188" s="3" t="e">
        <f>FEMTL!#REF!</f>
        <v>#REF!</v>
      </c>
      <c r="F188" s="3" t="e">
        <f>FEMTL!#REF!</f>
        <v>#REF!</v>
      </c>
      <c r="G188" s="10" t="e">
        <f>FEMTL!#REF!</f>
        <v>#REF!</v>
      </c>
      <c r="H188" s="8" t="e">
        <f>FEMTL!#REF!</f>
        <v>#REF!</v>
      </c>
      <c r="I188" s="11" t="e">
        <f>FEMTL!#REF!</f>
        <v>#REF!</v>
      </c>
      <c r="J188" s="7" t="e">
        <f>FEMTL!#REF!</f>
        <v>#REF!</v>
      </c>
      <c r="K188" s="13" t="e">
        <f>FEMTL!#REF!</f>
        <v>#REF!</v>
      </c>
      <c r="L188" s="26" t="e">
        <f t="shared" si="11"/>
        <v>#REF!</v>
      </c>
      <c r="M188" s="26" t="e">
        <f t="shared" si="12"/>
        <v>#REF!</v>
      </c>
      <c r="N188" s="26" t="e">
        <f t="shared" si="13"/>
        <v>#REF!</v>
      </c>
      <c r="O188" s="26" t="e">
        <f t="shared" si="14"/>
        <v>#REF!</v>
      </c>
      <c r="P188" s="26" t="e">
        <f t="shared" si="10"/>
        <v>#REF!</v>
      </c>
    </row>
    <row r="189" spans="1:16" x14ac:dyDescent="0.25">
      <c r="A189" s="3">
        <f>FEMTL!A186</f>
        <v>0</v>
      </c>
      <c r="B189" s="3">
        <f>FEMTL!B186</f>
        <v>0</v>
      </c>
      <c r="C189" s="3">
        <f>FEMTL!C186</f>
        <v>0</v>
      </c>
      <c r="D189" s="3">
        <f>FEMTL!E186</f>
        <v>0</v>
      </c>
      <c r="E189" s="3">
        <f>FEMTL!F186</f>
        <v>0</v>
      </c>
      <c r="F189" s="3">
        <f>FEMTL!G186</f>
        <v>0</v>
      </c>
      <c r="G189" s="10">
        <f>FEMTL!H186</f>
        <v>0</v>
      </c>
      <c r="H189" s="8">
        <f>FEMTL!I186</f>
        <v>0</v>
      </c>
      <c r="I189" s="11">
        <f>FEMTL!J186</f>
        <v>0</v>
      </c>
      <c r="J189" s="7">
        <f>FEMTL!N186</f>
        <v>0</v>
      </c>
      <c r="K189" s="13">
        <f>FEMTL!O186</f>
        <v>0</v>
      </c>
      <c r="L189" s="26">
        <f t="shared" si="11"/>
        <v>0</v>
      </c>
      <c r="M189" s="26">
        <f t="shared" si="12"/>
        <v>0</v>
      </c>
      <c r="N189" s="26">
        <f t="shared" si="13"/>
        <v>0</v>
      </c>
      <c r="O189" s="26">
        <f t="shared" si="14"/>
        <v>0</v>
      </c>
      <c r="P189" s="26">
        <f t="shared" si="10"/>
        <v>0</v>
      </c>
    </row>
    <row r="190" spans="1:16" x14ac:dyDescent="0.25">
      <c r="A190" s="3" t="str">
        <f>FEMTL!A187</f>
        <v>Hjällstad</v>
      </c>
      <c r="B190" s="3" t="str">
        <f>FEMTL!B187</f>
        <v>3:93</v>
      </c>
      <c r="C190" s="3" t="str">
        <f>FEMTL!C187</f>
        <v>Jörgen Olsson</v>
      </c>
      <c r="D190" s="3">
        <f>FEMTL!E187</f>
        <v>0</v>
      </c>
      <c r="E190" s="3">
        <f>FEMTL!F187</f>
        <v>0</v>
      </c>
      <c r="F190" s="3">
        <f>FEMTL!G187</f>
        <v>0</v>
      </c>
      <c r="G190" s="10">
        <f>FEMTL!H187</f>
        <v>0</v>
      </c>
      <c r="H190" s="8">
        <f>FEMTL!I187</f>
        <v>19.03</v>
      </c>
      <c r="I190" s="11">
        <f>FEMTL!J187</f>
        <v>9.1300000000000008</v>
      </c>
      <c r="J190" s="7">
        <f>FEMTL!N187</f>
        <v>9.9</v>
      </c>
      <c r="K190" s="13">
        <f>FEMTL!O187</f>
        <v>10</v>
      </c>
      <c r="L190" s="26">
        <f t="shared" si="11"/>
        <v>1</v>
      </c>
      <c r="M190" s="26">
        <f t="shared" si="12"/>
        <v>1</v>
      </c>
      <c r="N190" s="26">
        <f t="shared" si="13"/>
        <v>1</v>
      </c>
      <c r="O190" s="26">
        <f t="shared" si="14"/>
        <v>1</v>
      </c>
      <c r="P190" s="26">
        <f t="shared" si="10"/>
        <v>1</v>
      </c>
    </row>
    <row r="191" spans="1:16" x14ac:dyDescent="0.25">
      <c r="A191" s="3">
        <f>FEMTL!A188</f>
        <v>0</v>
      </c>
      <c r="B191" s="3">
        <f>FEMTL!B188</f>
        <v>0</v>
      </c>
      <c r="C191" s="3">
        <f>FEMTL!C188</f>
        <v>0</v>
      </c>
      <c r="D191" s="3">
        <f>FEMTL!E188</f>
        <v>0</v>
      </c>
      <c r="E191" s="3">
        <f>FEMTL!F188</f>
        <v>0</v>
      </c>
      <c r="F191" s="3">
        <f>FEMTL!G188</f>
        <v>0</v>
      </c>
      <c r="G191" s="10">
        <f>FEMTL!H188</f>
        <v>0</v>
      </c>
      <c r="H191" s="8">
        <f>FEMTL!I188</f>
        <v>0</v>
      </c>
      <c r="I191" s="11">
        <f>FEMTL!J188</f>
        <v>0</v>
      </c>
      <c r="J191" s="7">
        <f>FEMTL!N188</f>
        <v>0</v>
      </c>
      <c r="K191" s="13">
        <f>FEMTL!O188</f>
        <v>0</v>
      </c>
      <c r="L191" s="26">
        <f t="shared" ref="L191:L226" si="15">ROUNDUP((K191/100),0)</f>
        <v>0</v>
      </c>
      <c r="M191" s="26">
        <f t="shared" ref="M191:M226" si="16">ROUNDUP((K191/90),0)</f>
        <v>0</v>
      </c>
      <c r="N191" s="26">
        <f t="shared" ref="N191:N226" si="17">ROUNDUP((K191/80),0)</f>
        <v>0</v>
      </c>
      <c r="O191" s="26">
        <f t="shared" ref="O191:O226" si="18">ROUNDUP((K191/75),0)</f>
        <v>0</v>
      </c>
      <c r="P191" s="26">
        <f t="shared" si="10"/>
        <v>0</v>
      </c>
    </row>
    <row r="192" spans="1:16" x14ac:dyDescent="0.25">
      <c r="A192" s="3" t="str">
        <f>FEMTL!A189</f>
        <v>Hjällstad</v>
      </c>
      <c r="B192" s="3" t="str">
        <f>FEMTL!B189</f>
        <v>3:106</v>
      </c>
      <c r="C192" s="3" t="str">
        <f>FEMTL!C189</f>
        <v>Per Erik Törnqvist</v>
      </c>
      <c r="D192" s="3" t="str">
        <f>FEMTL!E189</f>
        <v>Vestby 4</v>
      </c>
      <c r="E192" s="3" t="str">
        <f>FEMTL!F189</f>
        <v>680 63</v>
      </c>
      <c r="F192" s="3" t="str">
        <f>FEMTL!G189</f>
        <v>Likenäs</v>
      </c>
      <c r="G192" s="10">
        <f>FEMTL!H189</f>
        <v>0</v>
      </c>
      <c r="H192" s="8">
        <f>FEMTL!I189</f>
        <v>215.51</v>
      </c>
      <c r="I192" s="11">
        <f>FEMTL!J189</f>
        <v>202</v>
      </c>
      <c r="J192" s="7">
        <f>FEMTL!N189</f>
        <v>13.509999999999991</v>
      </c>
      <c r="K192" s="13">
        <f>FEMTL!O189</f>
        <v>14</v>
      </c>
      <c r="L192" s="26">
        <f t="shared" si="15"/>
        <v>1</v>
      </c>
      <c r="M192" s="26">
        <f t="shared" si="16"/>
        <v>1</v>
      </c>
      <c r="N192" s="26">
        <f t="shared" si="17"/>
        <v>1</v>
      </c>
      <c r="O192" s="26">
        <f t="shared" si="18"/>
        <v>1</v>
      </c>
      <c r="P192" s="26">
        <f t="shared" ref="P192:P227" si="19">ROUNDUP((K192/25),0)</f>
        <v>1</v>
      </c>
    </row>
    <row r="193" spans="1:16" x14ac:dyDescent="0.25">
      <c r="A193" s="3">
        <f>FEMTL!A190</f>
        <v>0</v>
      </c>
      <c r="B193" s="3">
        <f>FEMTL!B190</f>
        <v>0</v>
      </c>
      <c r="C193" s="3">
        <f>FEMTL!C190</f>
        <v>0</v>
      </c>
      <c r="D193" s="3">
        <f>FEMTL!E190</f>
        <v>0</v>
      </c>
      <c r="E193" s="3">
        <f>FEMTL!F190</f>
        <v>0</v>
      </c>
      <c r="F193" s="3">
        <f>FEMTL!G190</f>
        <v>0</v>
      </c>
      <c r="G193" s="10">
        <f>FEMTL!H190</f>
        <v>0</v>
      </c>
      <c r="H193" s="8">
        <f>FEMTL!I190</f>
        <v>0</v>
      </c>
      <c r="I193" s="11">
        <f>FEMTL!J190</f>
        <v>0</v>
      </c>
      <c r="J193" s="7">
        <f>FEMTL!N190</f>
        <v>0</v>
      </c>
      <c r="K193" s="13">
        <f>FEMTL!O190</f>
        <v>0</v>
      </c>
      <c r="L193" s="26">
        <f t="shared" si="15"/>
        <v>0</v>
      </c>
      <c r="M193" s="26">
        <f t="shared" si="16"/>
        <v>0</v>
      </c>
      <c r="N193" s="26">
        <f t="shared" si="17"/>
        <v>0</v>
      </c>
      <c r="O193" s="26">
        <f t="shared" si="18"/>
        <v>0</v>
      </c>
      <c r="P193" s="26">
        <f t="shared" si="19"/>
        <v>0</v>
      </c>
    </row>
    <row r="194" spans="1:16" x14ac:dyDescent="0.25">
      <c r="A194" s="3" t="str">
        <f>FEMTL!A191</f>
        <v>Kattstjärten</v>
      </c>
      <c r="B194" s="3" t="str">
        <f>FEMTL!B191</f>
        <v>1:8</v>
      </c>
      <c r="C194" s="3" t="str">
        <f>FEMTL!C191</f>
        <v>Kjell Olov Ingemar Persson</v>
      </c>
      <c r="D194" s="3" t="str">
        <f>FEMTL!E191</f>
        <v>Sankt Eriksgatan 92</v>
      </c>
      <c r="E194" s="3" t="str">
        <f>FEMTL!F191</f>
        <v>113 62</v>
      </c>
      <c r="F194" s="3" t="str">
        <f>FEMTL!G191</f>
        <v>Stockholm</v>
      </c>
      <c r="G194" s="10">
        <f>FEMTL!H191</f>
        <v>0</v>
      </c>
      <c r="H194" s="8">
        <f>FEMTL!I191</f>
        <v>80.319999999999993</v>
      </c>
      <c r="I194" s="11">
        <f>FEMTL!J191</f>
        <v>0</v>
      </c>
      <c r="J194" s="7">
        <f>FEMTL!N191</f>
        <v>80.319999999999993</v>
      </c>
      <c r="K194" s="13">
        <f>FEMTL!O191</f>
        <v>81</v>
      </c>
      <c r="L194" s="26">
        <f t="shared" si="15"/>
        <v>1</v>
      </c>
      <c r="M194" s="26">
        <f t="shared" si="16"/>
        <v>1</v>
      </c>
      <c r="N194" s="26">
        <f t="shared" si="17"/>
        <v>2</v>
      </c>
      <c r="O194" s="26">
        <f t="shared" si="18"/>
        <v>2</v>
      </c>
      <c r="P194" s="26">
        <f t="shared" si="19"/>
        <v>4</v>
      </c>
    </row>
    <row r="195" spans="1:16" x14ac:dyDescent="0.25">
      <c r="A195" s="3">
        <f>FEMTL!A192</f>
        <v>0</v>
      </c>
      <c r="B195" s="3">
        <f>FEMTL!B192</f>
        <v>0</v>
      </c>
      <c r="C195" s="3">
        <f>FEMTL!C192</f>
        <v>0</v>
      </c>
      <c r="D195" s="3">
        <f>FEMTL!E192</f>
        <v>0</v>
      </c>
      <c r="E195" s="3">
        <f>FEMTL!F192</f>
        <v>0</v>
      </c>
      <c r="F195" s="3">
        <f>FEMTL!G192</f>
        <v>0</v>
      </c>
      <c r="G195" s="10">
        <f>FEMTL!H192</f>
        <v>0</v>
      </c>
      <c r="H195" s="8">
        <f>FEMTL!I192</f>
        <v>0</v>
      </c>
      <c r="I195" s="11">
        <f>FEMTL!J192</f>
        <v>0</v>
      </c>
      <c r="J195" s="7">
        <f>FEMTL!N192</f>
        <v>0</v>
      </c>
      <c r="K195" s="13">
        <f>FEMTL!O192</f>
        <v>0</v>
      </c>
      <c r="L195" s="26">
        <f t="shared" si="15"/>
        <v>0</v>
      </c>
      <c r="M195" s="26">
        <f t="shared" si="16"/>
        <v>0</v>
      </c>
      <c r="N195" s="26">
        <f t="shared" si="17"/>
        <v>0</v>
      </c>
      <c r="O195" s="26">
        <f t="shared" si="18"/>
        <v>0</v>
      </c>
      <c r="P195" s="26">
        <f t="shared" si="19"/>
        <v>0</v>
      </c>
    </row>
    <row r="196" spans="1:16" x14ac:dyDescent="0.25">
      <c r="A196" s="3" t="str">
        <f>FEMTL!A193</f>
        <v>Kattstjärten</v>
      </c>
      <c r="B196" s="3" t="str">
        <f>FEMTL!B193</f>
        <v>1:9</v>
      </c>
      <c r="C196" s="3" t="str">
        <f>FEMTL!C193</f>
        <v>Anna Carin Persson</v>
      </c>
      <c r="D196" s="3" t="str">
        <f>FEMTL!E193</f>
        <v>Mörbacka 9</v>
      </c>
      <c r="E196" s="3" t="str">
        <f>FEMTL!F193</f>
        <v>680 63</v>
      </c>
      <c r="F196" s="3" t="str">
        <f>FEMTL!G193</f>
        <v>Likenäs</v>
      </c>
      <c r="G196" s="10">
        <f>FEMTL!H193</f>
        <v>0</v>
      </c>
      <c r="H196" s="8">
        <f>FEMTL!I193</f>
        <v>64.52</v>
      </c>
      <c r="I196" s="11">
        <f>FEMTL!J193</f>
        <v>0</v>
      </c>
      <c r="J196" s="7">
        <f>FEMTL!N193</f>
        <v>64.52</v>
      </c>
      <c r="K196" s="13">
        <f>FEMTL!O193</f>
        <v>65</v>
      </c>
      <c r="L196" s="26">
        <f t="shared" si="15"/>
        <v>1</v>
      </c>
      <c r="M196" s="26">
        <f t="shared" si="16"/>
        <v>1</v>
      </c>
      <c r="N196" s="26">
        <f t="shared" si="17"/>
        <v>1</v>
      </c>
      <c r="O196" s="26">
        <f t="shared" si="18"/>
        <v>1</v>
      </c>
      <c r="P196" s="26">
        <f t="shared" si="19"/>
        <v>3</v>
      </c>
    </row>
    <row r="197" spans="1:16" x14ac:dyDescent="0.25">
      <c r="A197" s="3">
        <f>FEMTL!A194</f>
        <v>0</v>
      </c>
      <c r="B197" s="3">
        <f>FEMTL!B194</f>
        <v>0</v>
      </c>
      <c r="C197" s="3" t="str">
        <f>FEMTL!C194</f>
        <v>Per Olov Persson</v>
      </c>
      <c r="D197" s="3" t="str">
        <f>FEMTL!E194</f>
        <v>Rekylgatan 13 II</v>
      </c>
      <c r="E197" s="3" t="str">
        <f>FEMTL!F194</f>
        <v>723 38</v>
      </c>
      <c r="F197" s="3" t="str">
        <f>FEMTL!G194</f>
        <v>Västerås</v>
      </c>
      <c r="G197" s="10">
        <f>FEMTL!H194</f>
        <v>0</v>
      </c>
      <c r="H197" s="8">
        <f>FEMTL!I194</f>
        <v>0</v>
      </c>
      <c r="I197" s="11">
        <f>FEMTL!J194</f>
        <v>0</v>
      </c>
      <c r="J197" s="7">
        <f>FEMTL!N194</f>
        <v>0</v>
      </c>
      <c r="K197" s="13">
        <f>FEMTL!O194</f>
        <v>0</v>
      </c>
      <c r="L197" s="26">
        <f t="shared" si="15"/>
        <v>0</v>
      </c>
      <c r="M197" s="26">
        <f t="shared" si="16"/>
        <v>0</v>
      </c>
      <c r="N197" s="26">
        <f t="shared" si="17"/>
        <v>0</v>
      </c>
      <c r="O197" s="26">
        <f t="shared" si="18"/>
        <v>0</v>
      </c>
      <c r="P197" s="26">
        <f t="shared" si="19"/>
        <v>0</v>
      </c>
    </row>
    <row r="198" spans="1:16" x14ac:dyDescent="0.25">
      <c r="A198" s="3">
        <f>FEMTL!A195</f>
        <v>0</v>
      </c>
      <c r="B198" s="3">
        <f>FEMTL!B195</f>
        <v>0</v>
      </c>
      <c r="C198" s="3" t="str">
        <f>FEMTL!C195</f>
        <v>Kerstin Persson dbo</v>
      </c>
      <c r="D198" s="3" t="str">
        <f>FEMTL!E195</f>
        <v>Mörbacka 9</v>
      </c>
      <c r="E198" s="3" t="str">
        <f>FEMTL!F195</f>
        <v>680 63</v>
      </c>
      <c r="F198" s="3" t="str">
        <f>FEMTL!G195</f>
        <v>Likenäs</v>
      </c>
      <c r="G198" s="10">
        <f>FEMTL!H195</f>
        <v>0</v>
      </c>
      <c r="H198" s="8">
        <f>FEMTL!I195</f>
        <v>0</v>
      </c>
      <c r="I198" s="11">
        <f>FEMTL!J195</f>
        <v>0</v>
      </c>
      <c r="J198" s="7">
        <f>FEMTL!N195</f>
        <v>0</v>
      </c>
      <c r="K198" s="13">
        <f>FEMTL!O195</f>
        <v>0</v>
      </c>
      <c r="L198" s="26">
        <f t="shared" si="15"/>
        <v>0</v>
      </c>
      <c r="M198" s="26">
        <f t="shared" si="16"/>
        <v>0</v>
      </c>
      <c r="N198" s="26">
        <f t="shared" si="17"/>
        <v>0</v>
      </c>
      <c r="O198" s="26">
        <f t="shared" si="18"/>
        <v>0</v>
      </c>
      <c r="P198" s="26">
        <f t="shared" si="19"/>
        <v>0</v>
      </c>
    </row>
    <row r="199" spans="1:16" x14ac:dyDescent="0.25">
      <c r="A199" s="3">
        <f>FEMTL!A198</f>
        <v>0</v>
      </c>
      <c r="B199" s="3">
        <f>FEMTL!B198</f>
        <v>0</v>
      </c>
      <c r="C199" s="3">
        <f>FEMTL!C198</f>
        <v>0</v>
      </c>
      <c r="D199" s="3">
        <f>FEMTL!E198</f>
        <v>0</v>
      </c>
      <c r="E199" s="3">
        <f>FEMTL!F198</f>
        <v>0</v>
      </c>
      <c r="F199" s="3">
        <f>FEMTL!G198</f>
        <v>0</v>
      </c>
      <c r="G199" s="10">
        <f>FEMTL!H198</f>
        <v>0</v>
      </c>
      <c r="H199" s="8">
        <f>FEMTL!I198</f>
        <v>0</v>
      </c>
      <c r="I199" s="11">
        <f>FEMTL!J198</f>
        <v>0</v>
      </c>
      <c r="J199" s="7">
        <f>FEMTL!N198</f>
        <v>0</v>
      </c>
      <c r="K199" s="13">
        <f>FEMTL!O198</f>
        <v>0</v>
      </c>
      <c r="L199" s="26">
        <f t="shared" si="15"/>
        <v>0</v>
      </c>
      <c r="M199" s="26">
        <f t="shared" si="16"/>
        <v>0</v>
      </c>
      <c r="N199" s="26">
        <f t="shared" si="17"/>
        <v>0</v>
      </c>
      <c r="O199" s="26">
        <f t="shared" si="18"/>
        <v>0</v>
      </c>
      <c r="P199" s="26">
        <f t="shared" si="19"/>
        <v>0</v>
      </c>
    </row>
    <row r="200" spans="1:16" x14ac:dyDescent="0.25">
      <c r="A200" s="3" t="str">
        <f>FEMTL!A197</f>
        <v xml:space="preserve">Kattstjärten </v>
      </c>
      <c r="B200" s="3" t="str">
        <f>FEMTL!B197</f>
        <v>1:10</v>
      </c>
      <c r="C200" s="3" t="str">
        <f>FEMTL!C197</f>
        <v>Maria&amp;Christer Tillberg</v>
      </c>
      <c r="D200" s="3" t="str">
        <f>FEMTL!E197</f>
        <v>Backa 3</v>
      </c>
      <c r="E200" s="3" t="str">
        <f>FEMTL!F197</f>
        <v>680 63</v>
      </c>
      <c r="F200" s="3" t="str">
        <f>FEMTL!G197</f>
        <v>Likenäs</v>
      </c>
      <c r="G200" s="10">
        <f>FEMTL!H197</f>
        <v>0</v>
      </c>
      <c r="H200" s="8">
        <f>FEMTL!I197</f>
        <v>67.709999999999994</v>
      </c>
      <c r="I200" s="11">
        <f>FEMTL!J197</f>
        <v>0</v>
      </c>
      <c r="J200" s="7">
        <f>FEMTL!N197</f>
        <v>0</v>
      </c>
      <c r="K200" s="13">
        <f>FEMTL!O197</f>
        <v>0</v>
      </c>
      <c r="L200" s="26">
        <f t="shared" si="15"/>
        <v>0</v>
      </c>
      <c r="M200" s="26">
        <f t="shared" si="16"/>
        <v>0</v>
      </c>
      <c r="N200" s="26">
        <f t="shared" si="17"/>
        <v>0</v>
      </c>
      <c r="O200" s="26">
        <f t="shared" si="18"/>
        <v>0</v>
      </c>
      <c r="P200" s="26">
        <f t="shared" si="19"/>
        <v>0</v>
      </c>
    </row>
    <row r="201" spans="1:16" x14ac:dyDescent="0.25">
      <c r="A201" s="3" t="e">
        <f>FEMTL!#REF!</f>
        <v>#REF!</v>
      </c>
      <c r="B201" s="3" t="e">
        <f>FEMTL!#REF!</f>
        <v>#REF!</v>
      </c>
      <c r="C201" s="3" t="e">
        <f>FEMTL!#REF!</f>
        <v>#REF!</v>
      </c>
      <c r="D201" s="3" t="e">
        <f>FEMTL!#REF!</f>
        <v>#REF!</v>
      </c>
      <c r="E201" s="3" t="e">
        <f>FEMTL!#REF!</f>
        <v>#REF!</v>
      </c>
      <c r="F201" s="3" t="e">
        <f>FEMTL!#REF!</f>
        <v>#REF!</v>
      </c>
      <c r="G201" s="10" t="e">
        <f>FEMTL!#REF!</f>
        <v>#REF!</v>
      </c>
      <c r="H201" s="8" t="e">
        <f>FEMTL!#REF!</f>
        <v>#REF!</v>
      </c>
      <c r="I201" s="11" t="e">
        <f>FEMTL!#REF!</f>
        <v>#REF!</v>
      </c>
      <c r="J201" s="7" t="e">
        <f>FEMTL!#REF!</f>
        <v>#REF!</v>
      </c>
      <c r="K201" s="13" t="e">
        <f>FEMTL!#REF!</f>
        <v>#REF!</v>
      </c>
      <c r="L201" s="26" t="e">
        <f t="shared" si="15"/>
        <v>#REF!</v>
      </c>
      <c r="M201" s="26" t="e">
        <f t="shared" si="16"/>
        <v>#REF!</v>
      </c>
      <c r="N201" s="26" t="e">
        <f t="shared" si="17"/>
        <v>#REF!</v>
      </c>
      <c r="O201" s="26" t="e">
        <f t="shared" si="18"/>
        <v>#REF!</v>
      </c>
      <c r="P201" s="26" t="e">
        <f t="shared" si="19"/>
        <v>#REF!</v>
      </c>
    </row>
    <row r="202" spans="1:16" x14ac:dyDescent="0.25">
      <c r="A202" s="3">
        <f>FEMTL!A199</f>
        <v>0</v>
      </c>
      <c r="B202" s="3">
        <f>FEMTL!B199</f>
        <v>0</v>
      </c>
      <c r="C202" s="3">
        <f>FEMTL!C199</f>
        <v>0</v>
      </c>
      <c r="D202" s="3">
        <f>FEMTL!E199</f>
        <v>0</v>
      </c>
      <c r="E202" s="3">
        <f>FEMTL!F199</f>
        <v>0</v>
      </c>
      <c r="F202" s="3">
        <f>FEMTL!G199</f>
        <v>0</v>
      </c>
      <c r="G202" s="10">
        <f>FEMTL!H199</f>
        <v>0</v>
      </c>
      <c r="H202" s="8">
        <f>FEMTL!I199</f>
        <v>0</v>
      </c>
      <c r="I202" s="11">
        <f>FEMTL!J199</f>
        <v>0</v>
      </c>
      <c r="J202" s="7">
        <f>FEMTL!N199</f>
        <v>0</v>
      </c>
      <c r="K202" s="13">
        <f>FEMTL!O199</f>
        <v>0</v>
      </c>
      <c r="L202" s="26">
        <f t="shared" si="15"/>
        <v>0</v>
      </c>
      <c r="M202" s="26">
        <f t="shared" si="16"/>
        <v>0</v>
      </c>
      <c r="N202" s="26">
        <f t="shared" si="17"/>
        <v>0</v>
      </c>
      <c r="O202" s="26">
        <f t="shared" si="18"/>
        <v>0</v>
      </c>
      <c r="P202" s="26">
        <f t="shared" si="19"/>
        <v>0</v>
      </c>
    </row>
    <row r="203" spans="1:16" x14ac:dyDescent="0.25">
      <c r="A203" s="3" t="str">
        <f>FEMTL!A200</f>
        <v>Kattstjärten</v>
      </c>
      <c r="B203" s="3" t="str">
        <f>FEMTL!B200</f>
        <v>1:19</v>
      </c>
      <c r="C203" s="3" t="str">
        <f>FEMTL!C200</f>
        <v>Börje Olsson</v>
      </c>
      <c r="D203" s="3" t="str">
        <f>FEMTL!E200</f>
        <v>Sjöbacken 32</v>
      </c>
      <c r="E203" s="3" t="str">
        <f>FEMTL!F200</f>
        <v>165 65</v>
      </c>
      <c r="F203" s="3" t="str">
        <f>FEMTL!G200</f>
        <v>Hässelby</v>
      </c>
      <c r="G203" s="10">
        <f>FEMTL!H200</f>
        <v>33.44</v>
      </c>
      <c r="H203" s="8">
        <f>FEMTL!I200</f>
        <v>41.209999999999994</v>
      </c>
      <c r="I203" s="11">
        <f>FEMTL!J200</f>
        <v>0</v>
      </c>
      <c r="J203" s="7">
        <f>FEMTL!N200</f>
        <v>41.209999999999994</v>
      </c>
      <c r="K203" s="13">
        <f>FEMTL!O200</f>
        <v>42</v>
      </c>
      <c r="L203" s="26">
        <f t="shared" si="15"/>
        <v>1</v>
      </c>
      <c r="M203" s="26">
        <f t="shared" si="16"/>
        <v>1</v>
      </c>
      <c r="N203" s="26">
        <f t="shared" si="17"/>
        <v>1</v>
      </c>
      <c r="O203" s="26">
        <f t="shared" si="18"/>
        <v>1</v>
      </c>
      <c r="P203" s="26">
        <f t="shared" si="19"/>
        <v>2</v>
      </c>
    </row>
    <row r="204" spans="1:16" x14ac:dyDescent="0.25">
      <c r="A204" s="3">
        <f>FEMTL!A201</f>
        <v>0</v>
      </c>
      <c r="B204" s="3" t="str">
        <f>FEMTL!B201</f>
        <v>1:21</v>
      </c>
      <c r="C204" s="3" t="str">
        <f>FEMTL!C201</f>
        <v>Åke Olsson dbo</v>
      </c>
      <c r="D204" s="3" t="str">
        <f>FEMTL!E201</f>
        <v>Månäs</v>
      </c>
      <c r="E204" s="3" t="str">
        <f>FEMTL!F201</f>
        <v>680 52</v>
      </c>
      <c r="F204" s="3" t="str">
        <f>FEMTL!G201</f>
        <v>Ambjörby</v>
      </c>
      <c r="G204" s="10">
        <f>FEMTL!H201</f>
        <v>7.77</v>
      </c>
      <c r="H204" s="8">
        <f>FEMTL!I201</f>
        <v>0</v>
      </c>
      <c r="I204" s="11">
        <f>FEMTL!J201</f>
        <v>0</v>
      </c>
      <c r="J204" s="7">
        <f>FEMTL!N201</f>
        <v>0</v>
      </c>
      <c r="K204" s="13">
        <f>FEMTL!O201</f>
        <v>0</v>
      </c>
      <c r="L204" s="26">
        <f t="shared" si="15"/>
        <v>0</v>
      </c>
      <c r="M204" s="26">
        <f t="shared" si="16"/>
        <v>0</v>
      </c>
      <c r="N204" s="26">
        <f t="shared" si="17"/>
        <v>0</v>
      </c>
      <c r="O204" s="26">
        <f t="shared" si="18"/>
        <v>0</v>
      </c>
      <c r="P204" s="26">
        <f t="shared" si="19"/>
        <v>0</v>
      </c>
    </row>
    <row r="205" spans="1:16" x14ac:dyDescent="0.25">
      <c r="A205" s="3">
        <f>FEMTL!A202</f>
        <v>0</v>
      </c>
      <c r="B205" s="3">
        <f>FEMTL!B202</f>
        <v>0</v>
      </c>
      <c r="C205" s="3" t="str">
        <f>FEMTL!C202</f>
        <v>Håkan Olsson</v>
      </c>
      <c r="D205" s="3" t="str">
        <f>FEMTL!E202</f>
        <v>V:a Månäs 18</v>
      </c>
      <c r="E205" s="3" t="str">
        <f>FEMTL!F202</f>
        <v>680 52</v>
      </c>
      <c r="F205" s="3" t="str">
        <f>FEMTL!G202</f>
        <v>Ambjörby</v>
      </c>
      <c r="G205" s="10">
        <f>FEMTL!H202</f>
        <v>0</v>
      </c>
      <c r="H205" s="8">
        <f>FEMTL!I202</f>
        <v>0</v>
      </c>
      <c r="I205" s="11">
        <f>FEMTL!J202</f>
        <v>0</v>
      </c>
      <c r="J205" s="7">
        <f>FEMTL!N202</f>
        <v>0</v>
      </c>
      <c r="K205" s="13">
        <f>FEMTL!O202</f>
        <v>0</v>
      </c>
      <c r="L205" s="26">
        <f t="shared" si="15"/>
        <v>0</v>
      </c>
      <c r="M205" s="26">
        <f t="shared" si="16"/>
        <v>0</v>
      </c>
      <c r="N205" s="26">
        <f t="shared" si="17"/>
        <v>0</v>
      </c>
      <c r="O205" s="26">
        <f t="shared" si="18"/>
        <v>0</v>
      </c>
      <c r="P205" s="26">
        <f t="shared" si="19"/>
        <v>0</v>
      </c>
    </row>
    <row r="206" spans="1:16" x14ac:dyDescent="0.25">
      <c r="A206" s="3">
        <f>FEMTL!A203</f>
        <v>0</v>
      </c>
      <c r="B206" s="3">
        <f>FEMTL!B203</f>
        <v>0</v>
      </c>
      <c r="C206" s="3">
        <f>FEMTL!C203</f>
        <v>0</v>
      </c>
      <c r="D206" s="3">
        <f>FEMTL!E203</f>
        <v>0</v>
      </c>
      <c r="E206" s="3">
        <f>FEMTL!F203</f>
        <v>0</v>
      </c>
      <c r="F206" s="3">
        <f>FEMTL!G203</f>
        <v>0</v>
      </c>
      <c r="G206" s="10">
        <f>FEMTL!H203</f>
        <v>0</v>
      </c>
      <c r="H206" s="8">
        <f>FEMTL!I203</f>
        <v>0</v>
      </c>
      <c r="I206" s="11">
        <f>FEMTL!J203</f>
        <v>0</v>
      </c>
      <c r="J206" s="7">
        <f>FEMTL!N203</f>
        <v>0</v>
      </c>
      <c r="K206" s="13">
        <f>FEMTL!O203</f>
        <v>0</v>
      </c>
      <c r="L206" s="26">
        <f t="shared" si="15"/>
        <v>0</v>
      </c>
      <c r="M206" s="26">
        <f t="shared" si="16"/>
        <v>0</v>
      </c>
      <c r="N206" s="26">
        <f t="shared" si="17"/>
        <v>0</v>
      </c>
      <c r="O206" s="26">
        <f t="shared" si="18"/>
        <v>0</v>
      </c>
      <c r="P206" s="26">
        <f t="shared" si="19"/>
        <v>0</v>
      </c>
    </row>
    <row r="207" spans="1:16" x14ac:dyDescent="0.25">
      <c r="A207" s="3" t="str">
        <f>FEMTL!A204</f>
        <v>Kattstjärten</v>
      </c>
      <c r="B207" s="3" t="str">
        <f>FEMTL!B204</f>
        <v>1:23</v>
      </c>
      <c r="C207" s="3" t="str">
        <f>FEMTL!C204</f>
        <v>Gunnar Olsson</v>
      </c>
      <c r="D207" s="3" t="str">
        <f>FEMTL!E204</f>
        <v>Tunbergsv. 22</v>
      </c>
      <c r="E207" s="3" t="str">
        <f>FEMTL!F204</f>
        <v>752 38</v>
      </c>
      <c r="F207" s="3" t="str">
        <f>FEMTL!G204</f>
        <v>Uppsala</v>
      </c>
      <c r="G207" s="10">
        <f>FEMTL!H204</f>
        <v>0</v>
      </c>
      <c r="H207" s="8">
        <f>FEMTL!I204</f>
        <v>215.3</v>
      </c>
      <c r="I207" s="11">
        <f>FEMTL!J204</f>
        <v>0</v>
      </c>
      <c r="J207" s="7">
        <f>FEMTL!N204</f>
        <v>215.3</v>
      </c>
      <c r="K207" s="13">
        <f>FEMTL!O204</f>
        <v>216</v>
      </c>
      <c r="L207" s="26">
        <f t="shared" si="15"/>
        <v>3</v>
      </c>
      <c r="M207" s="26">
        <f t="shared" si="16"/>
        <v>3</v>
      </c>
      <c r="N207" s="26">
        <f t="shared" si="17"/>
        <v>3</v>
      </c>
      <c r="O207" s="26">
        <f t="shared" si="18"/>
        <v>3</v>
      </c>
      <c r="P207" s="26">
        <f t="shared" si="19"/>
        <v>9</v>
      </c>
    </row>
    <row r="208" spans="1:16" x14ac:dyDescent="0.25">
      <c r="A208" s="3">
        <f>FEMTL!A205</f>
        <v>0</v>
      </c>
      <c r="B208" s="3">
        <f>FEMTL!B205</f>
        <v>0</v>
      </c>
      <c r="C208" s="3">
        <f>FEMTL!C205</f>
        <v>0</v>
      </c>
      <c r="D208" s="3">
        <f>FEMTL!E205</f>
        <v>0</v>
      </c>
      <c r="E208" s="3">
        <f>FEMTL!F205</f>
        <v>0</v>
      </c>
      <c r="F208" s="3">
        <f>FEMTL!G205</f>
        <v>0</v>
      </c>
      <c r="G208" s="10">
        <f>FEMTL!H205</f>
        <v>0</v>
      </c>
      <c r="H208" s="8">
        <f>FEMTL!I205</f>
        <v>0</v>
      </c>
      <c r="I208" s="11">
        <f>FEMTL!J205</f>
        <v>0</v>
      </c>
      <c r="J208" s="7">
        <f>FEMTL!N205</f>
        <v>0</v>
      </c>
      <c r="K208" s="13">
        <f>FEMTL!O205</f>
        <v>0</v>
      </c>
      <c r="L208" s="26">
        <f t="shared" si="15"/>
        <v>0</v>
      </c>
      <c r="M208" s="26">
        <f t="shared" si="16"/>
        <v>0</v>
      </c>
      <c r="N208" s="26">
        <f t="shared" si="17"/>
        <v>0</v>
      </c>
      <c r="O208" s="26">
        <f t="shared" si="18"/>
        <v>0</v>
      </c>
      <c r="P208" s="26">
        <f t="shared" si="19"/>
        <v>0</v>
      </c>
    </row>
    <row r="209" spans="1:16" x14ac:dyDescent="0.25">
      <c r="A209" s="3" t="e">
        <f>FEMTL!#REF!</f>
        <v>#REF!</v>
      </c>
      <c r="B209" s="3" t="e">
        <f>FEMTL!#REF!</f>
        <v>#REF!</v>
      </c>
      <c r="C209" s="3" t="e">
        <f>FEMTL!#REF!</f>
        <v>#REF!</v>
      </c>
      <c r="D209" s="3" t="e">
        <f>FEMTL!#REF!</f>
        <v>#REF!</v>
      </c>
      <c r="E209" s="3" t="e">
        <f>FEMTL!#REF!</f>
        <v>#REF!</v>
      </c>
      <c r="F209" s="3" t="e">
        <f>FEMTL!#REF!</f>
        <v>#REF!</v>
      </c>
      <c r="G209" s="10" t="e">
        <f>FEMTL!#REF!</f>
        <v>#REF!</v>
      </c>
      <c r="H209" s="8" t="e">
        <f>FEMTL!#REF!</f>
        <v>#REF!</v>
      </c>
      <c r="I209" s="11" t="e">
        <f>FEMTL!#REF!</f>
        <v>#REF!</v>
      </c>
      <c r="J209" s="7" t="e">
        <f>FEMTL!#REF!</f>
        <v>#REF!</v>
      </c>
      <c r="K209" s="13" t="e">
        <f>FEMTL!#REF!</f>
        <v>#REF!</v>
      </c>
      <c r="L209" s="26" t="e">
        <f t="shared" si="15"/>
        <v>#REF!</v>
      </c>
      <c r="M209" s="26" t="e">
        <f t="shared" si="16"/>
        <v>#REF!</v>
      </c>
      <c r="N209" s="26" t="e">
        <f t="shared" si="17"/>
        <v>#REF!</v>
      </c>
      <c r="O209" s="26" t="e">
        <f t="shared" si="18"/>
        <v>#REF!</v>
      </c>
      <c r="P209" s="26" t="e">
        <f t="shared" si="19"/>
        <v>#REF!</v>
      </c>
    </row>
    <row r="210" spans="1:16" x14ac:dyDescent="0.25">
      <c r="A210" s="3">
        <f>FEMTL!A206</f>
        <v>0</v>
      </c>
      <c r="B210" s="3">
        <f>FEMTL!B206</f>
        <v>0</v>
      </c>
      <c r="C210" s="3">
        <f>FEMTL!C206</f>
        <v>0</v>
      </c>
      <c r="D210" s="3">
        <f>FEMTL!E206</f>
        <v>0</v>
      </c>
      <c r="E210" s="3">
        <f>FEMTL!F206</f>
        <v>0</v>
      </c>
      <c r="F210" s="3">
        <f>FEMTL!G206</f>
        <v>0</v>
      </c>
      <c r="G210" s="10">
        <f>FEMTL!H206</f>
        <v>0</v>
      </c>
      <c r="H210" s="8">
        <f>FEMTL!I206</f>
        <v>0</v>
      </c>
      <c r="I210" s="11">
        <f>FEMTL!J206</f>
        <v>0</v>
      </c>
      <c r="J210" s="7">
        <f>FEMTL!N206</f>
        <v>0</v>
      </c>
      <c r="K210" s="13">
        <f>FEMTL!O206</f>
        <v>0</v>
      </c>
      <c r="L210" s="26">
        <f t="shared" si="15"/>
        <v>0</v>
      </c>
      <c r="M210" s="26">
        <f t="shared" si="16"/>
        <v>0</v>
      </c>
      <c r="N210" s="26">
        <f t="shared" si="17"/>
        <v>0</v>
      </c>
      <c r="O210" s="26">
        <f t="shared" si="18"/>
        <v>0</v>
      </c>
      <c r="P210" s="26">
        <f t="shared" si="19"/>
        <v>0</v>
      </c>
    </row>
    <row r="211" spans="1:16" x14ac:dyDescent="0.25">
      <c r="A211" s="3" t="str">
        <f>FEMTL!A207</f>
        <v>Kattstjärten</v>
      </c>
      <c r="B211" s="3" t="str">
        <f>FEMTL!B207</f>
        <v>1:30</v>
      </c>
      <c r="C211" s="3" t="str">
        <f>FEMTL!C207</f>
        <v>Allan</v>
      </c>
      <c r="D211" s="3" t="str">
        <f>FEMTL!E207</f>
        <v>Ramsdal</v>
      </c>
      <c r="E211" s="3">
        <f>FEMTL!F207</f>
        <v>0</v>
      </c>
      <c r="F211" s="3">
        <f>FEMTL!G207</f>
        <v>0</v>
      </c>
      <c r="G211" s="10">
        <f>FEMTL!H207</f>
        <v>0</v>
      </c>
      <c r="H211" s="8">
        <f>FEMTL!I207</f>
        <v>2.83</v>
      </c>
      <c r="I211" s="11">
        <f>FEMTL!J207</f>
        <v>0</v>
      </c>
      <c r="J211" s="7">
        <f>FEMTL!N207</f>
        <v>2.83</v>
      </c>
      <c r="K211" s="13">
        <f>FEMTL!O207</f>
        <v>3</v>
      </c>
      <c r="L211" s="26">
        <f t="shared" si="15"/>
        <v>1</v>
      </c>
      <c r="M211" s="26">
        <f t="shared" si="16"/>
        <v>1</v>
      </c>
      <c r="N211" s="26">
        <f t="shared" si="17"/>
        <v>1</v>
      </c>
      <c r="O211" s="26">
        <f t="shared" si="18"/>
        <v>1</v>
      </c>
      <c r="P211" s="26">
        <f t="shared" si="19"/>
        <v>1</v>
      </c>
    </row>
    <row r="212" spans="1:16" x14ac:dyDescent="0.25">
      <c r="A212" s="3">
        <f>FEMTL!A208</f>
        <v>0</v>
      </c>
      <c r="B212" s="3">
        <f>FEMTL!B208</f>
        <v>0</v>
      </c>
      <c r="C212" s="3">
        <f>FEMTL!C208</f>
        <v>0</v>
      </c>
      <c r="D212" s="3">
        <f>FEMTL!E208</f>
        <v>0</v>
      </c>
      <c r="E212" s="3">
        <f>FEMTL!F208</f>
        <v>0</v>
      </c>
      <c r="F212" s="3">
        <f>FEMTL!G208</f>
        <v>0</v>
      </c>
      <c r="G212" s="10">
        <f>FEMTL!H208</f>
        <v>0</v>
      </c>
      <c r="H212" s="8">
        <f>FEMTL!I208</f>
        <v>0</v>
      </c>
      <c r="I212" s="11">
        <f>FEMTL!J208</f>
        <v>0</v>
      </c>
      <c r="J212" s="7">
        <f>FEMTL!N208</f>
        <v>0</v>
      </c>
      <c r="K212" s="13">
        <f>FEMTL!O208</f>
        <v>0</v>
      </c>
      <c r="L212" s="26">
        <f t="shared" si="15"/>
        <v>0</v>
      </c>
      <c r="M212" s="26">
        <f t="shared" si="16"/>
        <v>0</v>
      </c>
      <c r="N212" s="26">
        <f t="shared" si="17"/>
        <v>0</v>
      </c>
      <c r="O212" s="26">
        <f t="shared" si="18"/>
        <v>0</v>
      </c>
      <c r="P212" s="26">
        <f t="shared" si="19"/>
        <v>0</v>
      </c>
    </row>
    <row r="213" spans="1:16" x14ac:dyDescent="0.25">
      <c r="A213" s="3" t="str">
        <f>FEMTL!A209</f>
        <v>Skinnerud</v>
      </c>
      <c r="B213" s="3" t="str">
        <f>FEMTL!B209</f>
        <v>1:22</v>
      </c>
      <c r="C213" s="3" t="str">
        <f>FEMTL!C209</f>
        <v>Per-Olof Myrin</v>
      </c>
      <c r="D213" s="3" t="str">
        <f>FEMTL!E209</f>
        <v>Johannesonsgatan 51</v>
      </c>
      <c r="E213" s="3" t="str">
        <f>FEMTL!F209</f>
        <v>652 19</v>
      </c>
      <c r="F213" s="3" t="str">
        <f>FEMTL!G209</f>
        <v>Karlstad</v>
      </c>
      <c r="G213" s="10">
        <f>FEMTL!H209</f>
        <v>0</v>
      </c>
      <c r="H213" s="8">
        <f>FEMTL!I209</f>
        <v>32.32</v>
      </c>
      <c r="I213" s="11">
        <f>FEMTL!J209</f>
        <v>0</v>
      </c>
      <c r="J213" s="7">
        <f>FEMTL!N209</f>
        <v>32.32</v>
      </c>
      <c r="K213" s="13">
        <f>FEMTL!O209</f>
        <v>33</v>
      </c>
      <c r="L213" s="26">
        <f t="shared" si="15"/>
        <v>1</v>
      </c>
      <c r="M213" s="26">
        <f t="shared" si="16"/>
        <v>1</v>
      </c>
      <c r="N213" s="26">
        <f t="shared" si="17"/>
        <v>1</v>
      </c>
      <c r="O213" s="26">
        <f t="shared" si="18"/>
        <v>1</v>
      </c>
      <c r="P213" s="26">
        <f t="shared" si="19"/>
        <v>2</v>
      </c>
    </row>
    <row r="214" spans="1:16" x14ac:dyDescent="0.25">
      <c r="A214" s="3">
        <f>FEMTL!A210</f>
        <v>0</v>
      </c>
      <c r="B214" s="3">
        <f>FEMTL!B210</f>
        <v>0</v>
      </c>
      <c r="C214" s="3">
        <f>FEMTL!C210</f>
        <v>0</v>
      </c>
      <c r="D214" s="3">
        <f>FEMTL!E210</f>
        <v>0</v>
      </c>
      <c r="E214" s="3">
        <f>FEMTL!F210</f>
        <v>0</v>
      </c>
      <c r="F214" s="3">
        <f>FEMTL!G210</f>
        <v>0</v>
      </c>
      <c r="G214" s="10">
        <f>FEMTL!H210</f>
        <v>0</v>
      </c>
      <c r="H214" s="8">
        <f>FEMTL!I210</f>
        <v>0</v>
      </c>
      <c r="I214" s="11">
        <f>FEMTL!J210</f>
        <v>0</v>
      </c>
      <c r="J214" s="7">
        <f>FEMTL!N210</f>
        <v>0</v>
      </c>
      <c r="K214" s="13">
        <f>FEMTL!O210</f>
        <v>0</v>
      </c>
      <c r="L214" s="26">
        <f t="shared" si="15"/>
        <v>0</v>
      </c>
      <c r="M214" s="26">
        <f t="shared" si="16"/>
        <v>0</v>
      </c>
      <c r="N214" s="26">
        <f t="shared" si="17"/>
        <v>0</v>
      </c>
      <c r="O214" s="26">
        <f t="shared" si="18"/>
        <v>0</v>
      </c>
      <c r="P214" s="26">
        <f t="shared" si="19"/>
        <v>0</v>
      </c>
    </row>
    <row r="215" spans="1:16" x14ac:dyDescent="0.25">
      <c r="A215" s="3" t="str">
        <f>FEMTL!A211</f>
        <v>Skinnerud</v>
      </c>
      <c r="B215" s="3" t="str">
        <f>FEMTL!B211</f>
        <v>1:23</v>
      </c>
      <c r="C215" s="3" t="str">
        <f>FEMTL!C211</f>
        <v>Staffan Nyström</v>
      </c>
      <c r="D215" s="3" t="str">
        <f>FEMTL!E211</f>
        <v>S:a Kroksdal 98</v>
      </c>
      <c r="E215" s="3" t="str">
        <f>FEMTL!F211</f>
        <v>471 33</v>
      </c>
      <c r="F215" s="3" t="str">
        <f>FEMTL!G211</f>
        <v>Skärhamn</v>
      </c>
      <c r="G215" s="10">
        <f>FEMTL!H211</f>
        <v>0</v>
      </c>
      <c r="H215" s="8">
        <f>FEMTL!I211</f>
        <v>10.73</v>
      </c>
      <c r="I215" s="11">
        <f>FEMTL!J211</f>
        <v>0</v>
      </c>
      <c r="J215" s="7">
        <f>FEMTL!N211</f>
        <v>10.73</v>
      </c>
      <c r="K215" s="13">
        <f>FEMTL!O211</f>
        <v>11</v>
      </c>
      <c r="L215" s="26">
        <f t="shared" si="15"/>
        <v>1</v>
      </c>
      <c r="M215" s="26">
        <f t="shared" si="16"/>
        <v>1</v>
      </c>
      <c r="N215" s="26">
        <f t="shared" si="17"/>
        <v>1</v>
      </c>
      <c r="O215" s="26">
        <f t="shared" si="18"/>
        <v>1</v>
      </c>
      <c r="P215" s="26">
        <f t="shared" si="19"/>
        <v>1</v>
      </c>
    </row>
    <row r="216" spans="1:16" x14ac:dyDescent="0.25">
      <c r="A216" s="3">
        <f>FEMTL!A212</f>
        <v>0</v>
      </c>
      <c r="B216" s="3">
        <f>FEMTL!B212</f>
        <v>0</v>
      </c>
      <c r="C216" s="3">
        <f>FEMTL!C212</f>
        <v>0</v>
      </c>
      <c r="D216" s="3">
        <f>FEMTL!E212</f>
        <v>0</v>
      </c>
      <c r="E216" s="3">
        <f>FEMTL!F212</f>
        <v>0</v>
      </c>
      <c r="F216" s="3">
        <f>FEMTL!G212</f>
        <v>0</v>
      </c>
      <c r="G216" s="10">
        <f>FEMTL!H212</f>
        <v>0</v>
      </c>
      <c r="H216" s="8">
        <f>FEMTL!I212</f>
        <v>0</v>
      </c>
      <c r="I216" s="11">
        <f>FEMTL!J212</f>
        <v>0</v>
      </c>
      <c r="J216" s="7">
        <f>FEMTL!N212</f>
        <v>0</v>
      </c>
      <c r="K216" s="13">
        <f>FEMTL!O212</f>
        <v>0</v>
      </c>
      <c r="L216" s="26">
        <f t="shared" si="15"/>
        <v>0</v>
      </c>
      <c r="M216" s="26">
        <f t="shared" si="16"/>
        <v>0</v>
      </c>
      <c r="N216" s="26">
        <f t="shared" si="17"/>
        <v>0</v>
      </c>
      <c r="O216" s="26">
        <f t="shared" si="18"/>
        <v>0</v>
      </c>
      <c r="P216" s="26">
        <f t="shared" si="19"/>
        <v>0</v>
      </c>
    </row>
    <row r="217" spans="1:16" x14ac:dyDescent="0.25">
      <c r="A217" s="3" t="e">
        <f>FEMTL!#REF!</f>
        <v>#REF!</v>
      </c>
      <c r="B217" s="3" t="e">
        <f>FEMTL!#REF!</f>
        <v>#REF!</v>
      </c>
      <c r="C217" s="3" t="e">
        <f>FEMTL!#REF!</f>
        <v>#REF!</v>
      </c>
      <c r="D217" s="3" t="e">
        <f>FEMTL!#REF!</f>
        <v>#REF!</v>
      </c>
      <c r="E217" s="3" t="e">
        <f>FEMTL!#REF!</f>
        <v>#REF!</v>
      </c>
      <c r="F217" s="3" t="e">
        <f>FEMTL!#REF!</f>
        <v>#REF!</v>
      </c>
      <c r="G217" s="10" t="e">
        <f>FEMTL!#REF!</f>
        <v>#REF!</v>
      </c>
      <c r="H217" s="8" t="e">
        <f>FEMTL!#REF!</f>
        <v>#REF!</v>
      </c>
      <c r="I217" s="11" t="e">
        <f>FEMTL!#REF!</f>
        <v>#REF!</v>
      </c>
      <c r="J217" s="7" t="e">
        <f>FEMTL!#REF!</f>
        <v>#REF!</v>
      </c>
      <c r="K217" s="13" t="e">
        <f>FEMTL!#REF!</f>
        <v>#REF!</v>
      </c>
      <c r="L217" s="26" t="e">
        <f t="shared" si="15"/>
        <v>#REF!</v>
      </c>
      <c r="M217" s="26" t="e">
        <f t="shared" si="16"/>
        <v>#REF!</v>
      </c>
      <c r="N217" s="26" t="e">
        <f t="shared" si="17"/>
        <v>#REF!</v>
      </c>
      <c r="O217" s="26" t="e">
        <f t="shared" si="18"/>
        <v>#REF!</v>
      </c>
      <c r="P217" s="26" t="e">
        <f t="shared" si="19"/>
        <v>#REF!</v>
      </c>
    </row>
    <row r="218" spans="1:16" x14ac:dyDescent="0.25">
      <c r="A218" s="3" t="e">
        <f>FEMTL!#REF!</f>
        <v>#REF!</v>
      </c>
      <c r="B218" s="3" t="e">
        <f>FEMTL!#REF!</f>
        <v>#REF!</v>
      </c>
      <c r="C218" s="3" t="e">
        <f>FEMTL!#REF!</f>
        <v>#REF!</v>
      </c>
      <c r="D218" s="3" t="e">
        <f>FEMTL!#REF!</f>
        <v>#REF!</v>
      </c>
      <c r="E218" s="3" t="e">
        <f>FEMTL!#REF!</f>
        <v>#REF!</v>
      </c>
      <c r="F218" s="3" t="e">
        <f>FEMTL!#REF!</f>
        <v>#REF!</v>
      </c>
      <c r="G218" s="10" t="e">
        <f>FEMTL!#REF!</f>
        <v>#REF!</v>
      </c>
      <c r="H218" s="8" t="e">
        <f>FEMTL!#REF!</f>
        <v>#REF!</v>
      </c>
      <c r="I218" s="11" t="e">
        <f>FEMTL!#REF!</f>
        <v>#REF!</v>
      </c>
      <c r="J218" s="7" t="e">
        <f>FEMTL!#REF!</f>
        <v>#REF!</v>
      </c>
      <c r="K218" s="13" t="e">
        <f>FEMTL!#REF!</f>
        <v>#REF!</v>
      </c>
      <c r="L218" s="26" t="e">
        <f t="shared" si="15"/>
        <v>#REF!</v>
      </c>
      <c r="M218" s="26" t="e">
        <f t="shared" si="16"/>
        <v>#REF!</v>
      </c>
      <c r="N218" s="26" t="e">
        <f t="shared" si="17"/>
        <v>#REF!</v>
      </c>
      <c r="O218" s="26" t="e">
        <f t="shared" si="18"/>
        <v>#REF!</v>
      </c>
      <c r="P218" s="26" t="e">
        <f t="shared" si="19"/>
        <v>#REF!</v>
      </c>
    </row>
    <row r="219" spans="1:16" x14ac:dyDescent="0.25">
      <c r="A219" s="3" t="e">
        <f>FEMTL!#REF!</f>
        <v>#REF!</v>
      </c>
      <c r="B219" s="3" t="e">
        <f>FEMTL!#REF!</f>
        <v>#REF!</v>
      </c>
      <c r="C219" s="3" t="e">
        <f>FEMTL!#REF!</f>
        <v>#REF!</v>
      </c>
      <c r="D219" s="3" t="e">
        <f>FEMTL!#REF!</f>
        <v>#REF!</v>
      </c>
      <c r="E219" s="3" t="e">
        <f>FEMTL!#REF!</f>
        <v>#REF!</v>
      </c>
      <c r="F219" s="3" t="e">
        <f>FEMTL!#REF!</f>
        <v>#REF!</v>
      </c>
      <c r="G219" s="10" t="e">
        <f>FEMTL!#REF!</f>
        <v>#REF!</v>
      </c>
      <c r="H219" s="8" t="e">
        <f>FEMTL!#REF!</f>
        <v>#REF!</v>
      </c>
      <c r="I219" s="11" t="e">
        <f>FEMTL!#REF!</f>
        <v>#REF!</v>
      </c>
      <c r="J219" s="7" t="e">
        <f>FEMTL!#REF!</f>
        <v>#REF!</v>
      </c>
      <c r="K219" s="13" t="e">
        <f>FEMTL!#REF!</f>
        <v>#REF!</v>
      </c>
      <c r="L219" s="26" t="e">
        <f t="shared" si="15"/>
        <v>#REF!</v>
      </c>
      <c r="M219" s="26" t="e">
        <f t="shared" si="16"/>
        <v>#REF!</v>
      </c>
      <c r="N219" s="26" t="e">
        <f t="shared" si="17"/>
        <v>#REF!</v>
      </c>
      <c r="O219" s="26" t="e">
        <f t="shared" si="18"/>
        <v>#REF!</v>
      </c>
      <c r="P219" s="26" t="e">
        <f t="shared" si="19"/>
        <v>#REF!</v>
      </c>
    </row>
    <row r="220" spans="1:16" x14ac:dyDescent="0.25">
      <c r="A220" s="3" t="str">
        <f>FEMTL!A213</f>
        <v xml:space="preserve">Transtrand </v>
      </c>
      <c r="B220" s="3" t="str">
        <f>FEMTL!B213</f>
        <v>3:67</v>
      </c>
      <c r="C220" s="3" t="str">
        <f>FEMTL!C213</f>
        <v>Johnny Johnsson</v>
      </c>
      <c r="D220" s="3" t="str">
        <f>FEMTL!E213</f>
        <v>Bårhultsvägen 21</v>
      </c>
      <c r="E220" s="3" t="str">
        <f>FEMTL!F213</f>
        <v>438:91</v>
      </c>
      <c r="F220" s="3" t="str">
        <f>FEMTL!G213</f>
        <v>Karlsborg</v>
      </c>
      <c r="G220" s="10">
        <f>FEMTL!H213</f>
        <v>0</v>
      </c>
      <c r="H220" s="8">
        <f>FEMTL!I213</f>
        <v>76.48</v>
      </c>
      <c r="I220" s="11">
        <f>FEMTL!J213</f>
        <v>0</v>
      </c>
      <c r="J220" s="7">
        <f>FEMTL!N213</f>
        <v>76.48</v>
      </c>
      <c r="K220" s="13">
        <f>FEMTL!O213</f>
        <v>77</v>
      </c>
      <c r="L220" s="26">
        <f t="shared" si="15"/>
        <v>1</v>
      </c>
      <c r="M220" s="26">
        <f t="shared" si="16"/>
        <v>1</v>
      </c>
      <c r="N220" s="26">
        <f t="shared" si="17"/>
        <v>1</v>
      </c>
      <c r="O220" s="26">
        <f t="shared" si="18"/>
        <v>2</v>
      </c>
      <c r="P220" s="26">
        <f t="shared" si="19"/>
        <v>4</v>
      </c>
    </row>
    <row r="221" spans="1:16" x14ac:dyDescent="0.25">
      <c r="A221" s="3">
        <f>FEMTL!A214</f>
        <v>0</v>
      </c>
      <c r="B221" s="3">
        <f>FEMTL!B214</f>
        <v>0</v>
      </c>
      <c r="C221" s="3">
        <f>FEMTL!C214</f>
        <v>0</v>
      </c>
      <c r="D221" s="3">
        <f>FEMTL!E214</f>
        <v>0</v>
      </c>
      <c r="E221" s="3">
        <f>FEMTL!F214</f>
        <v>0</v>
      </c>
      <c r="F221" s="3">
        <f>FEMTL!G214</f>
        <v>0</v>
      </c>
      <c r="G221" s="10">
        <f>FEMTL!H214</f>
        <v>0</v>
      </c>
      <c r="H221" s="8">
        <f>FEMTL!I214</f>
        <v>0</v>
      </c>
      <c r="I221" s="11">
        <f>FEMTL!J214</f>
        <v>0</v>
      </c>
      <c r="J221" s="7">
        <f>FEMTL!N214</f>
        <v>0</v>
      </c>
      <c r="K221" s="13">
        <f>FEMTL!O214</f>
        <v>0</v>
      </c>
      <c r="L221" s="26">
        <f t="shared" si="15"/>
        <v>0</v>
      </c>
      <c r="M221" s="26">
        <f t="shared" si="16"/>
        <v>0</v>
      </c>
      <c r="N221" s="26">
        <f t="shared" si="17"/>
        <v>0</v>
      </c>
      <c r="O221" s="26">
        <f t="shared" si="18"/>
        <v>0</v>
      </c>
      <c r="P221" s="26">
        <f t="shared" si="19"/>
        <v>0</v>
      </c>
    </row>
    <row r="222" spans="1:16" x14ac:dyDescent="0.25">
      <c r="A222" s="3" t="str">
        <f>FEMTL!A215</f>
        <v>Skinnerud</v>
      </c>
      <c r="B222" s="3" t="str">
        <f>FEMTL!B215</f>
        <v>1:47</v>
      </c>
      <c r="C222" s="3" t="str">
        <f>FEMTL!C215</f>
        <v>Bror Larsson</v>
      </c>
      <c r="D222" s="3" t="str">
        <f>FEMTL!E215</f>
        <v>Transtrand 44</v>
      </c>
      <c r="E222" s="3" t="str">
        <f>FEMTL!F215</f>
        <v>680 63</v>
      </c>
      <c r="F222" s="3" t="str">
        <f>FEMTL!G215</f>
        <v>Likenäs</v>
      </c>
      <c r="G222" s="10">
        <f>FEMTL!H215</f>
        <v>0</v>
      </c>
      <c r="H222" s="8">
        <f>FEMTL!I215</f>
        <v>69.33</v>
      </c>
      <c r="I222" s="11">
        <f>FEMTL!J215</f>
        <v>0</v>
      </c>
      <c r="J222" s="7">
        <f>FEMTL!N215</f>
        <v>69.33</v>
      </c>
      <c r="K222" s="13">
        <f>FEMTL!O215</f>
        <v>70</v>
      </c>
      <c r="L222" s="26">
        <f t="shared" si="15"/>
        <v>1</v>
      </c>
      <c r="M222" s="26">
        <f t="shared" si="16"/>
        <v>1</v>
      </c>
      <c r="N222" s="26">
        <f t="shared" si="17"/>
        <v>1</v>
      </c>
      <c r="O222" s="26">
        <f t="shared" si="18"/>
        <v>1</v>
      </c>
      <c r="P222" s="26">
        <f t="shared" si="19"/>
        <v>3</v>
      </c>
    </row>
    <row r="223" spans="1:16" x14ac:dyDescent="0.25">
      <c r="A223" s="3">
        <f>FEMTL!A216</f>
        <v>0</v>
      </c>
      <c r="B223" s="3">
        <f>FEMTL!B216</f>
        <v>0</v>
      </c>
      <c r="C223" s="3">
        <f>FEMTL!C216</f>
        <v>0</v>
      </c>
      <c r="D223" s="3">
        <f>FEMTL!E216</f>
        <v>0</v>
      </c>
      <c r="E223" s="3">
        <f>FEMTL!F216</f>
        <v>0</v>
      </c>
      <c r="F223" s="3">
        <f>FEMTL!G216</f>
        <v>0</v>
      </c>
      <c r="G223" s="10">
        <f>FEMTL!H216</f>
        <v>0</v>
      </c>
      <c r="H223" s="8">
        <f>FEMTL!I216</f>
        <v>0</v>
      </c>
      <c r="I223" s="11">
        <f>FEMTL!J216</f>
        <v>0</v>
      </c>
      <c r="J223" s="7">
        <f>FEMTL!N216</f>
        <v>0</v>
      </c>
      <c r="K223" s="13">
        <f>FEMTL!O216</f>
        <v>0</v>
      </c>
      <c r="L223" s="26">
        <f t="shared" si="15"/>
        <v>0</v>
      </c>
      <c r="M223" s="26">
        <f t="shared" si="16"/>
        <v>0</v>
      </c>
      <c r="N223" s="26">
        <f t="shared" si="17"/>
        <v>0</v>
      </c>
      <c r="O223" s="26">
        <f t="shared" si="18"/>
        <v>0</v>
      </c>
      <c r="P223" s="26">
        <f t="shared" si="19"/>
        <v>0</v>
      </c>
    </row>
    <row r="224" spans="1:16" x14ac:dyDescent="0.25">
      <c r="A224" s="3" t="str">
        <f>FEMTL!A217</f>
        <v>Skinnerud</v>
      </c>
      <c r="B224" s="3" t="str">
        <f>FEMTL!B217</f>
        <v>2:2</v>
      </c>
      <c r="C224" s="3" t="str">
        <f>FEMTL!C217</f>
        <v>Gunde Persson</v>
      </c>
      <c r="D224" s="3" t="str">
        <f>FEMTL!E217</f>
        <v>Högberg 3</v>
      </c>
      <c r="E224" s="3" t="str">
        <f>FEMTL!F217</f>
        <v>669 91</v>
      </c>
      <c r="F224" s="3" t="str">
        <f>FEMTL!G217</f>
        <v>Deje</v>
      </c>
      <c r="G224" s="10">
        <f>FEMTL!H217</f>
        <v>0</v>
      </c>
      <c r="H224" s="8">
        <f>FEMTL!I217</f>
        <v>252</v>
      </c>
      <c r="I224" s="11">
        <f>FEMTL!J217</f>
        <v>0</v>
      </c>
      <c r="J224" s="7">
        <f>FEMTL!N217</f>
        <v>252</v>
      </c>
      <c r="K224" s="13">
        <f>FEMTL!O217</f>
        <v>252</v>
      </c>
      <c r="L224" s="26">
        <f t="shared" si="15"/>
        <v>3</v>
      </c>
      <c r="M224" s="26">
        <f t="shared" si="16"/>
        <v>3</v>
      </c>
      <c r="N224" s="26">
        <f t="shared" si="17"/>
        <v>4</v>
      </c>
      <c r="O224" s="26">
        <f t="shared" si="18"/>
        <v>4</v>
      </c>
      <c r="P224" s="26">
        <f t="shared" si="19"/>
        <v>11</v>
      </c>
    </row>
    <row r="225" spans="1:16" x14ac:dyDescent="0.25">
      <c r="A225" s="3">
        <f>FEMTL!A218</f>
        <v>0</v>
      </c>
      <c r="B225" s="3">
        <f>FEMTL!B218</f>
        <v>0</v>
      </c>
      <c r="C225" s="3">
        <f>FEMTL!C218</f>
        <v>0</v>
      </c>
      <c r="D225" s="3">
        <f>FEMTL!E218</f>
        <v>0</v>
      </c>
      <c r="E225" s="3">
        <f>FEMTL!F218</f>
        <v>0</v>
      </c>
      <c r="F225" s="3">
        <f>FEMTL!G218</f>
        <v>0</v>
      </c>
      <c r="G225" s="10">
        <f>FEMTL!H218</f>
        <v>0</v>
      </c>
      <c r="H225" s="8">
        <f>FEMTL!I218</f>
        <v>0</v>
      </c>
      <c r="I225" s="11">
        <f>FEMTL!J218</f>
        <v>0</v>
      </c>
      <c r="J225" s="7">
        <f>FEMTL!N218</f>
        <v>0</v>
      </c>
      <c r="K225" s="13">
        <f>FEMTL!O218</f>
        <v>0</v>
      </c>
      <c r="L225" s="26">
        <f t="shared" si="15"/>
        <v>0</v>
      </c>
      <c r="M225" s="26">
        <f t="shared" si="16"/>
        <v>0</v>
      </c>
      <c r="N225" s="26">
        <f t="shared" si="17"/>
        <v>0</v>
      </c>
      <c r="O225" s="26">
        <f t="shared" si="18"/>
        <v>0</v>
      </c>
      <c r="P225" s="26">
        <f t="shared" si="19"/>
        <v>0</v>
      </c>
    </row>
    <row r="226" spans="1:16" x14ac:dyDescent="0.25">
      <c r="A226" s="3" t="str">
        <f>FEMTL!A219</f>
        <v>Skinnerud</v>
      </c>
      <c r="B226" s="3" t="str">
        <f>FEMTL!B219</f>
        <v>2:3</v>
      </c>
      <c r="C226" s="3" t="str">
        <f>FEMTL!C219</f>
        <v xml:space="preserve">John Jörgen Persson </v>
      </c>
      <c r="D226" s="3">
        <f>FEMTL!E219</f>
        <v>0</v>
      </c>
      <c r="E226" s="3">
        <f>FEMTL!F219</f>
        <v>0</v>
      </c>
      <c r="F226" s="3" t="str">
        <f>FEMTL!G219</f>
        <v>Kil</v>
      </c>
      <c r="G226" s="10">
        <f>FEMTL!H219</f>
        <v>0</v>
      </c>
      <c r="H226" s="8">
        <f>FEMTL!I219</f>
        <v>118.28</v>
      </c>
      <c r="I226" s="11">
        <f>FEMTL!J219</f>
        <v>0</v>
      </c>
      <c r="J226" s="7">
        <f>FEMTL!N219</f>
        <v>118.28</v>
      </c>
      <c r="K226" s="13">
        <f>FEMTL!O219</f>
        <v>119</v>
      </c>
      <c r="L226" s="26">
        <f t="shared" si="15"/>
        <v>2</v>
      </c>
      <c r="M226" s="26">
        <f t="shared" si="16"/>
        <v>2</v>
      </c>
      <c r="N226" s="26">
        <f t="shared" si="17"/>
        <v>2</v>
      </c>
      <c r="O226" s="26">
        <f t="shared" si="18"/>
        <v>2</v>
      </c>
      <c r="P226" s="26">
        <f t="shared" si="19"/>
        <v>5</v>
      </c>
    </row>
    <row r="227" spans="1:16" x14ac:dyDescent="0.25">
      <c r="A227" s="3">
        <f>FEMTL!A220</f>
        <v>0</v>
      </c>
      <c r="B227" s="3">
        <f>FEMTL!B220</f>
        <v>0</v>
      </c>
      <c r="C227" s="3" t="str">
        <f>FEMTL!C220</f>
        <v xml:space="preserve">Nina Elisabeth Åkerman </v>
      </c>
      <c r="D227" s="3">
        <f>FEMTL!E220</f>
        <v>0</v>
      </c>
      <c r="E227" s="3">
        <f>FEMTL!F220</f>
        <v>0</v>
      </c>
      <c r="F227" s="3" t="str">
        <f>FEMTL!G220</f>
        <v>Kil</v>
      </c>
      <c r="G227" s="10">
        <f>FEMTL!H220</f>
        <v>0</v>
      </c>
      <c r="H227" s="8">
        <f>FEMTL!I220</f>
        <v>0</v>
      </c>
      <c r="I227" s="11">
        <f>FEMTL!J220</f>
        <v>0</v>
      </c>
      <c r="J227" s="7">
        <f>FEMTL!N220</f>
        <v>0</v>
      </c>
      <c r="K227" s="13">
        <f>FEMTL!O220</f>
        <v>0</v>
      </c>
      <c r="P227" s="26">
        <f t="shared" si="19"/>
        <v>0</v>
      </c>
    </row>
    <row r="228" spans="1:16" x14ac:dyDescent="0.25">
      <c r="K228" s="26" t="e">
        <f t="shared" ref="K228:P228" si="20">SUM(K3:K227)</f>
        <v>#REF!</v>
      </c>
      <c r="L228" s="26" t="e">
        <f t="shared" si="20"/>
        <v>#REF!</v>
      </c>
      <c r="M228" s="26" t="e">
        <f t="shared" si="20"/>
        <v>#REF!</v>
      </c>
      <c r="N228" s="26" t="e">
        <f t="shared" si="20"/>
        <v>#REF!</v>
      </c>
      <c r="O228" s="26" t="e">
        <f t="shared" si="20"/>
        <v>#REF!</v>
      </c>
      <c r="P228" s="26" t="e">
        <f t="shared" si="20"/>
        <v>#REF!</v>
      </c>
    </row>
    <row r="229" spans="1:16" x14ac:dyDescent="0.25">
      <c r="A229" s="3"/>
      <c r="B229" s="3"/>
      <c r="C229" s="3"/>
      <c r="D229" s="3"/>
      <c r="E229" s="3"/>
      <c r="F229" s="3"/>
    </row>
    <row r="230" spans="1:16" x14ac:dyDescent="0.25">
      <c r="C230" s="3"/>
      <c r="D230" s="3"/>
      <c r="E230" s="3"/>
      <c r="F230" s="3"/>
    </row>
    <row r="232" spans="1:16" x14ac:dyDescent="0.25">
      <c r="A232" s="3"/>
      <c r="B232" s="3"/>
      <c r="C232" s="3"/>
      <c r="D232" s="3"/>
      <c r="E232" s="3"/>
      <c r="F232" s="3"/>
    </row>
    <row r="233" spans="1:16" x14ac:dyDescent="0.25">
      <c r="C233" s="3"/>
      <c r="D233" s="3"/>
      <c r="E233" s="3"/>
      <c r="F233" s="3"/>
    </row>
    <row r="235" spans="1:16" x14ac:dyDescent="0.25">
      <c r="A235" s="3"/>
      <c r="B235" s="3"/>
      <c r="C235" s="3"/>
      <c r="D235" s="3"/>
      <c r="E235" s="3"/>
      <c r="F235" s="3"/>
    </row>
    <row r="237" spans="1:16" x14ac:dyDescent="0.25">
      <c r="A237" s="3"/>
      <c r="B237" s="3"/>
      <c r="C237" s="3"/>
      <c r="D237" s="3"/>
      <c r="E237" s="3"/>
      <c r="F237" s="3"/>
    </row>
    <row r="238" spans="1:16" x14ac:dyDescent="0.25">
      <c r="B238" s="3"/>
      <c r="C238" s="3"/>
      <c r="D238" s="3"/>
      <c r="E238" s="3"/>
      <c r="F238" s="3"/>
    </row>
    <row r="239" spans="1:16" x14ac:dyDescent="0.25">
      <c r="C239" s="3"/>
      <c r="D239" s="3"/>
      <c r="E239" s="3"/>
      <c r="F239" s="3"/>
    </row>
    <row r="240" spans="1:16" x14ac:dyDescent="0.25">
      <c r="C240" s="3"/>
      <c r="D240" s="3"/>
      <c r="E240" s="3"/>
      <c r="F240" s="3"/>
    </row>
    <row r="241" spans="1:6" x14ac:dyDescent="0.25">
      <c r="A241" s="3"/>
      <c r="B241" s="3"/>
      <c r="C241" s="3"/>
      <c r="D241" s="3"/>
      <c r="E241" s="3"/>
      <c r="F241" s="3"/>
    </row>
    <row r="243" spans="1:6" x14ac:dyDescent="0.25">
      <c r="A243" s="3"/>
      <c r="B243" s="3"/>
      <c r="C243" s="3"/>
      <c r="D243" s="3"/>
      <c r="E243" s="3"/>
      <c r="F243" s="3"/>
    </row>
    <row r="245" spans="1:6" x14ac:dyDescent="0.25">
      <c r="A245" s="3"/>
      <c r="B245" s="3"/>
      <c r="C245" s="3"/>
      <c r="D245" s="3"/>
      <c r="E245" s="3"/>
      <c r="F245" s="3"/>
    </row>
    <row r="246" spans="1:6" x14ac:dyDescent="0.25">
      <c r="A246" s="3"/>
      <c r="B246" s="3"/>
      <c r="C246" s="3"/>
      <c r="D246" s="3"/>
      <c r="E246" s="3"/>
      <c r="F246" s="3"/>
    </row>
    <row r="247" spans="1:6" x14ac:dyDescent="0.25">
      <c r="A247" s="3"/>
      <c r="B247" s="3"/>
      <c r="C247" s="3"/>
      <c r="D247" s="3"/>
      <c r="E247" s="3"/>
      <c r="F247" s="3"/>
    </row>
    <row r="249" spans="1:6" x14ac:dyDescent="0.25">
      <c r="A249" s="3"/>
      <c r="B249" s="3"/>
      <c r="C249" s="3"/>
      <c r="F249" s="3"/>
    </row>
    <row r="251" spans="1:6" x14ac:dyDescent="0.25">
      <c r="A251" s="3"/>
      <c r="B251" s="3"/>
      <c r="C251" s="3"/>
      <c r="D251" s="3"/>
      <c r="E251" s="3"/>
      <c r="F251" s="3"/>
    </row>
    <row r="253" spans="1:6" x14ac:dyDescent="0.25">
      <c r="A253" s="3"/>
      <c r="B253" s="3"/>
      <c r="C253" s="3"/>
      <c r="D253" s="3"/>
      <c r="E253" s="3"/>
      <c r="F253" s="3"/>
    </row>
    <row r="254" spans="1:6" x14ac:dyDescent="0.25">
      <c r="B254" s="3"/>
      <c r="C254" s="3"/>
      <c r="D254" s="3"/>
      <c r="E254" s="3"/>
      <c r="F254" s="3"/>
    </row>
    <row r="255" spans="1:6" x14ac:dyDescent="0.25">
      <c r="A255" s="3"/>
      <c r="B255" s="3"/>
      <c r="C255" s="3"/>
      <c r="E255" s="3"/>
      <c r="F255" s="3"/>
    </row>
    <row r="256" spans="1:6" x14ac:dyDescent="0.25">
      <c r="A256" s="3"/>
      <c r="B256" s="3"/>
      <c r="C256" s="3"/>
      <c r="E256" s="3"/>
      <c r="F256" s="3"/>
    </row>
    <row r="257" spans="1:16" x14ac:dyDescent="0.25">
      <c r="G257" s="4"/>
      <c r="H257" s="4"/>
      <c r="I257" s="4"/>
      <c r="J257" s="4"/>
      <c r="K257" s="11"/>
    </row>
    <row r="258" spans="1:16" x14ac:dyDescent="0.25">
      <c r="G258" s="4"/>
      <c r="H258" s="4"/>
      <c r="I258" s="4"/>
      <c r="J258" s="4"/>
      <c r="K258" s="11"/>
      <c r="P258" s="26">
        <f>ROUNDUP((L258/25),0)</f>
        <v>0</v>
      </c>
    </row>
    <row r="259" spans="1:16" x14ac:dyDescent="0.25">
      <c r="P259" s="26">
        <f>ROUNDUP((L259/25),0)</f>
        <v>0</v>
      </c>
    </row>
    <row r="260" spans="1:16" x14ac:dyDescent="0.25">
      <c r="P260" s="26">
        <f>ROUNDUP((L260/25),0)</f>
        <v>0</v>
      </c>
    </row>
    <row r="262" spans="1:16" x14ac:dyDescent="0.25">
      <c r="A262" s="4" t="s">
        <v>309</v>
      </c>
      <c r="C262" s="3" t="s">
        <v>307</v>
      </c>
      <c r="E262" s="7"/>
      <c r="J262" s="4"/>
      <c r="K262" s="13">
        <f>SUMIF(K3:K255,"&gt;0")</f>
        <v>5921</v>
      </c>
      <c r="L262" s="36"/>
      <c r="M262" s="36"/>
      <c r="N262" s="36"/>
      <c r="O262" s="36"/>
      <c r="P262" s="36"/>
    </row>
    <row r="263" spans="1:16" x14ac:dyDescent="0.25">
      <c r="C263" s="3" t="s">
        <v>305</v>
      </c>
      <c r="E263" s="7"/>
      <c r="J263" s="4"/>
      <c r="K263" s="13">
        <f>COUNTIF(K3:K255,"&gt;0")</f>
        <v>73</v>
      </c>
    </row>
    <row r="264" spans="1:16" x14ac:dyDescent="0.25">
      <c r="C264" s="3" t="s">
        <v>306</v>
      </c>
      <c r="E264" s="7"/>
      <c r="J264" s="4"/>
      <c r="K264" s="13">
        <f>K262/K263</f>
        <v>81.109589041095887</v>
      </c>
    </row>
    <row r="265" spans="1:16" x14ac:dyDescent="0.25">
      <c r="C265" s="3"/>
      <c r="E265" s="7"/>
      <c r="F265" s="13"/>
      <c r="J265" s="4"/>
      <c r="K265" s="4"/>
    </row>
    <row r="266" spans="1:16" x14ac:dyDescent="0.25">
      <c r="C266" s="3"/>
      <c r="E266" s="7"/>
      <c r="F266" s="13"/>
      <c r="J266" s="4"/>
      <c r="K266" s="4"/>
    </row>
    <row r="267" spans="1:16" x14ac:dyDescent="0.25">
      <c r="C267" s="3"/>
      <c r="E267" s="7"/>
      <c r="F267" s="13"/>
      <c r="J267" s="4"/>
      <c r="K267" s="4"/>
    </row>
    <row r="268" spans="1:16" x14ac:dyDescent="0.25">
      <c r="C268" s="3"/>
      <c r="E268" s="7"/>
      <c r="F268" s="13"/>
      <c r="J268" s="4"/>
      <c r="K268" s="4"/>
    </row>
    <row r="269" spans="1:16" x14ac:dyDescent="0.25">
      <c r="C269" s="3"/>
      <c r="E269" s="7"/>
      <c r="F269" s="13"/>
      <c r="J269" s="4"/>
      <c r="K269" s="4"/>
    </row>
    <row r="270" spans="1:16" x14ac:dyDescent="0.25">
      <c r="C270" s="3"/>
      <c r="E270" s="7"/>
      <c r="F270" s="13"/>
      <c r="J270" s="4"/>
      <c r="K270" s="4"/>
    </row>
    <row r="271" spans="1:16" x14ac:dyDescent="0.25">
      <c r="C271" s="3"/>
      <c r="E271" s="7"/>
      <c r="F271" s="13"/>
      <c r="J271" s="4"/>
      <c r="K271" s="4"/>
    </row>
    <row r="272" spans="1:16" x14ac:dyDescent="0.25">
      <c r="C272" s="3"/>
      <c r="E272" s="7"/>
      <c r="F272" s="13"/>
      <c r="J272" s="4"/>
      <c r="K272" s="4"/>
    </row>
    <row r="273" spans="3:11" x14ac:dyDescent="0.25">
      <c r="C273" s="3"/>
      <c r="E273" s="7"/>
      <c r="F273" s="13"/>
      <c r="J273" s="4"/>
      <c r="K273" s="4"/>
    </row>
    <row r="274" spans="3:11" x14ac:dyDescent="0.25">
      <c r="C274" s="3"/>
      <c r="E274" s="7"/>
      <c r="F274" s="13"/>
      <c r="J274" s="4"/>
      <c r="K274" s="4"/>
    </row>
    <row r="275" spans="3:11" x14ac:dyDescent="0.25">
      <c r="C275" s="3"/>
      <c r="E275" s="7"/>
      <c r="F275" s="13"/>
      <c r="J275" s="4"/>
      <c r="K275" s="4"/>
    </row>
    <row r="276" spans="3:11" x14ac:dyDescent="0.25">
      <c r="C276" s="3"/>
      <c r="E276" s="7"/>
      <c r="F276" s="13"/>
      <c r="J276" s="4"/>
      <c r="K276" s="4"/>
    </row>
    <row r="277" spans="3:11" x14ac:dyDescent="0.25">
      <c r="C277" s="3"/>
      <c r="E277" s="7"/>
      <c r="F277" s="13"/>
      <c r="J277" s="4"/>
      <c r="K277" s="4"/>
    </row>
    <row r="278" spans="3:11" x14ac:dyDescent="0.25">
      <c r="C278" s="3"/>
      <c r="E278" s="7"/>
      <c r="F278" s="13"/>
      <c r="J278" s="4"/>
      <c r="K278" s="4"/>
    </row>
    <row r="279" spans="3:11" x14ac:dyDescent="0.25">
      <c r="C279" s="3"/>
      <c r="E279" s="7"/>
      <c r="F279" s="13"/>
      <c r="J279" s="4"/>
      <c r="K279" s="4"/>
    </row>
    <row r="280" spans="3:11" x14ac:dyDescent="0.25">
      <c r="C280" s="3"/>
      <c r="E280" s="7"/>
      <c r="F280" s="13"/>
      <c r="J280" s="4"/>
      <c r="K280" s="4"/>
    </row>
    <row r="281" spans="3:11" x14ac:dyDescent="0.25">
      <c r="C281" s="3"/>
      <c r="E281" s="7"/>
      <c r="F281" s="13"/>
      <c r="J281" s="4"/>
      <c r="K281" s="4"/>
    </row>
    <row r="282" spans="3:11" x14ac:dyDescent="0.25">
      <c r="C282" s="3"/>
      <c r="E282" s="7"/>
      <c r="F282" s="13"/>
      <c r="J282" s="4"/>
      <c r="K282" s="4"/>
    </row>
    <row r="283" spans="3:11" x14ac:dyDescent="0.25">
      <c r="C283" s="3"/>
      <c r="E283" s="7"/>
      <c r="F283" s="13"/>
      <c r="J283" s="4"/>
      <c r="K283" s="4"/>
    </row>
    <row r="284" spans="3:11" x14ac:dyDescent="0.25">
      <c r="C284" s="3"/>
      <c r="E284" s="7"/>
      <c r="F284" s="13"/>
      <c r="J284" s="4"/>
      <c r="K284" s="4"/>
    </row>
    <row r="285" spans="3:11" x14ac:dyDescent="0.25">
      <c r="C285" s="3"/>
      <c r="E285" s="7"/>
      <c r="F285" s="13"/>
      <c r="J285" s="4"/>
      <c r="K285" s="4"/>
    </row>
    <row r="286" spans="3:11" x14ac:dyDescent="0.25">
      <c r="C286" s="3"/>
      <c r="E286" s="7"/>
      <c r="F286" s="13"/>
      <c r="J286" s="4"/>
      <c r="K286" s="4"/>
    </row>
    <row r="287" spans="3:11" x14ac:dyDescent="0.25">
      <c r="C287" s="3"/>
      <c r="E287" s="7"/>
      <c r="F287" s="13"/>
      <c r="J287" s="4"/>
      <c r="K287" s="4"/>
    </row>
    <row r="288" spans="3:11" x14ac:dyDescent="0.25">
      <c r="C288" s="3"/>
      <c r="E288" s="7"/>
      <c r="F288" s="13"/>
      <c r="J288" s="4"/>
      <c r="K288" s="4"/>
    </row>
    <row r="289" spans="1:12" x14ac:dyDescent="0.25">
      <c r="C289" s="3"/>
      <c r="E289" s="7"/>
      <c r="F289" s="13"/>
      <c r="J289" s="4"/>
      <c r="K289" s="4"/>
    </row>
    <row r="290" spans="1:12" x14ac:dyDescent="0.25">
      <c r="C290" s="3"/>
      <c r="E290" s="7"/>
      <c r="F290" s="13"/>
      <c r="J290" s="4"/>
      <c r="K290" s="4"/>
    </row>
    <row r="291" spans="1:12" x14ac:dyDescent="0.25">
      <c r="C291" s="3"/>
      <c r="E291" s="7"/>
      <c r="F291" s="13"/>
      <c r="J291" s="4"/>
      <c r="K291" s="4"/>
    </row>
    <row r="292" spans="1:12" x14ac:dyDescent="0.25">
      <c r="C292" s="3"/>
      <c r="E292" s="7"/>
      <c r="F292" s="13"/>
      <c r="J292" s="4"/>
      <c r="K292" s="4"/>
    </row>
    <row r="293" spans="1:12" x14ac:dyDescent="0.25">
      <c r="C293" s="3"/>
      <c r="E293" s="7"/>
      <c r="F293" s="13"/>
      <c r="J293" s="4"/>
      <c r="K293" s="4"/>
    </row>
    <row r="294" spans="1:12" x14ac:dyDescent="0.25">
      <c r="C294" s="3"/>
      <c r="E294" s="7"/>
      <c r="F294" s="13"/>
      <c r="J294" s="4"/>
      <c r="K294" s="4"/>
    </row>
    <row r="295" spans="1:12" x14ac:dyDescent="0.25">
      <c r="A295" s="60" t="s">
        <v>376</v>
      </c>
      <c r="B295" s="60"/>
      <c r="C295" s="60"/>
      <c r="D295" s="60"/>
      <c r="E295" s="60"/>
      <c r="F295" s="60"/>
      <c r="G295" s="60"/>
      <c r="H295" s="60"/>
      <c r="I295" s="60"/>
      <c r="J295" s="60"/>
      <c r="K295" s="60"/>
    </row>
    <row r="296" spans="1:12" x14ac:dyDescent="0.25">
      <c r="C296" s="3"/>
      <c r="E296" s="7"/>
      <c r="F296" s="13"/>
      <c r="J296" s="4"/>
      <c r="K296" s="4"/>
    </row>
    <row r="297" spans="1:12" x14ac:dyDescent="0.25">
      <c r="E297" s="7" t="s">
        <v>378</v>
      </c>
      <c r="F297" s="13" t="s">
        <v>379</v>
      </c>
    </row>
    <row r="298" spans="1:12" x14ac:dyDescent="0.25">
      <c r="C298" s="4" t="s">
        <v>371</v>
      </c>
      <c r="E298" s="13">
        <f>COUNTIF(K3:K255,"&lt;=100")</f>
        <v>180</v>
      </c>
      <c r="F298" s="13">
        <f>COUNTIF(K3:K255,"&gt;100")</f>
        <v>16</v>
      </c>
      <c r="J298" s="4"/>
      <c r="K298" s="27">
        <f>F298/K263</f>
        <v>0.21917808219178081</v>
      </c>
      <c r="L298" s="4"/>
    </row>
    <row r="299" spans="1:12" x14ac:dyDescent="0.25">
      <c r="C299" s="4" t="s">
        <v>372</v>
      </c>
      <c r="E299" s="13">
        <f>SUMIF(K3:K255,"&lt;=100")</f>
        <v>1444</v>
      </c>
      <c r="F299" s="13">
        <f>SUMIF(K3:K255,"&gt;100")</f>
        <v>4477</v>
      </c>
      <c r="J299" s="4"/>
      <c r="K299" s="27">
        <f>F299/K262</f>
        <v>0.75612227664245901</v>
      </c>
      <c r="L299" s="4"/>
    </row>
    <row r="300" spans="1:12" x14ac:dyDescent="0.25">
      <c r="C300" s="4" t="s">
        <v>306</v>
      </c>
      <c r="E300" s="13">
        <f>E299/E298</f>
        <v>8.0222222222222221</v>
      </c>
      <c r="F300" s="13">
        <f>F299/F298</f>
        <v>279.8125</v>
      </c>
      <c r="J300" s="4"/>
      <c r="K300" s="28"/>
      <c r="L300" s="4"/>
    </row>
    <row r="301" spans="1:12" x14ac:dyDescent="0.25">
      <c r="C301" s="4" t="s">
        <v>375</v>
      </c>
      <c r="E301" s="7"/>
      <c r="F301" s="13" t="e">
        <f>SUM(L3:L255)</f>
        <v>#REF!</v>
      </c>
      <c r="J301" s="4"/>
      <c r="K301" s="28"/>
      <c r="L301" s="4"/>
    </row>
    <row r="302" spans="1:12" x14ac:dyDescent="0.25">
      <c r="E302" s="7"/>
      <c r="F302" s="11"/>
      <c r="J302" s="4"/>
      <c r="K302" s="28"/>
      <c r="L302" s="4"/>
    </row>
    <row r="303" spans="1:12" x14ac:dyDescent="0.25">
      <c r="E303" s="7"/>
      <c r="F303" s="11"/>
      <c r="J303" s="4"/>
      <c r="K303" s="28"/>
      <c r="L303" s="4"/>
    </row>
    <row r="304" spans="1:12" x14ac:dyDescent="0.25">
      <c r="C304" s="4" t="s">
        <v>380</v>
      </c>
      <c r="E304" s="13">
        <f>COUNTIF(K3:K255,"&lt;=90")</f>
        <v>180</v>
      </c>
      <c r="F304" s="13">
        <f>COUNTIF(K3:K255,"&gt;90")</f>
        <v>16</v>
      </c>
      <c r="J304" s="4"/>
      <c r="K304" s="27">
        <f>F304/K263</f>
        <v>0.21917808219178081</v>
      </c>
      <c r="L304" s="4"/>
    </row>
    <row r="305" spans="3:16" x14ac:dyDescent="0.25">
      <c r="C305" s="4" t="s">
        <v>372</v>
      </c>
      <c r="E305" s="13">
        <f>SUMIF(K3:K255,"&lt;=90")</f>
        <v>1444</v>
      </c>
      <c r="F305" s="13">
        <f>SUMIF(K3:K255,"&gt;90")</f>
        <v>4477</v>
      </c>
      <c r="J305" s="4"/>
      <c r="K305" s="27">
        <f>F305/K262</f>
        <v>0.75612227664245901</v>
      </c>
      <c r="L305" s="4"/>
    </row>
    <row r="306" spans="3:16" x14ac:dyDescent="0.25">
      <c r="C306" s="4" t="s">
        <v>306</v>
      </c>
      <c r="E306" s="13">
        <f>E305/E304</f>
        <v>8.0222222222222221</v>
      </c>
      <c r="F306" s="13">
        <f>F305/F304</f>
        <v>279.8125</v>
      </c>
      <c r="J306" s="4"/>
      <c r="K306" s="28"/>
      <c r="L306" s="4"/>
    </row>
    <row r="307" spans="3:16" x14ac:dyDescent="0.25">
      <c r="C307" s="4" t="s">
        <v>375</v>
      </c>
      <c r="E307" s="7"/>
      <c r="F307" s="13" t="e">
        <f>SUM(M3:M255)</f>
        <v>#REF!</v>
      </c>
      <c r="J307" s="4"/>
      <c r="K307" s="28"/>
      <c r="L307" s="4"/>
    </row>
    <row r="308" spans="3:16" x14ac:dyDescent="0.25">
      <c r="E308" s="7"/>
      <c r="F308" s="13"/>
      <c r="J308" s="4"/>
      <c r="K308" s="28"/>
      <c r="L308" s="4"/>
    </row>
    <row r="309" spans="3:16" x14ac:dyDescent="0.25">
      <c r="E309" s="7"/>
      <c r="F309" s="13"/>
      <c r="J309" s="4"/>
      <c r="K309" s="28"/>
      <c r="L309" s="4"/>
    </row>
    <row r="310" spans="3:16" x14ac:dyDescent="0.25">
      <c r="C310" s="4" t="s">
        <v>381</v>
      </c>
      <c r="E310" s="13">
        <f>COUNTIF(K3:K255,"&lt;=80")</f>
        <v>178</v>
      </c>
      <c r="F310" s="13">
        <f>COUNTIF(K3:K255,"&gt;80")</f>
        <v>18</v>
      </c>
      <c r="G310" s="4"/>
      <c r="H310" s="4"/>
      <c r="I310" s="4"/>
      <c r="J310" s="4"/>
      <c r="K310" s="27">
        <f>F310/K263</f>
        <v>0.24657534246575341</v>
      </c>
      <c r="L310" s="4"/>
    </row>
    <row r="311" spans="3:16" x14ac:dyDescent="0.25">
      <c r="C311" s="4" t="s">
        <v>372</v>
      </c>
      <c r="E311" s="13">
        <f>SUMIF(K3:K255,"&lt;=80")</f>
        <v>1276</v>
      </c>
      <c r="F311" s="13">
        <f>SUMIF(K3:K255,"&gt;80")</f>
        <v>4645</v>
      </c>
      <c r="G311" s="4"/>
      <c r="H311" s="4"/>
      <c r="I311" s="4"/>
      <c r="J311" s="4"/>
      <c r="K311" s="27">
        <f>F311/K262</f>
        <v>0.78449586218544165</v>
      </c>
      <c r="L311" s="4"/>
    </row>
    <row r="312" spans="3:16" x14ac:dyDescent="0.25">
      <c r="C312" s="4" t="s">
        <v>306</v>
      </c>
      <c r="E312" s="13">
        <f>E311/E310</f>
        <v>7.1685393258426968</v>
      </c>
      <c r="F312" s="13">
        <f>F311/F310</f>
        <v>258.05555555555554</v>
      </c>
      <c r="G312" s="4"/>
      <c r="H312" s="4"/>
      <c r="I312" s="4"/>
      <c r="J312" s="4"/>
      <c r="K312" s="28"/>
      <c r="L312" s="4"/>
    </row>
    <row r="313" spans="3:16" x14ac:dyDescent="0.25">
      <c r="C313" s="4" t="s">
        <v>375</v>
      </c>
      <c r="F313" s="13" t="e">
        <f>SUM(N3:N255)</f>
        <v>#REF!</v>
      </c>
      <c r="G313" s="4"/>
      <c r="H313" s="4"/>
      <c r="I313" s="4"/>
      <c r="J313" s="4"/>
      <c r="K313" s="28"/>
      <c r="L313" s="4"/>
      <c r="M313" s="28"/>
      <c r="N313" s="28"/>
      <c r="O313" s="28"/>
      <c r="P313" s="28"/>
    </row>
    <row r="314" spans="3:16" x14ac:dyDescent="0.25">
      <c r="G314" s="4"/>
      <c r="H314" s="4"/>
      <c r="I314" s="4"/>
      <c r="J314" s="4"/>
      <c r="K314" s="28"/>
      <c r="L314" s="4"/>
      <c r="M314" s="28"/>
      <c r="N314" s="28"/>
      <c r="O314" s="28"/>
      <c r="P314" s="28"/>
    </row>
    <row r="315" spans="3:16" x14ac:dyDescent="0.25">
      <c r="G315" s="4"/>
      <c r="H315" s="4"/>
      <c r="I315" s="4"/>
      <c r="J315" s="4"/>
      <c r="K315" s="28"/>
      <c r="L315" s="4"/>
      <c r="M315" s="28"/>
      <c r="N315" s="28"/>
      <c r="O315" s="28"/>
      <c r="P315" s="28"/>
    </row>
    <row r="316" spans="3:16" x14ac:dyDescent="0.25">
      <c r="C316" s="4" t="s">
        <v>373</v>
      </c>
      <c r="E316" s="13">
        <f>COUNTIF(K3:K255,"&lt;=75")</f>
        <v>177</v>
      </c>
      <c r="F316" s="13">
        <f>COUNTIF(K3:K255,"&gt;75")</f>
        <v>19</v>
      </c>
      <c r="G316" s="4"/>
      <c r="H316" s="4"/>
      <c r="I316" s="4"/>
      <c r="J316" s="4"/>
      <c r="K316" s="27">
        <f>F316/K263</f>
        <v>0.26027397260273971</v>
      </c>
      <c r="L316" s="4"/>
    </row>
    <row r="317" spans="3:16" x14ac:dyDescent="0.25">
      <c r="C317" s="4" t="s">
        <v>372</v>
      </c>
      <c r="E317" s="13">
        <f>SUMIF(K3:K255,"&lt;=75")</f>
        <v>1199</v>
      </c>
      <c r="F317" s="13">
        <f>SUMIF(K3:K255,"&gt;75")</f>
        <v>4722</v>
      </c>
      <c r="G317" s="4"/>
      <c r="H317" s="4"/>
      <c r="I317" s="4"/>
      <c r="J317" s="4"/>
      <c r="K317" s="27">
        <f>F317/K262</f>
        <v>0.79750042222597539</v>
      </c>
      <c r="L317" s="4"/>
    </row>
    <row r="318" spans="3:16" x14ac:dyDescent="0.25">
      <c r="C318" s="4" t="s">
        <v>306</v>
      </c>
      <c r="E318" s="13">
        <f>E317/E316</f>
        <v>6.7740112994350286</v>
      </c>
      <c r="F318" s="13">
        <f>F317/F316</f>
        <v>248.52631578947367</v>
      </c>
      <c r="G318" s="4"/>
      <c r="H318" s="4"/>
      <c r="I318" s="4"/>
      <c r="J318" s="4"/>
      <c r="K318" s="4"/>
    </row>
    <row r="319" spans="3:16" x14ac:dyDescent="0.25">
      <c r="C319" s="4" t="s">
        <v>375</v>
      </c>
      <c r="F319" s="13" t="e">
        <f>SUM(O3:O255)</f>
        <v>#REF!</v>
      </c>
      <c r="G319" s="4"/>
      <c r="H319" s="4"/>
      <c r="I319" s="4"/>
      <c r="J319" s="4"/>
      <c r="K319" s="4"/>
    </row>
    <row r="320" spans="3:16" x14ac:dyDescent="0.25">
      <c r="G320" s="4"/>
      <c r="H320" s="4"/>
      <c r="I320" s="4"/>
      <c r="J320" s="4"/>
    </row>
    <row r="321" spans="7:16" x14ac:dyDescent="0.25">
      <c r="G321" s="4"/>
      <c r="H321" s="4"/>
      <c r="I321" s="4"/>
      <c r="J321" s="4"/>
      <c r="K321" s="4"/>
      <c r="L321" s="28"/>
      <c r="M321" s="28"/>
      <c r="N321" s="28"/>
      <c r="O321" s="28"/>
      <c r="P321" s="28"/>
    </row>
  </sheetData>
  <mergeCells count="1">
    <mergeCell ref="A295:K295"/>
  </mergeCells>
  <phoneticPr fontId="8" type="noConversion"/>
  <pageMargins left="0.82" right="0.21" top="0.98425196850393704" bottom="0.98425196850393704" header="0.51181102362204722" footer="0.51181102362204722"/>
  <pageSetup paperSize="9" scale="83" fitToHeight="0" orientation="portrait" r:id="rId1"/>
  <headerFooter alignWithMargins="0">
    <oddHeader>&amp;L2005-08-06, Femtåns JVO, Röstlängd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92"/>
  <sheetViews>
    <sheetView zoomScaleNormal="100" zoomScaleSheetLayoutView="50" workbookViewId="0">
      <selection activeCell="C26" sqref="C26"/>
    </sheetView>
  </sheetViews>
  <sheetFormatPr defaultColWidth="9.21875" defaultRowHeight="15" x14ac:dyDescent="0.25"/>
  <cols>
    <col min="1" max="1" width="10.44140625" style="4" customWidth="1"/>
    <col min="2" max="2" width="7" style="22" customWidth="1"/>
    <col min="3" max="3" width="7" style="22" bestFit="1" customWidth="1"/>
    <col min="4" max="5" width="9.21875" style="4"/>
    <col min="6" max="6" width="12.21875" style="4" customWidth="1"/>
    <col min="7" max="7" width="7" style="22" customWidth="1"/>
    <col min="8" max="8" width="75.21875" style="4" customWidth="1"/>
    <col min="9" max="16384" width="9.21875" style="4"/>
  </cols>
  <sheetData>
    <row r="2" spans="1:8" x14ac:dyDescent="0.25">
      <c r="A2" s="29" t="s">
        <v>324</v>
      </c>
      <c r="B2" s="29"/>
      <c r="C2" s="29"/>
      <c r="D2" s="29"/>
      <c r="E2" s="29"/>
      <c r="F2" s="29"/>
      <c r="G2" s="29"/>
      <c r="H2" s="29"/>
    </row>
    <row r="4" spans="1:8" ht="15.6" x14ac:dyDescent="0.3">
      <c r="A4" s="2" t="s">
        <v>325</v>
      </c>
      <c r="B4" s="23" t="s">
        <v>177</v>
      </c>
      <c r="C4" s="23"/>
      <c r="D4" s="2"/>
      <c r="E4" s="2"/>
      <c r="F4" s="2" t="s">
        <v>325</v>
      </c>
      <c r="G4" s="23" t="s">
        <v>177</v>
      </c>
      <c r="H4" s="2"/>
    </row>
    <row r="6" spans="1:8" x14ac:dyDescent="0.25">
      <c r="A6" s="4" t="s">
        <v>2</v>
      </c>
      <c r="B6" s="22" t="s">
        <v>18</v>
      </c>
      <c r="F6" s="4" t="s">
        <v>167</v>
      </c>
      <c r="G6" s="22" t="s">
        <v>366</v>
      </c>
    </row>
    <row r="7" spans="1:8" x14ac:dyDescent="0.25">
      <c r="A7" s="22"/>
      <c r="B7" s="22" t="s">
        <v>24</v>
      </c>
      <c r="C7" s="22" t="s">
        <v>479</v>
      </c>
      <c r="G7" s="22" t="s">
        <v>18</v>
      </c>
    </row>
    <row r="8" spans="1:8" x14ac:dyDescent="0.25">
      <c r="A8" s="22"/>
      <c r="B8" s="22" t="s">
        <v>73</v>
      </c>
      <c r="C8" s="22" t="s">
        <v>480</v>
      </c>
      <c r="G8" s="22" t="s">
        <v>144</v>
      </c>
    </row>
    <row r="9" spans="1:8" x14ac:dyDescent="0.25">
      <c r="A9" s="22"/>
      <c r="B9" s="22" t="s">
        <v>20</v>
      </c>
      <c r="G9" s="22" t="s">
        <v>70</v>
      </c>
    </row>
    <row r="10" spans="1:8" x14ac:dyDescent="0.25">
      <c r="A10" s="22"/>
      <c r="B10" s="22" t="s">
        <v>65</v>
      </c>
      <c r="C10" s="22" t="s">
        <v>481</v>
      </c>
    </row>
    <row r="11" spans="1:8" ht="15.6" x14ac:dyDescent="0.3">
      <c r="A11" s="22"/>
      <c r="B11" s="22" t="s">
        <v>31</v>
      </c>
      <c r="C11" s="22" t="s">
        <v>484</v>
      </c>
      <c r="F11" s="2" t="s">
        <v>369</v>
      </c>
      <c r="G11" s="23" t="s">
        <v>377</v>
      </c>
    </row>
    <row r="12" spans="1:8" ht="15.6" x14ac:dyDescent="0.3">
      <c r="A12" s="22"/>
      <c r="B12" s="22" t="s">
        <v>326</v>
      </c>
      <c r="C12" s="22" t="s">
        <v>482</v>
      </c>
      <c r="G12" s="23"/>
    </row>
    <row r="13" spans="1:8" ht="15.6" x14ac:dyDescent="0.3">
      <c r="A13" s="22"/>
      <c r="B13" s="22" t="s">
        <v>42</v>
      </c>
      <c r="C13" s="22" t="s">
        <v>482</v>
      </c>
      <c r="G13" s="23"/>
    </row>
    <row r="14" spans="1:8" ht="15.6" x14ac:dyDescent="0.3">
      <c r="A14" s="22"/>
      <c r="B14" s="22" t="s">
        <v>94</v>
      </c>
      <c r="C14" s="22" t="s">
        <v>483</v>
      </c>
      <c r="G14" s="23"/>
    </row>
    <row r="15" spans="1:8" ht="15.6" x14ac:dyDescent="0.3">
      <c r="A15" s="22"/>
      <c r="B15" s="22" t="s">
        <v>76</v>
      </c>
      <c r="C15" s="22" t="s">
        <v>485</v>
      </c>
      <c r="G15" s="23"/>
    </row>
    <row r="16" spans="1:8" ht="15.6" x14ac:dyDescent="0.3">
      <c r="A16" s="22"/>
      <c r="B16" s="22" t="s">
        <v>95</v>
      </c>
      <c r="C16" s="22" t="s">
        <v>486</v>
      </c>
      <c r="F16" s="2"/>
      <c r="G16" s="23"/>
    </row>
    <row r="17" spans="1:7" ht="15.6" x14ac:dyDescent="0.3">
      <c r="A17" s="22"/>
      <c r="B17" s="22" t="s">
        <v>327</v>
      </c>
      <c r="C17" s="22" t="s">
        <v>487</v>
      </c>
      <c r="F17" s="2"/>
      <c r="G17" s="23"/>
    </row>
    <row r="18" spans="1:7" x14ac:dyDescent="0.25">
      <c r="A18" s="22"/>
      <c r="B18" s="22" t="s">
        <v>328</v>
      </c>
      <c r="C18" s="22" t="s">
        <v>488</v>
      </c>
      <c r="F18" s="4" t="s">
        <v>108</v>
      </c>
      <c r="G18" s="22" t="s">
        <v>142</v>
      </c>
    </row>
    <row r="19" spans="1:7" x14ac:dyDescent="0.25">
      <c r="A19" s="22"/>
      <c r="B19" s="22" t="s">
        <v>329</v>
      </c>
      <c r="C19" s="22" t="s">
        <v>487</v>
      </c>
      <c r="G19" s="22" t="s">
        <v>170</v>
      </c>
    </row>
    <row r="20" spans="1:7" x14ac:dyDescent="0.25">
      <c r="A20" s="22"/>
      <c r="B20" s="22" t="s">
        <v>330</v>
      </c>
      <c r="C20" s="22" t="s">
        <v>489</v>
      </c>
      <c r="G20" s="22" t="s">
        <v>367</v>
      </c>
    </row>
    <row r="21" spans="1:7" x14ac:dyDescent="0.25">
      <c r="A21" s="22"/>
      <c r="B21" s="22" t="s">
        <v>331</v>
      </c>
      <c r="C21" s="22" t="s">
        <v>489</v>
      </c>
      <c r="G21" s="22" t="s">
        <v>72</v>
      </c>
    </row>
    <row r="22" spans="1:7" x14ac:dyDescent="0.25">
      <c r="A22" s="22"/>
      <c r="B22" s="22" t="s">
        <v>332</v>
      </c>
      <c r="C22" s="22" t="s">
        <v>490</v>
      </c>
      <c r="G22" s="22" t="s">
        <v>115</v>
      </c>
    </row>
    <row r="23" spans="1:7" x14ac:dyDescent="0.25">
      <c r="A23" s="22"/>
      <c r="B23" s="22" t="s">
        <v>97</v>
      </c>
      <c r="C23" s="22" t="s">
        <v>491</v>
      </c>
      <c r="G23" s="22" t="s">
        <v>116</v>
      </c>
    </row>
    <row r="24" spans="1:7" x14ac:dyDescent="0.25">
      <c r="A24" s="22"/>
      <c r="B24" s="22" t="s">
        <v>333</v>
      </c>
      <c r="C24" s="22" t="s">
        <v>492</v>
      </c>
      <c r="G24" s="22" t="s">
        <v>70</v>
      </c>
    </row>
    <row r="25" spans="1:7" x14ac:dyDescent="0.25">
      <c r="A25" s="22"/>
      <c r="B25" s="22" t="s">
        <v>98</v>
      </c>
      <c r="C25" s="22" t="s">
        <v>493</v>
      </c>
      <c r="G25" s="22" t="s">
        <v>24</v>
      </c>
    </row>
    <row r="26" spans="1:7" x14ac:dyDescent="0.25">
      <c r="A26" s="22"/>
      <c r="B26" s="22" t="s">
        <v>334</v>
      </c>
      <c r="G26" s="22" t="s">
        <v>368</v>
      </c>
    </row>
    <row r="27" spans="1:7" x14ac:dyDescent="0.25">
      <c r="A27" s="22"/>
      <c r="B27" s="22" t="s">
        <v>335</v>
      </c>
      <c r="G27" s="22" t="s">
        <v>117</v>
      </c>
    </row>
    <row r="28" spans="1:7" x14ac:dyDescent="0.25">
      <c r="A28" s="22"/>
      <c r="B28" s="22" t="s">
        <v>336</v>
      </c>
      <c r="G28" s="22" t="s">
        <v>345</v>
      </c>
    </row>
    <row r="29" spans="1:7" x14ac:dyDescent="0.25">
      <c r="A29" s="22"/>
      <c r="B29" s="22" t="s">
        <v>103</v>
      </c>
      <c r="G29" s="22" t="s">
        <v>73</v>
      </c>
    </row>
    <row r="30" spans="1:7" x14ac:dyDescent="0.25">
      <c r="A30" s="22"/>
      <c r="B30" s="22" t="s">
        <v>337</v>
      </c>
      <c r="G30" s="22" t="s">
        <v>74</v>
      </c>
    </row>
    <row r="31" spans="1:7" x14ac:dyDescent="0.25">
      <c r="A31" s="22"/>
      <c r="B31" s="22" t="s">
        <v>338</v>
      </c>
    </row>
    <row r="32" spans="1:7" ht="15.6" x14ac:dyDescent="0.3">
      <c r="A32" s="22"/>
      <c r="B32" s="22" t="s">
        <v>339</v>
      </c>
      <c r="C32" s="4"/>
      <c r="F32" s="2" t="s">
        <v>369</v>
      </c>
      <c r="G32" s="23" t="s">
        <v>370</v>
      </c>
    </row>
    <row r="33" spans="1:7" x14ac:dyDescent="0.25">
      <c r="A33" s="22"/>
      <c r="B33" s="22" t="s">
        <v>68</v>
      </c>
      <c r="C33" s="4"/>
    </row>
    <row r="34" spans="1:7" x14ac:dyDescent="0.25">
      <c r="A34" s="22"/>
      <c r="B34" s="22" t="s">
        <v>340</v>
      </c>
      <c r="C34" s="4"/>
      <c r="G34" s="4"/>
    </row>
    <row r="35" spans="1:7" x14ac:dyDescent="0.25">
      <c r="A35" s="22"/>
      <c r="B35" s="22" t="s">
        <v>341</v>
      </c>
      <c r="C35" s="4"/>
      <c r="G35" s="4"/>
    </row>
    <row r="36" spans="1:7" x14ac:dyDescent="0.25">
      <c r="A36" s="22"/>
      <c r="B36" s="22" t="s">
        <v>109</v>
      </c>
      <c r="C36" s="4"/>
      <c r="G36" s="4"/>
    </row>
    <row r="37" spans="1:7" x14ac:dyDescent="0.25">
      <c r="A37" s="22"/>
      <c r="B37" s="22" t="s">
        <v>342</v>
      </c>
      <c r="C37" s="4"/>
      <c r="G37" s="4"/>
    </row>
    <row r="38" spans="1:7" x14ac:dyDescent="0.25">
      <c r="A38" s="22"/>
      <c r="B38" s="22" t="s">
        <v>62</v>
      </c>
      <c r="C38" s="4"/>
      <c r="G38" s="4"/>
    </row>
    <row r="39" spans="1:7" x14ac:dyDescent="0.25">
      <c r="A39" s="22"/>
      <c r="B39" s="22" t="s">
        <v>343</v>
      </c>
      <c r="C39" s="4"/>
      <c r="G39" s="4"/>
    </row>
    <row r="40" spans="1:7" x14ac:dyDescent="0.25">
      <c r="A40" s="22"/>
      <c r="B40" s="22" t="s">
        <v>110</v>
      </c>
    </row>
    <row r="41" spans="1:7" x14ac:dyDescent="0.25">
      <c r="A41" s="22"/>
    </row>
    <row r="42" spans="1:7" x14ac:dyDescent="0.25">
      <c r="A42" s="22"/>
    </row>
    <row r="43" spans="1:7" ht="15.6" x14ac:dyDescent="0.3">
      <c r="A43" s="2" t="s">
        <v>369</v>
      </c>
      <c r="B43" s="15">
        <v>35</v>
      </c>
    </row>
    <row r="49" spans="1:7" ht="15.6" x14ac:dyDescent="0.3">
      <c r="A49" s="2" t="s">
        <v>325</v>
      </c>
      <c r="B49" s="23" t="s">
        <v>177</v>
      </c>
      <c r="C49" s="23"/>
      <c r="D49" s="2"/>
      <c r="E49" s="2"/>
      <c r="F49" s="2" t="s">
        <v>325</v>
      </c>
      <c r="G49" s="23" t="s">
        <v>177</v>
      </c>
    </row>
    <row r="51" spans="1:7" x14ac:dyDescent="0.25">
      <c r="A51" s="4" t="s">
        <v>5</v>
      </c>
      <c r="B51" s="22" t="s">
        <v>64</v>
      </c>
      <c r="F51" s="4" t="s">
        <v>5</v>
      </c>
      <c r="G51" s="22" t="s">
        <v>105</v>
      </c>
    </row>
    <row r="52" spans="1:7" x14ac:dyDescent="0.25">
      <c r="B52" s="22" t="s">
        <v>115</v>
      </c>
      <c r="G52" s="22" t="s">
        <v>340</v>
      </c>
    </row>
    <row r="53" spans="1:7" x14ac:dyDescent="0.25">
      <c r="B53" s="22" t="s">
        <v>116</v>
      </c>
      <c r="G53" s="22" t="s">
        <v>341</v>
      </c>
    </row>
    <row r="54" spans="1:7" x14ac:dyDescent="0.25">
      <c r="B54" s="22" t="s">
        <v>117</v>
      </c>
      <c r="G54" s="22" t="s">
        <v>55</v>
      </c>
    </row>
    <row r="55" spans="1:7" x14ac:dyDescent="0.25">
      <c r="B55" s="22" t="s">
        <v>345</v>
      </c>
      <c r="G55" s="22" t="s">
        <v>56</v>
      </c>
    </row>
    <row r="56" spans="1:7" x14ac:dyDescent="0.25">
      <c r="B56" s="22" t="s">
        <v>73</v>
      </c>
      <c r="G56" s="22" t="s">
        <v>57</v>
      </c>
    </row>
    <row r="57" spans="1:7" x14ac:dyDescent="0.25">
      <c r="B57" s="22" t="s">
        <v>74</v>
      </c>
      <c r="G57" s="22" t="s">
        <v>59</v>
      </c>
    </row>
    <row r="58" spans="1:7" x14ac:dyDescent="0.25">
      <c r="B58" s="22" t="s">
        <v>75</v>
      </c>
      <c r="G58" s="22" t="s">
        <v>357</v>
      </c>
    </row>
    <row r="59" spans="1:7" x14ac:dyDescent="0.25">
      <c r="B59" s="22" t="s">
        <v>346</v>
      </c>
      <c r="G59" s="22" t="s">
        <v>342</v>
      </c>
    </row>
    <row r="60" spans="1:7" x14ac:dyDescent="0.25">
      <c r="B60" s="22" t="s">
        <v>27</v>
      </c>
      <c r="G60" s="22" t="s">
        <v>62</v>
      </c>
    </row>
    <row r="61" spans="1:7" x14ac:dyDescent="0.25">
      <c r="B61" s="22" t="s">
        <v>322</v>
      </c>
      <c r="G61" s="22" t="s">
        <v>343</v>
      </c>
    </row>
    <row r="62" spans="1:7" x14ac:dyDescent="0.25">
      <c r="B62" s="22" t="s">
        <v>20</v>
      </c>
      <c r="G62" s="22" t="s">
        <v>344</v>
      </c>
    </row>
    <row r="63" spans="1:7" x14ac:dyDescent="0.25">
      <c r="B63" s="22" t="s">
        <v>347</v>
      </c>
      <c r="G63" s="22" t="s">
        <v>358</v>
      </c>
    </row>
    <row r="64" spans="1:7" x14ac:dyDescent="0.25">
      <c r="B64" s="22" t="s">
        <v>348</v>
      </c>
      <c r="G64" s="22" t="s">
        <v>359</v>
      </c>
    </row>
    <row r="65" spans="2:7" x14ac:dyDescent="0.25">
      <c r="B65" s="22" t="s">
        <v>65</v>
      </c>
      <c r="G65" s="22" t="s">
        <v>360</v>
      </c>
    </row>
    <row r="66" spans="2:7" x14ac:dyDescent="0.25">
      <c r="B66" s="22" t="s">
        <v>31</v>
      </c>
      <c r="G66" s="22" t="s">
        <v>361</v>
      </c>
    </row>
    <row r="67" spans="2:7" x14ac:dyDescent="0.25">
      <c r="B67" s="22" t="s">
        <v>83</v>
      </c>
      <c r="G67" s="22" t="s">
        <v>279</v>
      </c>
    </row>
    <row r="68" spans="2:7" x14ac:dyDescent="0.25">
      <c r="B68" s="22" t="s">
        <v>66</v>
      </c>
      <c r="G68" s="22" t="s">
        <v>362</v>
      </c>
    </row>
    <row r="69" spans="2:7" x14ac:dyDescent="0.25">
      <c r="B69" s="22" t="s">
        <v>39</v>
      </c>
      <c r="G69" s="22" t="s">
        <v>363</v>
      </c>
    </row>
    <row r="70" spans="2:7" x14ac:dyDescent="0.25">
      <c r="B70" s="22" t="s">
        <v>93</v>
      </c>
      <c r="G70" s="22" t="s">
        <v>364</v>
      </c>
    </row>
    <row r="71" spans="2:7" x14ac:dyDescent="0.25">
      <c r="B71" s="22" t="s">
        <v>42</v>
      </c>
      <c r="G71" s="22" t="s">
        <v>365</v>
      </c>
    </row>
    <row r="72" spans="2:7" x14ac:dyDescent="0.25">
      <c r="B72" s="22" t="s">
        <v>94</v>
      </c>
    </row>
    <row r="73" spans="2:7" ht="15.6" x14ac:dyDescent="0.3">
      <c r="B73" s="22" t="s">
        <v>349</v>
      </c>
      <c r="F73" s="2" t="s">
        <v>369</v>
      </c>
      <c r="G73" s="23" t="s">
        <v>382</v>
      </c>
    </row>
    <row r="74" spans="2:7" x14ac:dyDescent="0.25">
      <c r="B74" s="22" t="s">
        <v>350</v>
      </c>
    </row>
    <row r="75" spans="2:7" x14ac:dyDescent="0.25">
      <c r="B75" s="22" t="s">
        <v>351</v>
      </c>
    </row>
    <row r="76" spans="2:7" x14ac:dyDescent="0.25">
      <c r="B76" s="22" t="s">
        <v>352</v>
      </c>
    </row>
    <row r="77" spans="2:7" x14ac:dyDescent="0.25">
      <c r="B77" s="22" t="s">
        <v>327</v>
      </c>
    </row>
    <row r="78" spans="2:7" x14ac:dyDescent="0.25">
      <c r="B78" s="22" t="s">
        <v>328</v>
      </c>
    </row>
    <row r="79" spans="2:7" x14ac:dyDescent="0.25">
      <c r="B79" s="22" t="s">
        <v>329</v>
      </c>
    </row>
    <row r="80" spans="2:7" x14ac:dyDescent="0.25">
      <c r="B80" s="22" t="s">
        <v>330</v>
      </c>
    </row>
    <row r="81" spans="2:7" x14ac:dyDescent="0.25">
      <c r="B81" s="22" t="s">
        <v>331</v>
      </c>
      <c r="G81" s="22" t="s">
        <v>478</v>
      </c>
    </row>
    <row r="82" spans="2:7" x14ac:dyDescent="0.25">
      <c r="B82" s="22" t="s">
        <v>353</v>
      </c>
    </row>
    <row r="83" spans="2:7" x14ac:dyDescent="0.25">
      <c r="B83" s="22" t="s">
        <v>354</v>
      </c>
    </row>
    <row r="84" spans="2:7" x14ac:dyDescent="0.25">
      <c r="B84" s="22" t="s">
        <v>332</v>
      </c>
    </row>
    <row r="85" spans="2:7" x14ac:dyDescent="0.25">
      <c r="B85" s="22" t="s">
        <v>47</v>
      </c>
    </row>
    <row r="86" spans="2:7" x14ac:dyDescent="0.25">
      <c r="B86" s="22" t="s">
        <v>333</v>
      </c>
    </row>
    <row r="87" spans="2:7" x14ac:dyDescent="0.25">
      <c r="B87" s="22" t="s">
        <v>355</v>
      </c>
    </row>
    <row r="88" spans="2:7" x14ac:dyDescent="0.25">
      <c r="B88" s="22" t="s">
        <v>356</v>
      </c>
    </row>
    <row r="89" spans="2:7" x14ac:dyDescent="0.25">
      <c r="B89" s="22" t="s">
        <v>336</v>
      </c>
    </row>
    <row r="90" spans="2:7" x14ac:dyDescent="0.25">
      <c r="B90" s="22" t="s">
        <v>337</v>
      </c>
    </row>
    <row r="91" spans="2:7" x14ac:dyDescent="0.25">
      <c r="B91" s="22" t="s">
        <v>338</v>
      </c>
    </row>
    <row r="92" spans="2:7" x14ac:dyDescent="0.25">
      <c r="B92" s="22" t="s">
        <v>339</v>
      </c>
    </row>
  </sheetData>
  <phoneticPr fontId="8" type="noConversion"/>
  <pageMargins left="0.75" right="0.75" top="1" bottom="1" header="0.5" footer="0.5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9"/>
  <sheetViews>
    <sheetView workbookViewId="0">
      <selection activeCell="D15" sqref="D15"/>
    </sheetView>
  </sheetViews>
  <sheetFormatPr defaultRowHeight="13.2" x14ac:dyDescent="0.25"/>
  <cols>
    <col min="3" max="3" width="23.5546875" bestFit="1" customWidth="1"/>
    <col min="4" max="4" width="21.21875" bestFit="1" customWidth="1"/>
  </cols>
  <sheetData>
    <row r="1" spans="1:13" ht="15" x14ac:dyDescent="0.25">
      <c r="A1" s="4"/>
      <c r="B1" s="3" t="s">
        <v>18</v>
      </c>
      <c r="C1" s="3" t="s">
        <v>32</v>
      </c>
      <c r="D1" s="3" t="s">
        <v>186</v>
      </c>
      <c r="E1" s="3" t="s">
        <v>7</v>
      </c>
      <c r="F1" s="3" t="s">
        <v>149</v>
      </c>
      <c r="G1" s="10" t="s">
        <v>182</v>
      </c>
      <c r="H1" s="4"/>
      <c r="I1" s="11"/>
      <c r="J1" s="7">
        <f>H1-I1</f>
        <v>0</v>
      </c>
      <c r="K1" s="13"/>
      <c r="L1" s="12">
        <v>120</v>
      </c>
      <c r="M1" s="14" t="s">
        <v>319</v>
      </c>
    </row>
    <row r="2" spans="1:13" ht="15" x14ac:dyDescent="0.25">
      <c r="A2" s="4"/>
      <c r="B2" s="3" t="s">
        <v>20</v>
      </c>
      <c r="C2" s="3" t="s">
        <v>21</v>
      </c>
      <c r="D2" s="3" t="s">
        <v>190</v>
      </c>
      <c r="E2" s="3" t="s">
        <v>191</v>
      </c>
      <c r="F2" s="3" t="s">
        <v>12</v>
      </c>
      <c r="G2" s="10" t="s">
        <v>183</v>
      </c>
      <c r="H2" s="4"/>
      <c r="I2" s="11"/>
      <c r="J2" s="7">
        <f>H2-I2</f>
        <v>0</v>
      </c>
      <c r="K2" s="13"/>
      <c r="L2" s="12">
        <v>120</v>
      </c>
      <c r="M2" s="14" t="s">
        <v>319</v>
      </c>
    </row>
    <row r="3" spans="1:13" ht="15" x14ac:dyDescent="0.25">
      <c r="A3" s="4"/>
      <c r="B3" s="3" t="s">
        <v>24</v>
      </c>
      <c r="C3" s="3" t="s">
        <v>194</v>
      </c>
      <c r="D3" s="3" t="s">
        <v>195</v>
      </c>
      <c r="E3" s="3" t="s">
        <v>7</v>
      </c>
      <c r="F3" s="3" t="s">
        <v>149</v>
      </c>
      <c r="G3" s="10" t="s">
        <v>196</v>
      </c>
      <c r="H3" s="8"/>
      <c r="I3" s="11"/>
      <c r="J3" s="7"/>
      <c r="K3" s="13"/>
      <c r="L3" s="12">
        <v>110</v>
      </c>
      <c r="M3" s="17"/>
    </row>
    <row r="4" spans="1:13" ht="15" x14ac:dyDescent="0.25">
      <c r="A4" s="4"/>
      <c r="B4" s="3"/>
      <c r="C4" s="4"/>
      <c r="D4" s="4"/>
      <c r="E4" s="4"/>
      <c r="F4" s="4"/>
      <c r="G4" s="10"/>
      <c r="H4" s="4"/>
      <c r="I4" s="11"/>
      <c r="J4" s="7"/>
      <c r="K4" s="13"/>
      <c r="L4" s="12"/>
      <c r="M4" s="17"/>
    </row>
    <row r="5" spans="1:13" ht="15" x14ac:dyDescent="0.25">
      <c r="A5" s="3" t="s">
        <v>2</v>
      </c>
      <c r="B5" s="3" t="s">
        <v>26</v>
      </c>
      <c r="C5" s="3" t="s">
        <v>197</v>
      </c>
      <c r="D5" s="3" t="s">
        <v>198</v>
      </c>
      <c r="E5" s="3" t="s">
        <v>46</v>
      </c>
      <c r="F5" s="3" t="s">
        <v>173</v>
      </c>
      <c r="G5" s="10"/>
      <c r="H5" s="8"/>
      <c r="I5" s="11"/>
      <c r="J5" s="7">
        <f>H5-I5</f>
        <v>0</v>
      </c>
      <c r="K5" s="13"/>
      <c r="L5" s="12">
        <v>220</v>
      </c>
      <c r="M5" s="17" t="s">
        <v>215</v>
      </c>
    </row>
    <row r="6" spans="1:13" ht="15" x14ac:dyDescent="0.25">
      <c r="A6" s="3"/>
      <c r="B6" s="3"/>
      <c r="C6" s="3" t="s">
        <v>209</v>
      </c>
      <c r="D6" s="3" t="s">
        <v>210</v>
      </c>
      <c r="E6" s="3" t="s">
        <v>211</v>
      </c>
      <c r="F6" s="3" t="s">
        <v>166</v>
      </c>
      <c r="G6" s="10"/>
      <c r="H6" s="8"/>
      <c r="I6" s="11"/>
      <c r="J6" s="7">
        <f>H6-I6</f>
        <v>0</v>
      </c>
      <c r="K6" s="13"/>
      <c r="L6" s="12"/>
      <c r="M6" s="17"/>
    </row>
    <row r="7" spans="1:13" ht="15" x14ac:dyDescent="0.25">
      <c r="A7" s="3"/>
      <c r="B7" s="3"/>
      <c r="C7" s="3" t="s">
        <v>212</v>
      </c>
      <c r="D7" s="3" t="s">
        <v>213</v>
      </c>
      <c r="E7" s="3" t="s">
        <v>214</v>
      </c>
      <c r="F7" s="3" t="s">
        <v>149</v>
      </c>
      <c r="G7" s="10"/>
      <c r="H7" s="8"/>
      <c r="I7" s="11"/>
      <c r="J7" s="7">
        <f>H7-I7</f>
        <v>0</v>
      </c>
      <c r="K7" s="13"/>
      <c r="L7" s="12"/>
      <c r="M7" s="17"/>
    </row>
    <row r="8" spans="1:13" ht="15" x14ac:dyDescent="0.25">
      <c r="A8" s="4"/>
      <c r="B8" s="4"/>
      <c r="C8" s="4"/>
      <c r="D8" s="4"/>
      <c r="E8" s="4"/>
      <c r="F8" s="4"/>
      <c r="G8" s="10"/>
      <c r="H8" s="8"/>
      <c r="I8" s="11"/>
      <c r="J8" s="7">
        <f>H8-I8</f>
        <v>0</v>
      </c>
      <c r="K8" s="13"/>
      <c r="L8" s="12"/>
      <c r="M8" s="17"/>
    </row>
    <row r="9" spans="1:13" ht="15" x14ac:dyDescent="0.25">
      <c r="A9" s="3" t="s">
        <v>2</v>
      </c>
      <c r="B9" s="3" t="s">
        <v>31</v>
      </c>
      <c r="C9" s="3" t="s">
        <v>32</v>
      </c>
      <c r="D9" s="3" t="s">
        <v>19</v>
      </c>
      <c r="E9" s="3" t="s">
        <v>7</v>
      </c>
      <c r="F9" s="3" t="s">
        <v>149</v>
      </c>
      <c r="G9" s="10"/>
      <c r="H9" s="8">
        <v>0.32</v>
      </c>
      <c r="I9" s="11"/>
      <c r="J9" s="7">
        <f>H9-I9</f>
        <v>0.32</v>
      </c>
      <c r="K9" s="13">
        <f>ROUNDUP(J9,0)</f>
        <v>1</v>
      </c>
      <c r="L9" s="12">
        <v>220</v>
      </c>
      <c r="M9" s="17"/>
    </row>
    <row r="10" spans="1:13" ht="15" x14ac:dyDescent="0.25">
      <c r="A10" s="4"/>
      <c r="B10" s="4">
        <v>9.375E-2</v>
      </c>
      <c r="C10" s="4" t="s">
        <v>43</v>
      </c>
      <c r="D10" s="4"/>
      <c r="E10" s="4"/>
      <c r="F10" s="4"/>
      <c r="G10" s="10"/>
      <c r="H10" s="8"/>
      <c r="I10" s="11"/>
      <c r="J10" s="7"/>
      <c r="K10" s="13"/>
      <c r="L10" s="12"/>
      <c r="M10" s="17"/>
    </row>
    <row r="11" spans="1:13" ht="15" x14ac:dyDescent="0.25">
      <c r="A11" s="4"/>
      <c r="B11" s="4"/>
      <c r="C11" s="4"/>
      <c r="D11" s="4"/>
      <c r="E11" s="4"/>
      <c r="F11" s="4"/>
      <c r="G11" s="10"/>
      <c r="H11" s="8"/>
      <c r="I11" s="11"/>
      <c r="J11" s="7"/>
      <c r="K11" s="13"/>
      <c r="L11" s="12"/>
      <c r="M11" s="17"/>
    </row>
    <row r="12" spans="1:13" ht="15" x14ac:dyDescent="0.25">
      <c r="A12" s="4"/>
      <c r="B12" s="4"/>
      <c r="C12" s="4"/>
      <c r="D12" s="4"/>
      <c r="E12" s="4"/>
      <c r="F12" s="4"/>
      <c r="G12" s="10"/>
      <c r="H12" s="8"/>
      <c r="I12" s="11"/>
      <c r="J12" s="7">
        <f>H12-I12</f>
        <v>0</v>
      </c>
      <c r="K12" s="13"/>
      <c r="L12" s="12"/>
      <c r="M12" s="17"/>
    </row>
    <row r="13" spans="1:13" ht="15" x14ac:dyDescent="0.25">
      <c r="A13" s="3" t="s">
        <v>2</v>
      </c>
      <c r="B13" s="3" t="s">
        <v>62</v>
      </c>
      <c r="C13" s="3" t="s">
        <v>63</v>
      </c>
      <c r="D13" s="3"/>
      <c r="E13" s="3"/>
      <c r="F13" s="3" t="s">
        <v>229</v>
      </c>
      <c r="G13" s="10"/>
      <c r="H13" s="8">
        <v>1.48</v>
      </c>
      <c r="I13" s="11"/>
      <c r="J13" s="7">
        <f>H13-I13</f>
        <v>1.48</v>
      </c>
      <c r="K13" s="13">
        <f>ROUNDUP(J13,0)</f>
        <v>2</v>
      </c>
      <c r="L13" s="12">
        <v>213</v>
      </c>
      <c r="M13" s="17"/>
    </row>
    <row r="14" spans="1:13" ht="15" x14ac:dyDescent="0.25">
      <c r="A14" s="4"/>
      <c r="B14" s="4"/>
      <c r="C14" s="3" t="s">
        <v>228</v>
      </c>
      <c r="D14" s="3"/>
      <c r="E14" s="3"/>
      <c r="F14" s="3" t="s">
        <v>229</v>
      </c>
      <c r="G14" s="10"/>
      <c r="H14" s="8"/>
      <c r="I14" s="11"/>
      <c r="J14" s="7"/>
      <c r="K14" s="13"/>
      <c r="L14" s="12"/>
      <c r="M14" s="17"/>
    </row>
    <row r="15" spans="1:13" ht="15" x14ac:dyDescent="0.25">
      <c r="A15" s="4"/>
      <c r="B15" s="4"/>
      <c r="C15" s="4"/>
      <c r="D15" s="4"/>
      <c r="E15" s="4"/>
      <c r="F15" s="4"/>
      <c r="G15" s="10"/>
      <c r="H15" s="8"/>
      <c r="I15" s="11"/>
      <c r="J15" s="7"/>
      <c r="K15" s="13"/>
      <c r="L15" s="12"/>
      <c r="M15" s="17"/>
    </row>
    <row r="16" spans="1:13" ht="15" x14ac:dyDescent="0.25">
      <c r="A16" s="4"/>
      <c r="B16" s="3" t="s">
        <v>73</v>
      </c>
      <c r="C16" s="3" t="s">
        <v>51</v>
      </c>
      <c r="D16" s="3" t="s">
        <v>52</v>
      </c>
      <c r="E16" s="3" t="s">
        <v>4</v>
      </c>
      <c r="F16" s="3" t="s">
        <v>147</v>
      </c>
      <c r="G16" s="10">
        <v>0.33</v>
      </c>
      <c r="H16" s="8">
        <f>SUM(FEMTL!H87:H89)</f>
        <v>38.659999999999997</v>
      </c>
      <c r="I16" s="11"/>
      <c r="J16" s="7">
        <f>H16-I16</f>
        <v>38.659999999999997</v>
      </c>
      <c r="K16" s="13">
        <f>ROUNDUP(J16,0)</f>
        <v>39</v>
      </c>
      <c r="L16" s="12">
        <v>110</v>
      </c>
      <c r="M16" s="4" t="s">
        <v>319</v>
      </c>
    </row>
    <row r="17" spans="1:13" ht="15" x14ac:dyDescent="0.25">
      <c r="A17" s="4"/>
      <c r="B17" s="3" t="s">
        <v>74</v>
      </c>
      <c r="C17" s="3" t="s">
        <v>51</v>
      </c>
      <c r="D17" s="3" t="s">
        <v>52</v>
      </c>
      <c r="E17" s="3" t="s">
        <v>4</v>
      </c>
      <c r="F17" s="3" t="s">
        <v>147</v>
      </c>
      <c r="G17" s="10">
        <v>0.93</v>
      </c>
      <c r="H17" s="8"/>
      <c r="I17" s="11"/>
      <c r="J17" s="7">
        <f>H17-I17</f>
        <v>0</v>
      </c>
      <c r="K17" s="13">
        <f>ROUNDUP(J17,0)</f>
        <v>0</v>
      </c>
      <c r="L17" s="12">
        <v>110</v>
      </c>
      <c r="M17" s="4" t="s">
        <v>319</v>
      </c>
    </row>
    <row r="18" spans="1:13" ht="15" x14ac:dyDescent="0.25">
      <c r="A18" s="4"/>
      <c r="B18" s="3" t="s">
        <v>75</v>
      </c>
      <c r="C18" s="3" t="s">
        <v>51</v>
      </c>
      <c r="D18" s="3" t="s">
        <v>52</v>
      </c>
      <c r="E18" s="3" t="s">
        <v>4</v>
      </c>
      <c r="F18" s="3" t="s">
        <v>147</v>
      </c>
      <c r="G18" s="10">
        <v>0.18</v>
      </c>
      <c r="H18" s="8"/>
      <c r="I18" s="11"/>
      <c r="J18" s="7">
        <f>H18-I18</f>
        <v>0</v>
      </c>
      <c r="K18" s="13">
        <f>ROUNDUP(J18,0)</f>
        <v>0</v>
      </c>
      <c r="L18" s="12">
        <v>110</v>
      </c>
      <c r="M18" s="4" t="s">
        <v>319</v>
      </c>
    </row>
    <row r="19" spans="1:13" ht="15" x14ac:dyDescent="0.25">
      <c r="A19" s="4"/>
      <c r="B19" s="4"/>
      <c r="C19" s="4"/>
      <c r="D19" s="4"/>
      <c r="E19" s="4"/>
      <c r="F19" s="4"/>
      <c r="G19" s="10"/>
      <c r="H19" s="8"/>
      <c r="I19" s="11"/>
      <c r="J19" s="7"/>
      <c r="K19" s="13"/>
      <c r="L19" s="12"/>
      <c r="M19" s="17"/>
    </row>
    <row r="20" spans="1:13" ht="15" x14ac:dyDescent="0.25">
      <c r="A20" s="3" t="s">
        <v>5</v>
      </c>
      <c r="B20" s="3" t="s">
        <v>64</v>
      </c>
      <c r="C20" s="3" t="s">
        <v>230</v>
      </c>
      <c r="D20" s="3" t="s">
        <v>232</v>
      </c>
      <c r="E20" s="3" t="s">
        <v>231</v>
      </c>
      <c r="F20" s="3" t="s">
        <v>12</v>
      </c>
      <c r="G20" s="10">
        <v>1.01</v>
      </c>
      <c r="H20" s="8">
        <f>SUM(G20:G22)</f>
        <v>1.92</v>
      </c>
      <c r="I20" s="11"/>
      <c r="J20" s="7">
        <f>H20-I20</f>
        <v>1.92</v>
      </c>
      <c r="K20" s="13">
        <f>ROUNDUP(J20,0)</f>
        <v>2</v>
      </c>
      <c r="L20" s="12">
        <v>110</v>
      </c>
      <c r="M20" s="17"/>
    </row>
    <row r="21" spans="1:13" ht="15" x14ac:dyDescent="0.25">
      <c r="A21" s="4"/>
      <c r="B21" s="3" t="s">
        <v>65</v>
      </c>
      <c r="C21" s="4"/>
      <c r="D21" s="4"/>
      <c r="E21" s="4"/>
      <c r="F21" s="4"/>
      <c r="G21" s="10">
        <v>0.7</v>
      </c>
      <c r="H21" s="8"/>
      <c r="I21" s="11"/>
      <c r="J21" s="7">
        <f>H21-I21</f>
        <v>0</v>
      </c>
      <c r="K21" s="13">
        <f>ROUNDUP(J21,0)</f>
        <v>0</v>
      </c>
      <c r="L21" s="12"/>
      <c r="M21" s="17"/>
    </row>
    <row r="22" spans="1:13" ht="15" x14ac:dyDescent="0.25">
      <c r="A22" s="4"/>
      <c r="B22" s="3" t="s">
        <v>66</v>
      </c>
      <c r="C22" s="4"/>
      <c r="D22" s="4"/>
      <c r="E22" s="4"/>
      <c r="F22" s="4"/>
      <c r="G22" s="10">
        <v>0.21</v>
      </c>
      <c r="H22" s="8"/>
      <c r="I22" s="11"/>
      <c r="J22" s="7">
        <f>H22-I22</f>
        <v>0</v>
      </c>
      <c r="K22" s="13">
        <f>ROUNDUP(J22,0)</f>
        <v>0</v>
      </c>
      <c r="L22" s="12"/>
      <c r="M22" s="17"/>
    </row>
    <row r="23" spans="1:13" ht="15" x14ac:dyDescent="0.25">
      <c r="A23" s="4"/>
      <c r="B23" s="4"/>
      <c r="C23" s="4"/>
      <c r="D23" s="4"/>
      <c r="E23" s="4"/>
      <c r="F23" s="4"/>
      <c r="G23" s="10"/>
      <c r="H23" s="8"/>
      <c r="I23" s="11"/>
      <c r="J23" s="7">
        <f>H23-I23</f>
        <v>0</v>
      </c>
      <c r="K23" s="13">
        <f>ROUNDUP(J23,0)</f>
        <v>0</v>
      </c>
      <c r="L23" s="12"/>
      <c r="M23" s="17"/>
    </row>
    <row r="24" spans="1:13" ht="15" x14ac:dyDescent="0.25">
      <c r="A24" s="4"/>
      <c r="B24" s="3" t="s">
        <v>83</v>
      </c>
      <c r="C24" s="3" t="s">
        <v>80</v>
      </c>
      <c r="D24" s="3" t="s">
        <v>162</v>
      </c>
      <c r="E24" s="3" t="s">
        <v>81</v>
      </c>
      <c r="F24" s="3" t="s">
        <v>82</v>
      </c>
      <c r="G24" s="10">
        <v>0.32</v>
      </c>
      <c r="H24" s="8"/>
      <c r="I24" s="11"/>
      <c r="J24" s="7">
        <f>H24-I24</f>
        <v>0</v>
      </c>
      <c r="K24" s="13">
        <f>ROUNDUP(J24,0)</f>
        <v>0</v>
      </c>
      <c r="L24" s="12">
        <v>110</v>
      </c>
      <c r="M24" s="17" t="s">
        <v>319</v>
      </c>
    </row>
    <row r="25" spans="1:13" ht="15" x14ac:dyDescent="0.25">
      <c r="A25" s="4"/>
      <c r="B25" s="4"/>
      <c r="C25" s="4"/>
      <c r="D25" s="4"/>
      <c r="E25" s="4"/>
      <c r="F25" s="4"/>
      <c r="G25" s="10"/>
      <c r="H25" s="8"/>
      <c r="I25" s="11"/>
      <c r="J25" s="7"/>
      <c r="K25" s="13"/>
      <c r="L25" s="12"/>
      <c r="M25" s="17"/>
    </row>
    <row r="26" spans="1:13" ht="15" x14ac:dyDescent="0.25">
      <c r="A26" s="4"/>
      <c r="B26" s="4"/>
      <c r="C26" s="4"/>
      <c r="D26" s="4"/>
      <c r="E26" s="4"/>
      <c r="F26" s="4"/>
      <c r="G26" s="10"/>
      <c r="H26" s="8"/>
      <c r="I26" s="11"/>
      <c r="J26" s="7"/>
      <c r="K26" s="13"/>
      <c r="L26" s="12"/>
      <c r="M26" s="17"/>
    </row>
    <row r="27" spans="1:13" ht="15" x14ac:dyDescent="0.25">
      <c r="A27" s="3" t="s">
        <v>5</v>
      </c>
      <c r="B27" s="3" t="s">
        <v>105</v>
      </c>
      <c r="C27" s="3" t="s">
        <v>84</v>
      </c>
      <c r="D27" s="3" t="s">
        <v>2</v>
      </c>
      <c r="E27" s="3" t="s">
        <v>7</v>
      </c>
      <c r="F27" s="3" t="s">
        <v>149</v>
      </c>
      <c r="G27" s="10"/>
      <c r="H27" s="8">
        <v>0.98</v>
      </c>
      <c r="I27" s="11"/>
      <c r="J27" s="7">
        <f>H27-I27</f>
        <v>0.98</v>
      </c>
      <c r="K27" s="13">
        <f>ROUNDUP(J27,0)</f>
        <v>1</v>
      </c>
      <c r="L27" s="12">
        <v>210</v>
      </c>
      <c r="M27" s="17" t="s">
        <v>319</v>
      </c>
    </row>
    <row r="28" spans="1:13" ht="15" x14ac:dyDescent="0.25">
      <c r="A28" s="4"/>
      <c r="B28" s="4"/>
      <c r="C28" s="4"/>
      <c r="D28" s="4"/>
      <c r="E28" s="4"/>
      <c r="F28" s="4"/>
      <c r="G28" s="10"/>
      <c r="H28" s="8"/>
      <c r="I28" s="11"/>
      <c r="J28" s="7"/>
      <c r="K28" s="13"/>
      <c r="L28" s="12"/>
      <c r="M28" s="17"/>
    </row>
    <row r="29" spans="1:13" ht="15" x14ac:dyDescent="0.25">
      <c r="A29" s="4"/>
      <c r="B29" s="3" t="s">
        <v>93</v>
      </c>
      <c r="C29" s="3" t="s">
        <v>92</v>
      </c>
      <c r="D29" s="3" t="s">
        <v>241</v>
      </c>
      <c r="E29" s="3" t="s">
        <v>4</v>
      </c>
      <c r="F29" s="3" t="s">
        <v>147</v>
      </c>
      <c r="G29" s="10">
        <v>0.18</v>
      </c>
      <c r="H29" s="8"/>
      <c r="I29" s="11"/>
      <c r="J29" s="7">
        <f>H29-I29</f>
        <v>0</v>
      </c>
      <c r="K29" s="13">
        <f>ROUNDUP(J29,0)</f>
        <v>0</v>
      </c>
      <c r="L29" s="12">
        <v>213</v>
      </c>
      <c r="M29" s="14" t="s">
        <v>319</v>
      </c>
    </row>
    <row r="30" spans="1:13" ht="15" x14ac:dyDescent="0.25">
      <c r="A30" s="4"/>
      <c r="B30" s="3" t="s">
        <v>94</v>
      </c>
      <c r="C30" s="4"/>
      <c r="D30" s="4"/>
      <c r="E30" s="4"/>
      <c r="F30" s="4"/>
      <c r="G30" s="10">
        <v>0.34</v>
      </c>
      <c r="H30" s="8"/>
      <c r="I30" s="11"/>
      <c r="J30" s="7">
        <f>H30-I30</f>
        <v>0</v>
      </c>
      <c r="K30" s="13">
        <f>ROUNDUP(J30,0)</f>
        <v>0</v>
      </c>
      <c r="L30" s="12">
        <v>220</v>
      </c>
      <c r="M30" s="14" t="s">
        <v>319</v>
      </c>
    </row>
    <row r="31" spans="1:13" ht="15" x14ac:dyDescent="0.25">
      <c r="A31" s="4"/>
      <c r="B31" s="4"/>
      <c r="C31" s="4"/>
      <c r="D31" s="4"/>
      <c r="E31" s="4"/>
      <c r="F31" s="4"/>
      <c r="G31" s="10"/>
      <c r="H31" s="8"/>
      <c r="I31" s="11"/>
      <c r="J31" s="7"/>
      <c r="K31" s="13"/>
      <c r="L31" s="12"/>
      <c r="M31" s="17"/>
    </row>
    <row r="32" spans="1:13" ht="15" x14ac:dyDescent="0.25">
      <c r="A32" s="3" t="s">
        <v>5</v>
      </c>
      <c r="B32" s="3" t="s">
        <v>42</v>
      </c>
      <c r="C32" s="3" t="s">
        <v>242</v>
      </c>
      <c r="D32" s="3"/>
      <c r="E32" s="3"/>
      <c r="F32" s="3" t="s">
        <v>243</v>
      </c>
      <c r="G32" s="10"/>
      <c r="H32" s="8">
        <v>0.28999999999999998</v>
      </c>
      <c r="I32" s="11"/>
      <c r="J32" s="7">
        <f>H32-I32</f>
        <v>0.28999999999999998</v>
      </c>
      <c r="K32" s="13">
        <f>ROUNDUP(J32,0)</f>
        <v>1</v>
      </c>
      <c r="L32" s="12">
        <v>220</v>
      </c>
      <c r="M32" s="14" t="s">
        <v>319</v>
      </c>
    </row>
    <row r="33" spans="1:13" ht="15" x14ac:dyDescent="0.25">
      <c r="A33" s="4"/>
      <c r="B33" s="4"/>
      <c r="C33" s="4"/>
      <c r="D33" s="4"/>
      <c r="E33" s="4"/>
      <c r="F33" s="4"/>
      <c r="G33" s="10"/>
      <c r="H33" s="8"/>
      <c r="I33" s="11"/>
      <c r="J33" s="7">
        <f>H33-I33</f>
        <v>0</v>
      </c>
      <c r="K33" s="13">
        <f>ROUNDUP(J33,0)</f>
        <v>0</v>
      </c>
      <c r="L33" s="12"/>
      <c r="M33" s="17"/>
    </row>
    <row r="34" spans="1:13" ht="15" x14ac:dyDescent="0.25">
      <c r="A34" s="3" t="s">
        <v>5</v>
      </c>
      <c r="B34" s="3" t="s">
        <v>62</v>
      </c>
      <c r="C34" s="3" t="s">
        <v>276</v>
      </c>
      <c r="D34" s="3" t="s">
        <v>277</v>
      </c>
      <c r="E34" s="3" t="s">
        <v>278</v>
      </c>
      <c r="F34" s="3" t="s">
        <v>239</v>
      </c>
      <c r="G34" s="10"/>
      <c r="H34" s="8">
        <v>4.18</v>
      </c>
      <c r="I34" s="11"/>
      <c r="J34" s="7">
        <f>H34-I34</f>
        <v>4.18</v>
      </c>
      <c r="K34" s="13">
        <f>ROUNDUP(J34,0)</f>
        <v>5</v>
      </c>
      <c r="L34" s="12">
        <v>499</v>
      </c>
      <c r="M34" s="14" t="s">
        <v>319</v>
      </c>
    </row>
    <row r="35" spans="1:13" ht="15" x14ac:dyDescent="0.25">
      <c r="A35" s="3"/>
      <c r="B35" s="3"/>
      <c r="C35" s="3"/>
      <c r="D35" s="3"/>
      <c r="E35" s="3"/>
      <c r="F35" s="3"/>
      <c r="G35" s="10"/>
      <c r="H35" s="8"/>
      <c r="I35" s="11"/>
      <c r="J35" s="7"/>
      <c r="K35" s="13"/>
      <c r="L35" s="12"/>
      <c r="M35" s="17"/>
    </row>
    <row r="36" spans="1:13" ht="15" x14ac:dyDescent="0.25">
      <c r="A36" s="3" t="s">
        <v>235</v>
      </c>
      <c r="B36" s="3" t="s">
        <v>279</v>
      </c>
      <c r="C36" s="3" t="s">
        <v>280</v>
      </c>
      <c r="D36" s="3" t="s">
        <v>282</v>
      </c>
      <c r="E36" s="3" t="s">
        <v>4</v>
      </c>
      <c r="F36" s="3" t="s">
        <v>147</v>
      </c>
      <c r="G36" s="10"/>
      <c r="H36" s="8">
        <v>4.59</v>
      </c>
      <c r="I36" s="11"/>
      <c r="J36" s="7">
        <f>H36-I36</f>
        <v>4.59</v>
      </c>
      <c r="K36" s="13">
        <f>ROUNDUP(J36,0)</f>
        <v>5</v>
      </c>
      <c r="L36" s="12">
        <v>120</v>
      </c>
      <c r="M36" s="14" t="s">
        <v>320</v>
      </c>
    </row>
    <row r="37" spans="1:13" ht="15" x14ac:dyDescent="0.25">
      <c r="A37" s="3"/>
      <c r="B37" s="3"/>
      <c r="C37" s="3" t="s">
        <v>281</v>
      </c>
      <c r="D37" s="3" t="s">
        <v>282</v>
      </c>
      <c r="E37" s="3" t="s">
        <v>4</v>
      </c>
      <c r="F37" s="3" t="s">
        <v>147</v>
      </c>
      <c r="G37" s="10"/>
      <c r="H37" s="8"/>
      <c r="I37" s="11"/>
      <c r="J37" s="7">
        <f>H37-I37</f>
        <v>0</v>
      </c>
      <c r="K37" s="13"/>
      <c r="L37" s="12"/>
      <c r="M37" s="17"/>
    </row>
    <row r="38" spans="1:13" ht="15" x14ac:dyDescent="0.25">
      <c r="A38" s="4"/>
      <c r="B38" s="4"/>
      <c r="C38" s="4"/>
      <c r="D38" s="4"/>
      <c r="E38" s="4"/>
      <c r="F38" s="4"/>
      <c r="G38" s="10"/>
      <c r="H38" s="8"/>
      <c r="I38" s="11"/>
      <c r="J38" s="7"/>
      <c r="K38" s="13"/>
      <c r="L38" s="12"/>
      <c r="M38" s="17"/>
    </row>
    <row r="39" spans="1:13" ht="15" x14ac:dyDescent="0.25">
      <c r="A39" s="4"/>
      <c r="B39" s="4"/>
      <c r="C39" s="4"/>
      <c r="D39" s="4"/>
      <c r="E39" s="4"/>
      <c r="F39" s="4"/>
      <c r="G39" s="10"/>
      <c r="H39" s="8"/>
      <c r="I39" s="11"/>
      <c r="J39" s="7"/>
      <c r="K39" s="13"/>
      <c r="L39" s="12"/>
      <c r="M39" s="17"/>
    </row>
  </sheetData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2</vt:i4>
      </vt:variant>
    </vt:vector>
  </HeadingPairs>
  <TitlesOfParts>
    <vt:vector size="6" baseType="lpstr">
      <vt:lpstr>FEMTL</vt:lpstr>
      <vt:lpstr>Röstlängd</vt:lpstr>
      <vt:lpstr>SJB</vt:lpstr>
      <vt:lpstr>slask</vt:lpstr>
      <vt:lpstr>FEMTL!Utskriftsområde</vt:lpstr>
      <vt:lpstr>Röstlängd!Utskriftsområde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 Nyström</dc:creator>
  <cp:lastModifiedBy>Dag Nyström</cp:lastModifiedBy>
  <cp:lastPrinted>2025-08-01T20:34:39Z</cp:lastPrinted>
  <dcterms:created xsi:type="dcterms:W3CDTF">2001-04-06T10:14:02Z</dcterms:created>
  <dcterms:modified xsi:type="dcterms:W3CDTF">2025-08-19T07:41:44Z</dcterms:modified>
</cp:coreProperties>
</file>